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drawings/drawing4.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https://d.docs.live.net/9602231002f29d14/Documents/Springboard Data Analytics 2020/Homework/SWFinancialAnalysis/"/>
    </mc:Choice>
  </mc:AlternateContent>
  <xr:revisionPtr revIDLastSave="263" documentId="8_{D0C154F8-54A0-F34E-AF00-E6BF50391B00}" xr6:coauthVersionLast="45" xr6:coauthVersionMax="45" xr10:uidLastSave="{E3CA5A5E-E5D3-3240-AB82-F17A809079BB}"/>
  <bookViews>
    <workbookView xWindow="0" yWindow="460" windowWidth="28800" windowHeight="16540" firstSheet="1" activeTab="5" xr2:uid="{00000000-000D-0000-FFFF-FFFF00000000}"/>
  </bookViews>
  <sheets>
    <sheet name="READ ME BEFORE STARTING" sheetId="1" r:id="rId1"/>
    <sheet name="Definitions" sheetId="2" r:id="rId2"/>
    <sheet name="CC Actuals" sheetId="3" r:id="rId3"/>
    <sheet name="Financial ACTUALS" sheetId="4" r:id="rId4"/>
    <sheet name="Variance Analysis" sheetId="5" r:id="rId5"/>
    <sheet name="EBIT aggregate" sheetId="12" r:id="rId6"/>
    <sheet name="Cost to Produce" sheetId="6" r:id="rId7"/>
    <sheet name="CC BUDGET" sheetId="8" r:id="rId8"/>
    <sheet name="Financial BUDGET" sheetId="9" r:id="rId9"/>
    <sheet name="EBIT" sheetId="7" r:id="rId10"/>
    <sheet name="Water Production Actuals" sheetId="10" r:id="rId11"/>
    <sheet name="Water Production Budget" sheetId="11" r:id="rId12"/>
  </sheets>
  <definedNames>
    <definedName name="_xlchart.v1.0" hidden="1">'Variance Analysis'!$B$124:$M$124</definedName>
    <definedName name="_xlchart.v1.1" hidden="1">EBIT!$C$27:$N$27</definedName>
    <definedName name="_xlchart.v1.2" hidden="1">EBIT!$C$32:$N$32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12" l="1"/>
  <c r="E14" i="12"/>
  <c r="D14" i="12"/>
  <c r="E9" i="12"/>
  <c r="D9" i="12"/>
  <c r="E3" i="12"/>
  <c r="D3" i="12"/>
  <c r="D4" i="12"/>
  <c r="E13" i="12"/>
  <c r="D13" i="12"/>
  <c r="D12" i="12"/>
  <c r="C12" i="12" s="1"/>
  <c r="E11" i="12"/>
  <c r="D11" i="12"/>
  <c r="E10" i="12"/>
  <c r="D10" i="12"/>
  <c r="E8" i="12"/>
  <c r="D8" i="12"/>
  <c r="E7" i="12"/>
  <c r="D7" i="12"/>
  <c r="E6" i="12"/>
  <c r="D6" i="12"/>
  <c r="E5" i="12"/>
  <c r="D5" i="12"/>
  <c r="E4" i="12"/>
  <c r="C3" i="12" l="1"/>
  <c r="C13" i="12"/>
  <c r="C11" i="12"/>
  <c r="C10" i="12"/>
  <c r="C9" i="12"/>
  <c r="C8" i="12"/>
  <c r="C7" i="12"/>
  <c r="C6" i="12"/>
  <c r="C5" i="12"/>
  <c r="C4" i="12"/>
  <c r="C12" i="6"/>
  <c r="G20" i="3"/>
  <c r="D72" i="6" l="1"/>
  <c r="E72" i="6"/>
  <c r="F72" i="6"/>
  <c r="G72" i="6"/>
  <c r="H72" i="6"/>
  <c r="I72" i="6"/>
  <c r="J72" i="6"/>
  <c r="K72" i="6"/>
  <c r="L72" i="6"/>
  <c r="M72" i="6"/>
  <c r="N72" i="6"/>
  <c r="C72" i="6"/>
  <c r="D62" i="6"/>
  <c r="E62" i="6"/>
  <c r="F62" i="6"/>
  <c r="G62" i="6"/>
  <c r="H62" i="6"/>
  <c r="I62" i="6"/>
  <c r="J62" i="6"/>
  <c r="K62" i="6"/>
  <c r="L62" i="6"/>
  <c r="M62" i="6"/>
  <c r="N62" i="6"/>
  <c r="C62" i="6"/>
  <c r="D54" i="6"/>
  <c r="E54" i="6"/>
  <c r="F54" i="6"/>
  <c r="G54" i="6"/>
  <c r="H54" i="6"/>
  <c r="I54" i="6"/>
  <c r="J54" i="6"/>
  <c r="K54" i="6"/>
  <c r="L54" i="6"/>
  <c r="M54" i="6"/>
  <c r="N54" i="6"/>
  <c r="C54" i="6"/>
  <c r="D46" i="6"/>
  <c r="E46" i="6"/>
  <c r="F46" i="6"/>
  <c r="G46" i="6"/>
  <c r="H46" i="6"/>
  <c r="I46" i="6"/>
  <c r="J46" i="6"/>
  <c r="K46" i="6"/>
  <c r="L46" i="6"/>
  <c r="M46" i="6"/>
  <c r="N46" i="6"/>
  <c r="C46" i="6"/>
  <c r="D38" i="6"/>
  <c r="C38" i="6"/>
  <c r="D28" i="6"/>
  <c r="C28" i="6"/>
  <c r="D20" i="6"/>
  <c r="C20" i="6"/>
  <c r="D12" i="6"/>
  <c r="C14" i="7"/>
  <c r="C18" i="7" s="1"/>
  <c r="D14" i="7"/>
  <c r="E14" i="7"/>
  <c r="F14" i="7"/>
  <c r="G14" i="7"/>
  <c r="G18" i="7" s="1"/>
  <c r="H14" i="7"/>
  <c r="I14" i="7"/>
  <c r="J14" i="7"/>
  <c r="K14" i="7"/>
  <c r="K18" i="7" s="1"/>
  <c r="L14" i="7"/>
  <c r="M14" i="7"/>
  <c r="N14" i="7"/>
  <c r="C15" i="7"/>
  <c r="D15" i="7"/>
  <c r="F15" i="7"/>
  <c r="G15" i="7"/>
  <c r="H15" i="7"/>
  <c r="I15" i="7"/>
  <c r="J15" i="7"/>
  <c r="K15" i="7"/>
  <c r="L15" i="7"/>
  <c r="M15" i="7"/>
  <c r="N15" i="7"/>
  <c r="C16" i="7"/>
  <c r="D16" i="7"/>
  <c r="F16" i="7"/>
  <c r="G16" i="7"/>
  <c r="H16" i="7"/>
  <c r="I16" i="7"/>
  <c r="I18" i="7" s="1"/>
  <c r="J16" i="7"/>
  <c r="K16" i="7"/>
  <c r="L16" i="7"/>
  <c r="M16" i="7"/>
  <c r="M18" i="7" s="1"/>
  <c r="N16" i="7"/>
  <c r="C17" i="7"/>
  <c r="D17" i="7"/>
  <c r="D18" i="7" s="1"/>
  <c r="F17" i="7"/>
  <c r="G17" i="7"/>
  <c r="H17" i="7"/>
  <c r="I17" i="7"/>
  <c r="J17" i="7"/>
  <c r="J18" i="7" s="1"/>
  <c r="K17" i="7"/>
  <c r="L17" i="7"/>
  <c r="M17" i="7"/>
  <c r="N17" i="7"/>
  <c r="N18" i="7" s="1"/>
  <c r="H18" i="7"/>
  <c r="L18" i="7"/>
  <c r="D59" i="7"/>
  <c r="E59" i="7"/>
  <c r="F59" i="7"/>
  <c r="G59" i="7"/>
  <c r="H59" i="7"/>
  <c r="I59" i="7"/>
  <c r="J59" i="7"/>
  <c r="K59" i="7"/>
  <c r="L59" i="7"/>
  <c r="M59" i="7"/>
  <c r="N59" i="7"/>
  <c r="F57" i="3"/>
  <c r="G57" i="3"/>
  <c r="H57" i="3"/>
  <c r="I57" i="3"/>
  <c r="J57" i="3"/>
  <c r="K57" i="3"/>
  <c r="L57" i="3"/>
  <c r="M57" i="3"/>
  <c r="N57" i="3"/>
  <c r="O57" i="3"/>
  <c r="P57" i="3"/>
  <c r="F58" i="3"/>
  <c r="G58" i="3"/>
  <c r="H58" i="3"/>
  <c r="I58" i="3"/>
  <c r="J58" i="3"/>
  <c r="K58" i="3"/>
  <c r="L58" i="3"/>
  <c r="M58" i="3"/>
  <c r="N58" i="3"/>
  <c r="O58" i="3"/>
  <c r="P58" i="3"/>
  <c r="F59" i="3"/>
  <c r="G59" i="3"/>
  <c r="H59" i="3"/>
  <c r="I59" i="3"/>
  <c r="J59" i="3"/>
  <c r="K59" i="3"/>
  <c r="L59" i="3"/>
  <c r="M59" i="3"/>
  <c r="N59" i="3"/>
  <c r="O59" i="3"/>
  <c r="P59" i="3"/>
  <c r="F18" i="7" l="1"/>
  <c r="E6" i="4"/>
  <c r="E45" i="4" l="1"/>
  <c r="L32" i="4"/>
  <c r="E20" i="3" l="1"/>
  <c r="F46" i="4"/>
  <c r="G46" i="4"/>
  <c r="H46" i="4"/>
  <c r="I46" i="4"/>
  <c r="J46" i="4"/>
  <c r="K46" i="4"/>
  <c r="L46" i="4"/>
  <c r="M46" i="4"/>
  <c r="N46" i="4"/>
  <c r="O46" i="4"/>
  <c r="P46" i="4"/>
  <c r="F45" i="4"/>
  <c r="G45" i="4"/>
  <c r="H45" i="4"/>
  <c r="I45" i="4"/>
  <c r="J45" i="4"/>
  <c r="K45" i="4"/>
  <c r="L45" i="4"/>
  <c r="M45" i="4"/>
  <c r="N45" i="4"/>
  <c r="O45" i="4"/>
  <c r="P45" i="4"/>
  <c r="F44" i="4"/>
  <c r="G44" i="4"/>
  <c r="H44" i="4"/>
  <c r="I44" i="4"/>
  <c r="J44" i="4"/>
  <c r="K44" i="4"/>
  <c r="L44" i="4"/>
  <c r="M44" i="4"/>
  <c r="N44" i="4"/>
  <c r="O44" i="4"/>
  <c r="P44" i="4"/>
  <c r="E46" i="4"/>
  <c r="E44" i="4"/>
  <c r="E43" i="4"/>
  <c r="F43" i="4"/>
  <c r="G43" i="4"/>
  <c r="H43" i="4"/>
  <c r="I43" i="4"/>
  <c r="J43" i="4"/>
  <c r="K43" i="4"/>
  <c r="L43" i="4"/>
  <c r="M43" i="4"/>
  <c r="N43" i="4"/>
  <c r="O43" i="4"/>
  <c r="P43" i="4"/>
  <c r="E42" i="4"/>
  <c r="F42" i="4"/>
  <c r="G42" i="4"/>
  <c r="H42" i="4"/>
  <c r="I42" i="4"/>
  <c r="J42" i="4"/>
  <c r="K42" i="4"/>
  <c r="L42" i="4"/>
  <c r="M42" i="4"/>
  <c r="N42" i="4"/>
  <c r="O42" i="4"/>
  <c r="P42" i="4"/>
  <c r="C45" i="5"/>
  <c r="D41" i="5"/>
  <c r="E41" i="5"/>
  <c r="F41" i="5"/>
  <c r="F21" i="7" s="1"/>
  <c r="G41" i="5"/>
  <c r="G21" i="7" s="1"/>
  <c r="H41" i="5"/>
  <c r="I41" i="5"/>
  <c r="J41" i="5"/>
  <c r="J21" i="7" s="1"/>
  <c r="K41" i="5"/>
  <c r="K21" i="7" s="1"/>
  <c r="L41" i="5"/>
  <c r="M41" i="5"/>
  <c r="N41" i="5"/>
  <c r="N21" i="7" s="1"/>
  <c r="C41" i="5"/>
  <c r="D37" i="5"/>
  <c r="E37" i="5"/>
  <c r="F37" i="5"/>
  <c r="G37" i="5"/>
  <c r="G16" i="6" s="1"/>
  <c r="H37" i="5"/>
  <c r="I37" i="5"/>
  <c r="J37" i="5"/>
  <c r="K37" i="5"/>
  <c r="K16" i="6" s="1"/>
  <c r="L37" i="5"/>
  <c r="M37" i="5"/>
  <c r="N37" i="5"/>
  <c r="D24" i="5"/>
  <c r="E24" i="5"/>
  <c r="F24" i="5"/>
  <c r="F66" i="6" s="1"/>
  <c r="G24" i="5"/>
  <c r="G66" i="6" s="1"/>
  <c r="H24" i="5"/>
  <c r="I24" i="5"/>
  <c r="J24" i="5"/>
  <c r="J66" i="6" s="1"/>
  <c r="K24" i="5"/>
  <c r="K66" i="6" s="1"/>
  <c r="L24" i="5"/>
  <c r="M24" i="5"/>
  <c r="N24" i="5"/>
  <c r="N66" i="6" s="1"/>
  <c r="D23" i="5"/>
  <c r="E23" i="5"/>
  <c r="F23" i="5"/>
  <c r="F68" i="6" s="1"/>
  <c r="G23" i="5"/>
  <c r="G68" i="6" s="1"/>
  <c r="H23" i="5"/>
  <c r="I23" i="5"/>
  <c r="J23" i="5"/>
  <c r="J68" i="6" s="1"/>
  <c r="K23" i="5"/>
  <c r="K61" i="7" s="1"/>
  <c r="L23" i="5"/>
  <c r="M23" i="5"/>
  <c r="N23" i="5"/>
  <c r="N68" i="6" s="1"/>
  <c r="D22" i="5"/>
  <c r="E22" i="5"/>
  <c r="F22" i="5"/>
  <c r="F60" i="7" s="1"/>
  <c r="G22" i="5"/>
  <c r="G60" i="7" s="1"/>
  <c r="H22" i="5"/>
  <c r="I22" i="5"/>
  <c r="J22" i="5"/>
  <c r="J60" i="7" s="1"/>
  <c r="K22" i="5"/>
  <c r="K60" i="7" s="1"/>
  <c r="L22" i="5"/>
  <c r="M22" i="5"/>
  <c r="N22" i="5"/>
  <c r="N60" i="7" s="1"/>
  <c r="D21" i="5"/>
  <c r="E21" i="5"/>
  <c r="F21" i="5"/>
  <c r="F62" i="7" s="1"/>
  <c r="G21" i="5"/>
  <c r="G62" i="7" s="1"/>
  <c r="H21" i="5"/>
  <c r="I21" i="5"/>
  <c r="J21" i="5"/>
  <c r="J62" i="7" s="1"/>
  <c r="K21" i="5"/>
  <c r="K62" i="7" s="1"/>
  <c r="L21" i="5"/>
  <c r="M21" i="5"/>
  <c r="N21" i="5"/>
  <c r="N62" i="7" s="1"/>
  <c r="D20" i="5"/>
  <c r="E20" i="5"/>
  <c r="E52" i="7" s="1"/>
  <c r="F20" i="5"/>
  <c r="F52" i="7" s="1"/>
  <c r="G20" i="5"/>
  <c r="H20" i="5"/>
  <c r="I20" i="5"/>
  <c r="I52" i="7" s="1"/>
  <c r="J20" i="5"/>
  <c r="J52" i="7" s="1"/>
  <c r="K20" i="5"/>
  <c r="L20" i="5"/>
  <c r="M20" i="5"/>
  <c r="M52" i="7" s="1"/>
  <c r="N20" i="5"/>
  <c r="N52" i="7" s="1"/>
  <c r="D19" i="5"/>
  <c r="E19" i="5"/>
  <c r="F19" i="5"/>
  <c r="G19" i="5"/>
  <c r="G54" i="7" s="1"/>
  <c r="H19" i="5"/>
  <c r="I19" i="5"/>
  <c r="J19" i="5"/>
  <c r="K19" i="5"/>
  <c r="K54" i="7" s="1"/>
  <c r="L19" i="5"/>
  <c r="M19" i="5"/>
  <c r="N19" i="5"/>
  <c r="D18" i="5"/>
  <c r="E18" i="5"/>
  <c r="F18" i="5"/>
  <c r="G18" i="5"/>
  <c r="G53" i="7" s="1"/>
  <c r="H18" i="5"/>
  <c r="I18" i="5"/>
  <c r="J18" i="5"/>
  <c r="K18" i="5"/>
  <c r="K53" i="7" s="1"/>
  <c r="L18" i="5"/>
  <c r="M18" i="5"/>
  <c r="N18" i="5"/>
  <c r="D17" i="5"/>
  <c r="E17" i="5"/>
  <c r="E55" i="7" s="1"/>
  <c r="F17" i="5"/>
  <c r="F55" i="7" s="1"/>
  <c r="G17" i="5"/>
  <c r="G55" i="7" s="1"/>
  <c r="H17" i="5"/>
  <c r="I17" i="5"/>
  <c r="I55" i="7" s="1"/>
  <c r="J17" i="5"/>
  <c r="J55" i="7" s="1"/>
  <c r="K17" i="5"/>
  <c r="K55" i="7" s="1"/>
  <c r="L17" i="5"/>
  <c r="M17" i="5"/>
  <c r="M55" i="7" s="1"/>
  <c r="N17" i="5"/>
  <c r="N55" i="7" s="1"/>
  <c r="D16" i="5"/>
  <c r="E16" i="5"/>
  <c r="E50" i="6" s="1"/>
  <c r="F16" i="5"/>
  <c r="F50" i="6" s="1"/>
  <c r="G16" i="5"/>
  <c r="G44" i="7" s="1"/>
  <c r="H16" i="5"/>
  <c r="I16" i="5"/>
  <c r="I50" i="6" s="1"/>
  <c r="J16" i="5"/>
  <c r="J50" i="6" s="1"/>
  <c r="K16" i="5"/>
  <c r="K44" i="7" s="1"/>
  <c r="L16" i="5"/>
  <c r="M16" i="5"/>
  <c r="M50" i="6" s="1"/>
  <c r="N16" i="5"/>
  <c r="N50" i="6" s="1"/>
  <c r="D15" i="5"/>
  <c r="E15" i="5"/>
  <c r="F15" i="5"/>
  <c r="F52" i="6" s="1"/>
  <c r="G15" i="5"/>
  <c r="G46" i="7" s="1"/>
  <c r="H15" i="5"/>
  <c r="I15" i="5"/>
  <c r="J15" i="5"/>
  <c r="J52" i="6" s="1"/>
  <c r="K15" i="5"/>
  <c r="K46" i="7" s="1"/>
  <c r="L15" i="5"/>
  <c r="M15" i="5"/>
  <c r="N15" i="5"/>
  <c r="N52" i="6" s="1"/>
  <c r="D14" i="5"/>
  <c r="E14" i="5"/>
  <c r="F14" i="5"/>
  <c r="F51" i="6" s="1"/>
  <c r="G14" i="5"/>
  <c r="G45" i="7" s="1"/>
  <c r="H14" i="5"/>
  <c r="I14" i="5"/>
  <c r="J14" i="5"/>
  <c r="J51" i="6" s="1"/>
  <c r="K14" i="5"/>
  <c r="K45" i="7" s="1"/>
  <c r="L14" i="5"/>
  <c r="M14" i="5"/>
  <c r="N14" i="5"/>
  <c r="N51" i="6" s="1"/>
  <c r="D11" i="5"/>
  <c r="E11" i="5"/>
  <c r="F11" i="5"/>
  <c r="F44" i="6" s="1"/>
  <c r="G11" i="5"/>
  <c r="G44" i="6" s="1"/>
  <c r="H11" i="5"/>
  <c r="I11" i="5"/>
  <c r="J11" i="5"/>
  <c r="K11" i="5"/>
  <c r="K44" i="6" s="1"/>
  <c r="L11" i="5"/>
  <c r="M11" i="5"/>
  <c r="N11" i="5"/>
  <c r="D10" i="5"/>
  <c r="E10" i="5"/>
  <c r="E43" i="6" s="1"/>
  <c r="F10" i="5"/>
  <c r="F43" i="6" s="1"/>
  <c r="G10" i="5"/>
  <c r="G37" i="7" s="1"/>
  <c r="H10" i="5"/>
  <c r="I10" i="5"/>
  <c r="I43" i="6" s="1"/>
  <c r="J10" i="5"/>
  <c r="J43" i="6" s="1"/>
  <c r="K10" i="5"/>
  <c r="K37" i="7" s="1"/>
  <c r="L10" i="5"/>
  <c r="M10" i="5"/>
  <c r="M43" i="6" s="1"/>
  <c r="N10" i="5"/>
  <c r="N43" i="6" s="1"/>
  <c r="D9" i="5"/>
  <c r="E9" i="5"/>
  <c r="F9" i="5"/>
  <c r="G9" i="5"/>
  <c r="G39" i="7" s="1"/>
  <c r="H9" i="5"/>
  <c r="I9" i="5"/>
  <c r="J9" i="5"/>
  <c r="J39" i="7" s="1"/>
  <c r="K9" i="5"/>
  <c r="K39" i="7" s="1"/>
  <c r="L9" i="5"/>
  <c r="M9" i="5"/>
  <c r="N9" i="5"/>
  <c r="F39" i="7"/>
  <c r="N39" i="7"/>
  <c r="C24" i="5"/>
  <c r="C22" i="5"/>
  <c r="C23" i="5"/>
  <c r="C59" i="7"/>
  <c r="C21" i="5"/>
  <c r="C20" i="5"/>
  <c r="C18" i="5"/>
  <c r="C19" i="5"/>
  <c r="C52" i="7"/>
  <c r="C54" i="7"/>
  <c r="C17" i="5"/>
  <c r="C16" i="5"/>
  <c r="C14" i="5"/>
  <c r="C15" i="5"/>
  <c r="C52" i="6" s="1"/>
  <c r="C57" i="5"/>
  <c r="C78" i="5" s="1"/>
  <c r="C13" i="5"/>
  <c r="C12" i="5"/>
  <c r="C11" i="5"/>
  <c r="C10" i="5"/>
  <c r="C9" i="5"/>
  <c r="F10" i="4"/>
  <c r="D36" i="5" s="1"/>
  <c r="G10" i="4"/>
  <c r="E36" i="5" s="1"/>
  <c r="E16" i="7" s="1"/>
  <c r="H10" i="4"/>
  <c r="F36" i="5" s="1"/>
  <c r="I10" i="4"/>
  <c r="G36" i="5" s="1"/>
  <c r="J10" i="4"/>
  <c r="H36" i="5" s="1"/>
  <c r="K10" i="4"/>
  <c r="I36" i="5" s="1"/>
  <c r="L10" i="4"/>
  <c r="J36" i="5" s="1"/>
  <c r="M10" i="4"/>
  <c r="K36" i="5" s="1"/>
  <c r="N10" i="4"/>
  <c r="L36" i="5" s="1"/>
  <c r="O10" i="4"/>
  <c r="M36" i="5" s="1"/>
  <c r="P10" i="4"/>
  <c r="N36" i="5" s="1"/>
  <c r="E10" i="4"/>
  <c r="C36" i="5" s="1"/>
  <c r="F9" i="4"/>
  <c r="D35" i="5" s="1"/>
  <c r="G9" i="4"/>
  <c r="E35" i="5" s="1"/>
  <c r="E15" i="7" s="1"/>
  <c r="H9" i="4"/>
  <c r="F35" i="5" s="1"/>
  <c r="I9" i="4"/>
  <c r="G35" i="5" s="1"/>
  <c r="J9" i="4"/>
  <c r="H35" i="5" s="1"/>
  <c r="K9" i="4"/>
  <c r="I35" i="5" s="1"/>
  <c r="L9" i="4"/>
  <c r="J35" i="5" s="1"/>
  <c r="M9" i="4"/>
  <c r="K35" i="5" s="1"/>
  <c r="N9" i="4"/>
  <c r="L35" i="5" s="1"/>
  <c r="O9" i="4"/>
  <c r="M35" i="5" s="1"/>
  <c r="P9" i="4"/>
  <c r="N35" i="5" s="1"/>
  <c r="E9" i="4"/>
  <c r="C35" i="5" s="1"/>
  <c r="C17" i="6" s="1"/>
  <c r="F8" i="4"/>
  <c r="D34" i="5" s="1"/>
  <c r="G8" i="4"/>
  <c r="E34" i="5" s="1"/>
  <c r="E17" i="7" s="1"/>
  <c r="E18" i="7" s="1"/>
  <c r="H8" i="4"/>
  <c r="F34" i="5" s="1"/>
  <c r="I8" i="4"/>
  <c r="G34" i="5" s="1"/>
  <c r="J8" i="4"/>
  <c r="H34" i="5" s="1"/>
  <c r="K8" i="4"/>
  <c r="I34" i="5" s="1"/>
  <c r="L8" i="4"/>
  <c r="J34" i="5" s="1"/>
  <c r="M8" i="4"/>
  <c r="K34" i="5" s="1"/>
  <c r="N8" i="4"/>
  <c r="L34" i="5" s="1"/>
  <c r="O8" i="4"/>
  <c r="M34" i="5" s="1"/>
  <c r="P8" i="4"/>
  <c r="N34" i="5" s="1"/>
  <c r="E8" i="4"/>
  <c r="C34" i="5" s="1"/>
  <c r="F7" i="4"/>
  <c r="D32" i="5" s="1"/>
  <c r="G7" i="4"/>
  <c r="E32" i="5" s="1"/>
  <c r="H7" i="4"/>
  <c r="F32" i="5" s="1"/>
  <c r="I7" i="4"/>
  <c r="G32" i="5" s="1"/>
  <c r="J7" i="4"/>
  <c r="H32" i="5" s="1"/>
  <c r="K7" i="4"/>
  <c r="I32" i="5" s="1"/>
  <c r="L7" i="4"/>
  <c r="J32" i="5" s="1"/>
  <c r="M7" i="4"/>
  <c r="K32" i="5" s="1"/>
  <c r="N7" i="4"/>
  <c r="L32" i="5" s="1"/>
  <c r="O7" i="4"/>
  <c r="M32" i="5" s="1"/>
  <c r="P7" i="4"/>
  <c r="N32" i="5" s="1"/>
  <c r="E7" i="4"/>
  <c r="C32" i="5" s="1"/>
  <c r="C9" i="7" s="1"/>
  <c r="F6" i="4"/>
  <c r="D31" i="5" s="1"/>
  <c r="G6" i="4"/>
  <c r="E31" i="5" s="1"/>
  <c r="H6" i="4"/>
  <c r="F31" i="5" s="1"/>
  <c r="I6" i="4"/>
  <c r="G31" i="5" s="1"/>
  <c r="J6" i="4"/>
  <c r="H31" i="5" s="1"/>
  <c r="K6" i="4"/>
  <c r="I31" i="5" s="1"/>
  <c r="L6" i="4"/>
  <c r="J31" i="5" s="1"/>
  <c r="M6" i="4"/>
  <c r="K31" i="5" s="1"/>
  <c r="N6" i="4"/>
  <c r="L31" i="5" s="1"/>
  <c r="O6" i="4"/>
  <c r="M31" i="5" s="1"/>
  <c r="P6" i="4"/>
  <c r="N31" i="5" s="1"/>
  <c r="F5" i="4"/>
  <c r="D30" i="5" s="1"/>
  <c r="G5" i="4"/>
  <c r="E30" i="5" s="1"/>
  <c r="H5" i="4"/>
  <c r="F30" i="5" s="1"/>
  <c r="I5" i="4"/>
  <c r="G30" i="5" s="1"/>
  <c r="J5" i="4"/>
  <c r="H30" i="5" s="1"/>
  <c r="K5" i="4"/>
  <c r="I30" i="5" s="1"/>
  <c r="L5" i="4"/>
  <c r="J30" i="5" s="1"/>
  <c r="M5" i="4"/>
  <c r="K30" i="5" s="1"/>
  <c r="N5" i="4"/>
  <c r="L30" i="5" s="1"/>
  <c r="O5" i="4"/>
  <c r="M30" i="5" s="1"/>
  <c r="P5" i="4"/>
  <c r="N30" i="5" s="1"/>
  <c r="E5" i="4"/>
  <c r="C30" i="5" s="1"/>
  <c r="F51" i="3"/>
  <c r="G51" i="3"/>
  <c r="H51" i="3"/>
  <c r="I51" i="3"/>
  <c r="J51" i="3"/>
  <c r="K51" i="3"/>
  <c r="L51" i="3"/>
  <c r="M51" i="3"/>
  <c r="N51" i="3"/>
  <c r="O51" i="3"/>
  <c r="P51" i="3"/>
  <c r="E51" i="3"/>
  <c r="F46" i="3"/>
  <c r="G46" i="3"/>
  <c r="H46" i="3"/>
  <c r="I46" i="3"/>
  <c r="J46" i="3"/>
  <c r="K46" i="3"/>
  <c r="L46" i="3"/>
  <c r="M46" i="3"/>
  <c r="N46" i="3"/>
  <c r="O46" i="3"/>
  <c r="P46" i="3"/>
  <c r="E46" i="3"/>
  <c r="F42" i="3"/>
  <c r="G42" i="3"/>
  <c r="H42" i="3"/>
  <c r="I42" i="3"/>
  <c r="J42" i="3"/>
  <c r="K42" i="3"/>
  <c r="L42" i="3"/>
  <c r="M42" i="3"/>
  <c r="N42" i="3"/>
  <c r="O42" i="3"/>
  <c r="P42" i="3"/>
  <c r="E42" i="3"/>
  <c r="F40" i="3"/>
  <c r="G40" i="3"/>
  <c r="H40" i="3"/>
  <c r="I40" i="3"/>
  <c r="J40" i="3"/>
  <c r="K40" i="3"/>
  <c r="L40" i="3"/>
  <c r="M40" i="3"/>
  <c r="N40" i="3"/>
  <c r="O40" i="3"/>
  <c r="P40" i="3"/>
  <c r="E40" i="3"/>
  <c r="F35" i="3"/>
  <c r="G35" i="3"/>
  <c r="H35" i="3"/>
  <c r="I35" i="3"/>
  <c r="J35" i="3"/>
  <c r="K35" i="3"/>
  <c r="L35" i="3"/>
  <c r="M35" i="3"/>
  <c r="N35" i="3"/>
  <c r="O35" i="3"/>
  <c r="P35" i="3"/>
  <c r="E35" i="3"/>
  <c r="F33" i="3"/>
  <c r="G33" i="3"/>
  <c r="H33" i="3"/>
  <c r="I33" i="3"/>
  <c r="J33" i="3"/>
  <c r="K33" i="3"/>
  <c r="L33" i="3"/>
  <c r="M33" i="3"/>
  <c r="N33" i="3"/>
  <c r="O33" i="3"/>
  <c r="P33" i="3"/>
  <c r="F25" i="3"/>
  <c r="G25" i="3"/>
  <c r="H25" i="3"/>
  <c r="I25" i="3"/>
  <c r="J25" i="3"/>
  <c r="K25" i="3"/>
  <c r="L25" i="3"/>
  <c r="M25" i="3"/>
  <c r="N25" i="3"/>
  <c r="O25" i="3"/>
  <c r="P25" i="3"/>
  <c r="E25" i="3"/>
  <c r="F23" i="3"/>
  <c r="G23" i="3"/>
  <c r="H23" i="3"/>
  <c r="I23" i="3"/>
  <c r="J23" i="3"/>
  <c r="K23" i="3"/>
  <c r="L23" i="3"/>
  <c r="M23" i="3"/>
  <c r="N23" i="3"/>
  <c r="O23" i="3"/>
  <c r="P23" i="3"/>
  <c r="E23" i="3"/>
  <c r="F14" i="3"/>
  <c r="G14" i="3"/>
  <c r="H14" i="3"/>
  <c r="I14" i="3"/>
  <c r="J14" i="3"/>
  <c r="K14" i="3"/>
  <c r="L14" i="3"/>
  <c r="M14" i="3"/>
  <c r="N14" i="3"/>
  <c r="O14" i="3"/>
  <c r="P14" i="3"/>
  <c r="E14" i="3"/>
  <c r="F8" i="3"/>
  <c r="G8" i="3"/>
  <c r="H8" i="3"/>
  <c r="I8" i="3"/>
  <c r="J8" i="3"/>
  <c r="K8" i="3"/>
  <c r="L8" i="3"/>
  <c r="M8" i="3"/>
  <c r="N8" i="3"/>
  <c r="O8" i="3"/>
  <c r="P8" i="3"/>
  <c r="E8" i="3"/>
  <c r="F12" i="3"/>
  <c r="G12" i="3"/>
  <c r="H12" i="3"/>
  <c r="I12" i="3"/>
  <c r="J12" i="3"/>
  <c r="K12" i="3"/>
  <c r="L12" i="3"/>
  <c r="M12" i="3"/>
  <c r="N12" i="3"/>
  <c r="O12" i="3"/>
  <c r="P12" i="3"/>
  <c r="E12" i="3"/>
  <c r="C11" i="9"/>
  <c r="C55" i="7" s="1"/>
  <c r="D62" i="7"/>
  <c r="E62" i="7"/>
  <c r="H62" i="7"/>
  <c r="I62" i="7"/>
  <c r="L62" i="7"/>
  <c r="M62" i="7"/>
  <c r="D61" i="7"/>
  <c r="E61" i="7"/>
  <c r="H61" i="7"/>
  <c r="I61" i="7"/>
  <c r="L61" i="7"/>
  <c r="M61" i="7"/>
  <c r="C61" i="7"/>
  <c r="D60" i="7"/>
  <c r="E60" i="7"/>
  <c r="H60" i="7"/>
  <c r="I60" i="7"/>
  <c r="L60" i="7"/>
  <c r="M60" i="7"/>
  <c r="C60" i="7"/>
  <c r="D55" i="7"/>
  <c r="H55" i="7"/>
  <c r="L55" i="7"/>
  <c r="D54" i="7"/>
  <c r="E54" i="7"/>
  <c r="F54" i="7"/>
  <c r="H54" i="7"/>
  <c r="I54" i="7"/>
  <c r="J54" i="7"/>
  <c r="L54" i="7"/>
  <c r="M54" i="7"/>
  <c r="N54" i="7"/>
  <c r="D53" i="7"/>
  <c r="E53" i="7"/>
  <c r="F53" i="7"/>
  <c r="H53" i="7"/>
  <c r="I53" i="7"/>
  <c r="J53" i="7"/>
  <c r="L53" i="7"/>
  <c r="M53" i="7"/>
  <c r="N53" i="7"/>
  <c r="C53" i="7"/>
  <c r="D52" i="7"/>
  <c r="H52" i="7"/>
  <c r="L52" i="7"/>
  <c r="D47" i="7"/>
  <c r="E47" i="7"/>
  <c r="F47" i="7"/>
  <c r="G47" i="7"/>
  <c r="H47" i="7"/>
  <c r="I47" i="7"/>
  <c r="J47" i="7"/>
  <c r="K47" i="7"/>
  <c r="L47" i="7"/>
  <c r="M47" i="7"/>
  <c r="N47" i="7"/>
  <c r="C47" i="7"/>
  <c r="D46" i="7"/>
  <c r="E46" i="7"/>
  <c r="F46" i="7"/>
  <c r="H46" i="7"/>
  <c r="I46" i="7"/>
  <c r="J46" i="7"/>
  <c r="L46" i="7"/>
  <c r="M46" i="7"/>
  <c r="N46" i="7"/>
  <c r="D45" i="7"/>
  <c r="E45" i="7"/>
  <c r="F45" i="7"/>
  <c r="H45" i="7"/>
  <c r="I45" i="7"/>
  <c r="J45" i="7"/>
  <c r="L45" i="7"/>
  <c r="M45" i="7"/>
  <c r="N45" i="7"/>
  <c r="C45" i="7"/>
  <c r="D44" i="7"/>
  <c r="E44" i="7"/>
  <c r="F44" i="7"/>
  <c r="H44" i="7"/>
  <c r="I44" i="7"/>
  <c r="J44" i="7"/>
  <c r="L44" i="7"/>
  <c r="M44" i="7"/>
  <c r="N44" i="7"/>
  <c r="D39" i="7"/>
  <c r="E39" i="7"/>
  <c r="H39" i="7"/>
  <c r="I39" i="7"/>
  <c r="L39" i="7"/>
  <c r="M39" i="7"/>
  <c r="C39" i="7"/>
  <c r="D38" i="7"/>
  <c r="E38" i="7"/>
  <c r="F38" i="7"/>
  <c r="G38" i="7"/>
  <c r="H38" i="7"/>
  <c r="I38" i="7"/>
  <c r="J38" i="7"/>
  <c r="K38" i="7"/>
  <c r="L38" i="7"/>
  <c r="M38" i="7"/>
  <c r="N38" i="7"/>
  <c r="C38" i="7"/>
  <c r="D37" i="7"/>
  <c r="E37" i="7"/>
  <c r="F37" i="7"/>
  <c r="H37" i="7"/>
  <c r="I37" i="7"/>
  <c r="J37" i="7"/>
  <c r="L37" i="7"/>
  <c r="M37" i="7"/>
  <c r="N37" i="7"/>
  <c r="C37" i="7"/>
  <c r="D36" i="7"/>
  <c r="E36" i="7"/>
  <c r="F36" i="7"/>
  <c r="G36" i="7"/>
  <c r="H36" i="7"/>
  <c r="I36" i="7"/>
  <c r="J36" i="7"/>
  <c r="K36" i="7"/>
  <c r="L36" i="7"/>
  <c r="M36" i="7"/>
  <c r="N36" i="7"/>
  <c r="C36" i="7"/>
  <c r="D28" i="7"/>
  <c r="E28" i="7"/>
  <c r="F28" i="7"/>
  <c r="G28" i="7"/>
  <c r="H28" i="7"/>
  <c r="I28" i="7"/>
  <c r="K28" i="7"/>
  <c r="L28" i="7"/>
  <c r="M28" i="7"/>
  <c r="N28" i="7"/>
  <c r="C28" i="7"/>
  <c r="D21" i="7"/>
  <c r="E21" i="7"/>
  <c r="H21" i="7"/>
  <c r="I21" i="7"/>
  <c r="L21" i="7"/>
  <c r="M21" i="7"/>
  <c r="C21" i="7"/>
  <c r="D7" i="7"/>
  <c r="E7" i="7"/>
  <c r="F7" i="7"/>
  <c r="G7" i="7"/>
  <c r="H7" i="7"/>
  <c r="I7" i="7"/>
  <c r="J7" i="7"/>
  <c r="K7" i="7"/>
  <c r="L7" i="7"/>
  <c r="M7" i="7"/>
  <c r="N7" i="7"/>
  <c r="C7" i="7"/>
  <c r="C33" i="5"/>
  <c r="C53" i="5" s="1"/>
  <c r="C74" i="5" s="1"/>
  <c r="D71" i="6"/>
  <c r="E71" i="6"/>
  <c r="F71" i="6"/>
  <c r="G71" i="6"/>
  <c r="H71" i="6"/>
  <c r="I71" i="6"/>
  <c r="J71" i="6"/>
  <c r="K71" i="6"/>
  <c r="L71" i="6"/>
  <c r="M71" i="6"/>
  <c r="N71" i="6"/>
  <c r="C71" i="6"/>
  <c r="D70" i="6"/>
  <c r="E70" i="6"/>
  <c r="F70" i="6"/>
  <c r="G70" i="6"/>
  <c r="H70" i="6"/>
  <c r="I70" i="6"/>
  <c r="J70" i="6"/>
  <c r="K70" i="6"/>
  <c r="L70" i="6"/>
  <c r="M70" i="6"/>
  <c r="N70" i="6"/>
  <c r="C70" i="6"/>
  <c r="D69" i="6"/>
  <c r="E69" i="6"/>
  <c r="F69" i="6"/>
  <c r="G69" i="6"/>
  <c r="H69" i="6"/>
  <c r="I69" i="6"/>
  <c r="J69" i="6"/>
  <c r="K69" i="6"/>
  <c r="L69" i="6"/>
  <c r="M69" i="6"/>
  <c r="N69" i="6"/>
  <c r="C69" i="6"/>
  <c r="D68" i="6"/>
  <c r="E68" i="6"/>
  <c r="H68" i="6"/>
  <c r="I68" i="6"/>
  <c r="L68" i="6"/>
  <c r="M68" i="6"/>
  <c r="C68" i="6"/>
  <c r="D67" i="6"/>
  <c r="E67" i="6"/>
  <c r="F67" i="6"/>
  <c r="G67" i="6"/>
  <c r="H67" i="6"/>
  <c r="I67" i="6"/>
  <c r="J67" i="6"/>
  <c r="K67" i="6"/>
  <c r="L67" i="6"/>
  <c r="M67" i="6"/>
  <c r="N67" i="6"/>
  <c r="C67" i="6"/>
  <c r="C66" i="6"/>
  <c r="D66" i="6"/>
  <c r="E66" i="6"/>
  <c r="H66" i="6"/>
  <c r="I66" i="6"/>
  <c r="L66" i="6"/>
  <c r="M66" i="6"/>
  <c r="D61" i="6"/>
  <c r="E61" i="6"/>
  <c r="F61" i="6"/>
  <c r="G61" i="6"/>
  <c r="H61" i="6"/>
  <c r="I61" i="6"/>
  <c r="J61" i="6"/>
  <c r="K61" i="6"/>
  <c r="L61" i="6"/>
  <c r="M61" i="6"/>
  <c r="N61" i="6"/>
  <c r="C61" i="6"/>
  <c r="C53" i="6"/>
  <c r="D60" i="6"/>
  <c r="E60" i="6"/>
  <c r="F60" i="6"/>
  <c r="G60" i="6"/>
  <c r="H60" i="6"/>
  <c r="I60" i="6"/>
  <c r="J60" i="6"/>
  <c r="K60" i="6"/>
  <c r="L60" i="6"/>
  <c r="M60" i="6"/>
  <c r="N60" i="6"/>
  <c r="D59" i="6"/>
  <c r="E59" i="6"/>
  <c r="F59" i="6"/>
  <c r="G59" i="6"/>
  <c r="H59" i="6"/>
  <c r="I59" i="6"/>
  <c r="J59" i="6"/>
  <c r="K59" i="6"/>
  <c r="L59" i="6"/>
  <c r="M59" i="6"/>
  <c r="N59" i="6"/>
  <c r="C59" i="6"/>
  <c r="D58" i="6"/>
  <c r="E58" i="6"/>
  <c r="F58" i="6"/>
  <c r="G58" i="6"/>
  <c r="H58" i="6"/>
  <c r="I58" i="6"/>
  <c r="J58" i="6"/>
  <c r="K58" i="6"/>
  <c r="L58" i="6"/>
  <c r="M58" i="6"/>
  <c r="N58" i="6"/>
  <c r="D53" i="6"/>
  <c r="E53" i="6"/>
  <c r="F53" i="6"/>
  <c r="G53" i="6"/>
  <c r="H53" i="6"/>
  <c r="I53" i="6"/>
  <c r="J53" i="6"/>
  <c r="K53" i="6"/>
  <c r="L53" i="6"/>
  <c r="M53" i="6"/>
  <c r="N53" i="6"/>
  <c r="C45" i="6"/>
  <c r="D51" i="6"/>
  <c r="E51" i="6"/>
  <c r="H51" i="6"/>
  <c r="I51" i="6"/>
  <c r="L51" i="6"/>
  <c r="M51" i="6"/>
  <c r="D52" i="6"/>
  <c r="E52" i="6"/>
  <c r="H52" i="6"/>
  <c r="I52" i="6"/>
  <c r="L52" i="6"/>
  <c r="M52" i="6"/>
  <c r="D50" i="6"/>
  <c r="H50" i="6"/>
  <c r="L50" i="6"/>
  <c r="C51" i="6"/>
  <c r="C42" i="6"/>
  <c r="D45" i="6"/>
  <c r="E45" i="6"/>
  <c r="F45" i="6"/>
  <c r="G45" i="6"/>
  <c r="H45" i="6"/>
  <c r="I45" i="6"/>
  <c r="J45" i="6"/>
  <c r="K45" i="6"/>
  <c r="L45" i="6"/>
  <c r="M45" i="6"/>
  <c r="N45" i="6"/>
  <c r="C27" i="6"/>
  <c r="D44" i="6"/>
  <c r="E44" i="6"/>
  <c r="H44" i="6"/>
  <c r="I44" i="6"/>
  <c r="J44" i="6"/>
  <c r="L44" i="6"/>
  <c r="M44" i="6"/>
  <c r="N44" i="6"/>
  <c r="D43" i="6"/>
  <c r="H43" i="6"/>
  <c r="L43" i="6"/>
  <c r="C44" i="6"/>
  <c r="C43" i="6"/>
  <c r="D42" i="6"/>
  <c r="E42" i="6"/>
  <c r="F42" i="6"/>
  <c r="G42" i="6"/>
  <c r="H42" i="6"/>
  <c r="I42" i="6"/>
  <c r="J42" i="6"/>
  <c r="K42" i="6"/>
  <c r="L42" i="6"/>
  <c r="M42" i="6"/>
  <c r="N42" i="6"/>
  <c r="C32" i="6"/>
  <c r="D37" i="6"/>
  <c r="E37" i="6"/>
  <c r="F37" i="6"/>
  <c r="G37" i="6"/>
  <c r="H37" i="6"/>
  <c r="I37" i="6"/>
  <c r="J37" i="6"/>
  <c r="K37" i="6"/>
  <c r="L37" i="6"/>
  <c r="M37" i="6"/>
  <c r="N37" i="6"/>
  <c r="C37" i="6"/>
  <c r="D36" i="6"/>
  <c r="E36" i="6"/>
  <c r="F36" i="6"/>
  <c r="G36" i="6"/>
  <c r="H36" i="6"/>
  <c r="I36" i="6"/>
  <c r="J36" i="6"/>
  <c r="K36" i="6"/>
  <c r="L36" i="6"/>
  <c r="M36" i="6"/>
  <c r="N36" i="6"/>
  <c r="C36" i="6"/>
  <c r="D35" i="6"/>
  <c r="E35" i="6"/>
  <c r="F35" i="6"/>
  <c r="G35" i="6"/>
  <c r="H35" i="6"/>
  <c r="I35" i="6"/>
  <c r="J35" i="6"/>
  <c r="K35" i="6"/>
  <c r="L35" i="6"/>
  <c r="M35" i="6"/>
  <c r="N35" i="6"/>
  <c r="C35" i="6"/>
  <c r="D27" i="6"/>
  <c r="E27" i="6"/>
  <c r="F27" i="6"/>
  <c r="G27" i="6"/>
  <c r="H27" i="6"/>
  <c r="I27" i="6"/>
  <c r="J27" i="6"/>
  <c r="K27" i="6"/>
  <c r="L27" i="6"/>
  <c r="M27" i="6"/>
  <c r="N27" i="6"/>
  <c r="D19" i="6"/>
  <c r="E19" i="6"/>
  <c r="F19" i="6"/>
  <c r="G19" i="6"/>
  <c r="H19" i="6"/>
  <c r="I19" i="6"/>
  <c r="J19" i="6"/>
  <c r="K19" i="6"/>
  <c r="L19" i="6"/>
  <c r="M19" i="6"/>
  <c r="N19" i="6"/>
  <c r="C19" i="6"/>
  <c r="D11" i="6"/>
  <c r="E11" i="6"/>
  <c r="F11" i="6"/>
  <c r="G11" i="6"/>
  <c r="H11" i="6"/>
  <c r="I11" i="6"/>
  <c r="J11" i="6"/>
  <c r="K11" i="6"/>
  <c r="L11" i="6"/>
  <c r="M11" i="6"/>
  <c r="N11" i="6"/>
  <c r="C11" i="6"/>
  <c r="D32" i="6"/>
  <c r="E32" i="6"/>
  <c r="F32" i="6"/>
  <c r="G32" i="6"/>
  <c r="H32" i="6"/>
  <c r="I32" i="6"/>
  <c r="K32" i="6"/>
  <c r="L32" i="6"/>
  <c r="M32" i="6"/>
  <c r="N32" i="6"/>
  <c r="C24" i="6"/>
  <c r="D24" i="6"/>
  <c r="E24" i="6"/>
  <c r="F24" i="6"/>
  <c r="G24" i="6"/>
  <c r="H24" i="6"/>
  <c r="I24" i="6"/>
  <c r="J24" i="6"/>
  <c r="K24" i="6"/>
  <c r="L24" i="6"/>
  <c r="M24" i="6"/>
  <c r="N24" i="6"/>
  <c r="C16" i="6"/>
  <c r="D16" i="6"/>
  <c r="E16" i="6"/>
  <c r="F16" i="6"/>
  <c r="H16" i="6"/>
  <c r="I16" i="6"/>
  <c r="J16" i="6"/>
  <c r="L16" i="6"/>
  <c r="M16" i="6"/>
  <c r="N16" i="6"/>
  <c r="D8" i="6"/>
  <c r="E8" i="6"/>
  <c r="F8" i="6"/>
  <c r="G8" i="6"/>
  <c r="H8" i="6"/>
  <c r="I8" i="6"/>
  <c r="J8" i="6"/>
  <c r="K8" i="6"/>
  <c r="L8" i="6"/>
  <c r="M8" i="6"/>
  <c r="N8" i="6"/>
  <c r="D86" i="5"/>
  <c r="H86" i="5"/>
  <c r="L86" i="5"/>
  <c r="D74" i="5"/>
  <c r="E74" i="5"/>
  <c r="F74" i="5"/>
  <c r="G74" i="5"/>
  <c r="H74" i="5"/>
  <c r="I74" i="5"/>
  <c r="J74" i="5"/>
  <c r="K74" i="5"/>
  <c r="L74" i="5"/>
  <c r="M74" i="5"/>
  <c r="N74" i="5"/>
  <c r="D65" i="5"/>
  <c r="E65" i="5"/>
  <c r="E86" i="5" s="1"/>
  <c r="F65" i="5"/>
  <c r="F86" i="5" s="1"/>
  <c r="G65" i="5"/>
  <c r="G86" i="5" s="1"/>
  <c r="H65" i="5"/>
  <c r="I65" i="5"/>
  <c r="I86" i="5" s="1"/>
  <c r="K65" i="5"/>
  <c r="K86" i="5" s="1"/>
  <c r="L65" i="5"/>
  <c r="M65" i="5"/>
  <c r="M86" i="5" s="1"/>
  <c r="N65" i="5"/>
  <c r="N86" i="5" s="1"/>
  <c r="D61" i="5"/>
  <c r="D82" i="5" s="1"/>
  <c r="E61" i="5"/>
  <c r="E82" i="5" s="1"/>
  <c r="H61" i="5"/>
  <c r="H82" i="5" s="1"/>
  <c r="I61" i="5"/>
  <c r="I82" i="5" s="1"/>
  <c r="J61" i="5"/>
  <c r="J82" i="5" s="1"/>
  <c r="L61" i="5"/>
  <c r="L82" i="5" s="1"/>
  <c r="M61" i="5"/>
  <c r="M82" i="5" s="1"/>
  <c r="N61" i="5"/>
  <c r="N82" i="5" s="1"/>
  <c r="D57" i="5"/>
  <c r="D78" i="5" s="1"/>
  <c r="H57" i="5"/>
  <c r="H78" i="5" s="1"/>
  <c r="L57" i="5"/>
  <c r="L78" i="5" s="1"/>
  <c r="D53" i="5"/>
  <c r="E53" i="5"/>
  <c r="F53" i="5"/>
  <c r="G53" i="5"/>
  <c r="H53" i="5"/>
  <c r="I53" i="5"/>
  <c r="J53" i="5"/>
  <c r="K53" i="5"/>
  <c r="L53" i="5"/>
  <c r="M53" i="5"/>
  <c r="N53" i="5"/>
  <c r="D45" i="5"/>
  <c r="E45" i="5"/>
  <c r="F45" i="5"/>
  <c r="G45" i="5"/>
  <c r="H45" i="5"/>
  <c r="I45" i="5"/>
  <c r="J45" i="5"/>
  <c r="J28" i="7" s="1"/>
  <c r="K45" i="5"/>
  <c r="L45" i="5"/>
  <c r="M45" i="5"/>
  <c r="N45" i="5"/>
  <c r="C37" i="5"/>
  <c r="D33" i="5"/>
  <c r="E33" i="5"/>
  <c r="F33" i="5"/>
  <c r="G33" i="5"/>
  <c r="H33" i="5"/>
  <c r="I33" i="5"/>
  <c r="J33" i="5"/>
  <c r="K33" i="5"/>
  <c r="L33" i="5"/>
  <c r="M33" i="5"/>
  <c r="N33" i="5"/>
  <c r="E39" i="4"/>
  <c r="F39" i="4"/>
  <c r="G39" i="4"/>
  <c r="H39" i="4"/>
  <c r="I39" i="4"/>
  <c r="J39" i="4"/>
  <c r="K39" i="4"/>
  <c r="L39" i="4"/>
  <c r="M39" i="4"/>
  <c r="N39" i="4"/>
  <c r="O39" i="4"/>
  <c r="P39" i="4"/>
  <c r="E32" i="4"/>
  <c r="F32" i="4"/>
  <c r="G32" i="4"/>
  <c r="H32" i="4"/>
  <c r="I32" i="4"/>
  <c r="J32" i="4"/>
  <c r="K32" i="4"/>
  <c r="M32" i="4"/>
  <c r="N32" i="4"/>
  <c r="O32" i="4"/>
  <c r="P32" i="4"/>
  <c r="E27" i="4"/>
  <c r="F27" i="4"/>
  <c r="G27" i="4"/>
  <c r="H27" i="4"/>
  <c r="I27" i="4"/>
  <c r="J27" i="4"/>
  <c r="K27" i="4"/>
  <c r="L27" i="4"/>
  <c r="M27" i="4"/>
  <c r="N27" i="4"/>
  <c r="O27" i="4"/>
  <c r="P27" i="4"/>
  <c r="D46" i="9"/>
  <c r="E46" i="9"/>
  <c r="F46" i="9"/>
  <c r="G46" i="9"/>
  <c r="H46" i="9"/>
  <c r="I46" i="9"/>
  <c r="J46" i="9"/>
  <c r="K46" i="9"/>
  <c r="L46" i="9"/>
  <c r="M46" i="9"/>
  <c r="N46" i="9"/>
  <c r="C46" i="9"/>
  <c r="D12" i="5"/>
  <c r="E12" i="5"/>
  <c r="F12" i="5"/>
  <c r="G12" i="5"/>
  <c r="H12" i="5"/>
  <c r="I12" i="5"/>
  <c r="J12" i="5"/>
  <c r="K12" i="5"/>
  <c r="L12" i="5"/>
  <c r="M12" i="5"/>
  <c r="N12" i="5"/>
  <c r="C31" i="5"/>
  <c r="C8" i="7" s="1"/>
  <c r="D13" i="5"/>
  <c r="E13" i="5"/>
  <c r="F13" i="5"/>
  <c r="G13" i="5"/>
  <c r="H13" i="5"/>
  <c r="I13" i="5"/>
  <c r="J13" i="5"/>
  <c r="K13" i="5"/>
  <c r="L13" i="5"/>
  <c r="M13" i="5"/>
  <c r="N13" i="5"/>
  <c r="M40" i="7" l="1"/>
  <c r="E40" i="7"/>
  <c r="E48" i="7"/>
  <c r="H48" i="7"/>
  <c r="L63" i="7"/>
  <c r="D63" i="7"/>
  <c r="J65" i="5"/>
  <c r="J86" i="5" s="1"/>
  <c r="J32" i="6"/>
  <c r="F61" i="5"/>
  <c r="F82" i="5" s="1"/>
  <c r="K61" i="5"/>
  <c r="K82" i="5" s="1"/>
  <c r="G61" i="5"/>
  <c r="G82" i="5" s="1"/>
  <c r="J56" i="5"/>
  <c r="J77" i="5" s="1"/>
  <c r="F18" i="6"/>
  <c r="J10" i="6"/>
  <c r="M63" i="7"/>
  <c r="E63" i="7"/>
  <c r="G61" i="7"/>
  <c r="K68" i="6"/>
  <c r="H63" i="7"/>
  <c r="N61" i="7"/>
  <c r="N63" i="7" s="1"/>
  <c r="J61" i="7"/>
  <c r="F61" i="7"/>
  <c r="G63" i="7"/>
  <c r="J63" i="7"/>
  <c r="F63" i="7"/>
  <c r="K63" i="7"/>
  <c r="I63" i="7"/>
  <c r="K52" i="7"/>
  <c r="G52" i="7"/>
  <c r="G56" i="7" s="1"/>
  <c r="D56" i="7"/>
  <c r="K56" i="7"/>
  <c r="L56" i="7"/>
  <c r="N56" i="7"/>
  <c r="J56" i="7"/>
  <c r="F56" i="7"/>
  <c r="H56" i="7"/>
  <c r="M56" i="7"/>
  <c r="I56" i="7"/>
  <c r="E56" i="7"/>
  <c r="K57" i="5"/>
  <c r="K78" i="5" s="1"/>
  <c r="G57" i="5"/>
  <c r="G78" i="5" s="1"/>
  <c r="K50" i="6"/>
  <c r="G50" i="6"/>
  <c r="M48" i="7"/>
  <c r="N57" i="5"/>
  <c r="N78" i="5" s="1"/>
  <c r="J57" i="5"/>
  <c r="J78" i="5" s="1"/>
  <c r="F57" i="5"/>
  <c r="F78" i="5" s="1"/>
  <c r="M57" i="5"/>
  <c r="M78" i="5" s="1"/>
  <c r="I57" i="5"/>
  <c r="I78" i="5" s="1"/>
  <c r="E57" i="5"/>
  <c r="E78" i="5" s="1"/>
  <c r="L48" i="7"/>
  <c r="F48" i="7"/>
  <c r="K48" i="7"/>
  <c r="G48" i="7"/>
  <c r="K52" i="6"/>
  <c r="G52" i="6"/>
  <c r="J48" i="7"/>
  <c r="E56" i="5"/>
  <c r="E77" i="5" s="1"/>
  <c r="N48" i="7"/>
  <c r="I48" i="7"/>
  <c r="D48" i="7"/>
  <c r="K51" i="6"/>
  <c r="G51" i="6"/>
  <c r="L40" i="7"/>
  <c r="D40" i="7"/>
  <c r="N40" i="7"/>
  <c r="K43" i="6"/>
  <c r="G43" i="6"/>
  <c r="F40" i="7"/>
  <c r="K40" i="7"/>
  <c r="G40" i="7"/>
  <c r="I40" i="7"/>
  <c r="J40" i="7"/>
  <c r="H40" i="7"/>
  <c r="C65" i="5"/>
  <c r="C86" i="5" s="1"/>
  <c r="C61" i="5"/>
  <c r="C82" i="5" s="1"/>
  <c r="C60" i="6"/>
  <c r="C58" i="6"/>
  <c r="C56" i="7"/>
  <c r="C46" i="7"/>
  <c r="C50" i="6"/>
  <c r="C44" i="7"/>
  <c r="C48" i="7" s="1"/>
  <c r="C40" i="7"/>
  <c r="K12" i="4"/>
  <c r="G12" i="4"/>
  <c r="N10" i="6"/>
  <c r="N52" i="5"/>
  <c r="N73" i="5" s="1"/>
  <c r="M17" i="6"/>
  <c r="E17" i="6"/>
  <c r="M18" i="6"/>
  <c r="M13" i="4"/>
  <c r="I13" i="4"/>
  <c r="I55" i="5"/>
  <c r="I76" i="5" s="1"/>
  <c r="L9" i="7"/>
  <c r="L10" i="6"/>
  <c r="L52" i="5"/>
  <c r="L73" i="5" s="1"/>
  <c r="G18" i="6"/>
  <c r="G56" i="5"/>
  <c r="G77" i="5" s="1"/>
  <c r="K18" i="6"/>
  <c r="K56" i="5"/>
  <c r="K77" i="5" s="1"/>
  <c r="N17" i="6"/>
  <c r="N55" i="5"/>
  <c r="N76" i="5" s="1"/>
  <c r="J17" i="6"/>
  <c r="J55" i="5"/>
  <c r="J76" i="5" s="1"/>
  <c r="L17" i="6"/>
  <c r="L55" i="5"/>
  <c r="L76" i="5" s="1"/>
  <c r="D17" i="6"/>
  <c r="D55" i="5"/>
  <c r="D76" i="5" s="1"/>
  <c r="L18" i="6"/>
  <c r="L56" i="5"/>
  <c r="L77" i="5" s="1"/>
  <c r="D18" i="6"/>
  <c r="D56" i="5"/>
  <c r="D77" i="5" s="1"/>
  <c r="L12" i="4"/>
  <c r="G13" i="4"/>
  <c r="D8" i="7"/>
  <c r="D9" i="6"/>
  <c r="F17" i="6"/>
  <c r="J13" i="4"/>
  <c r="K17" i="6"/>
  <c r="G55" i="5"/>
  <c r="G76" i="5" s="1"/>
  <c r="G17" i="6"/>
  <c r="J52" i="5"/>
  <c r="J73" i="5" s="1"/>
  <c r="F55" i="5"/>
  <c r="F76" i="5" s="1"/>
  <c r="I17" i="6"/>
  <c r="H12" i="4"/>
  <c r="K13" i="4"/>
  <c r="H17" i="6"/>
  <c r="H55" i="5"/>
  <c r="H76" i="5" s="1"/>
  <c r="K9" i="6"/>
  <c r="K8" i="7"/>
  <c r="F13" i="4"/>
  <c r="J12" i="4"/>
  <c r="N18" i="6"/>
  <c r="F10" i="6"/>
  <c r="F9" i="7"/>
  <c r="K51" i="5"/>
  <c r="K72" i="5" s="1"/>
  <c r="D51" i="5"/>
  <c r="D72" i="5" s="1"/>
  <c r="K55" i="5"/>
  <c r="K76" i="5" s="1"/>
  <c r="E55" i="5"/>
  <c r="E76" i="5" s="1"/>
  <c r="I56" i="5"/>
  <c r="I77" i="5" s="1"/>
  <c r="J9" i="7"/>
  <c r="P12" i="4"/>
  <c r="O13" i="4"/>
  <c r="H56" i="5"/>
  <c r="H77" i="5" s="1"/>
  <c r="H18" i="6"/>
  <c r="E18" i="6"/>
  <c r="O12" i="4"/>
  <c r="N13" i="4"/>
  <c r="N12" i="4"/>
  <c r="F12" i="4"/>
  <c r="J18" i="6"/>
  <c r="G9" i="6"/>
  <c r="G8" i="7"/>
  <c r="G51" i="5"/>
  <c r="G72" i="5" s="1"/>
  <c r="F52" i="5"/>
  <c r="F73" i="5" s="1"/>
  <c r="N56" i="5"/>
  <c r="N77" i="5" s="1"/>
  <c r="F56" i="5"/>
  <c r="F77" i="5" s="1"/>
  <c r="I18" i="6"/>
  <c r="M55" i="5"/>
  <c r="M76" i="5" s="1"/>
  <c r="M56" i="5"/>
  <c r="M77" i="5" s="1"/>
  <c r="N9" i="7"/>
  <c r="M12" i="4"/>
  <c r="I12" i="4"/>
  <c r="P13" i="4"/>
  <c r="L13" i="4"/>
  <c r="H13" i="4"/>
  <c r="E11" i="4"/>
  <c r="E13" i="4"/>
  <c r="C51" i="5"/>
  <c r="C72" i="5" s="1"/>
  <c r="C10" i="7"/>
  <c r="C11" i="7" s="1"/>
  <c r="C52" i="5"/>
  <c r="C73" i="5" s="1"/>
  <c r="C55" i="5"/>
  <c r="C76" i="5" s="1"/>
  <c r="C10" i="6"/>
  <c r="C9" i="6"/>
  <c r="C8" i="6"/>
  <c r="E12" i="4"/>
  <c r="D10" i="7"/>
  <c r="E10" i="7"/>
  <c r="H10" i="7"/>
  <c r="L10" i="7"/>
  <c r="E58" i="3"/>
  <c r="H20" i="6" l="1"/>
  <c r="L20" i="6"/>
  <c r="E20" i="6"/>
  <c r="I20" i="6"/>
  <c r="M20" i="6"/>
  <c r="F20" i="6"/>
  <c r="J20" i="6"/>
  <c r="N20" i="6"/>
  <c r="G20" i="6"/>
  <c r="K20" i="6"/>
  <c r="I54" i="5"/>
  <c r="I75" i="5" s="1"/>
  <c r="L8" i="7"/>
  <c r="L9" i="6"/>
  <c r="L51" i="5"/>
  <c r="L72" i="5" s="1"/>
  <c r="M8" i="7"/>
  <c r="M9" i="6"/>
  <c r="M51" i="5"/>
  <c r="M72" i="5" s="1"/>
  <c r="H8" i="7"/>
  <c r="H51" i="5"/>
  <c r="H72" i="5" s="1"/>
  <c r="H9" i="6"/>
  <c r="L54" i="5"/>
  <c r="L75" i="5" s="1"/>
  <c r="D9" i="7"/>
  <c r="D10" i="6"/>
  <c r="D52" i="5"/>
  <c r="D73" i="5" s="1"/>
  <c r="M54" i="5"/>
  <c r="M75" i="5" s="1"/>
  <c r="D54" i="5"/>
  <c r="D75" i="5" s="1"/>
  <c r="M52" i="5"/>
  <c r="M73" i="5" s="1"/>
  <c r="M9" i="7"/>
  <c r="M10" i="6"/>
  <c r="H54" i="5"/>
  <c r="H75" i="5" s="1"/>
  <c r="F8" i="7"/>
  <c r="F51" i="5"/>
  <c r="F72" i="5" s="1"/>
  <c r="F9" i="6"/>
  <c r="H9" i="7"/>
  <c r="H52" i="5"/>
  <c r="H73" i="5" s="1"/>
  <c r="H10" i="6"/>
  <c r="K54" i="5"/>
  <c r="K75" i="5" s="1"/>
  <c r="G54" i="5"/>
  <c r="G75" i="5" s="1"/>
  <c r="K9" i="7"/>
  <c r="K10" i="6"/>
  <c r="K52" i="5"/>
  <c r="K73" i="5" s="1"/>
  <c r="N51" i="5"/>
  <c r="N72" i="5" s="1"/>
  <c r="N8" i="7"/>
  <c r="N9" i="6"/>
  <c r="G9" i="7"/>
  <c r="G10" i="6"/>
  <c r="G52" i="5"/>
  <c r="G73" i="5" s="1"/>
  <c r="J9" i="6"/>
  <c r="J51" i="5"/>
  <c r="J72" i="5" s="1"/>
  <c r="J8" i="7"/>
  <c r="N54" i="5"/>
  <c r="N75" i="5" s="1"/>
  <c r="J54" i="5"/>
  <c r="J75" i="5" s="1"/>
  <c r="F54" i="5"/>
  <c r="F75" i="5" s="1"/>
  <c r="E9" i="6"/>
  <c r="E8" i="7"/>
  <c r="E51" i="5"/>
  <c r="E72" i="5" s="1"/>
  <c r="I52" i="5"/>
  <c r="I73" i="5" s="1"/>
  <c r="I9" i="7"/>
  <c r="I10" i="6"/>
  <c r="I51" i="5"/>
  <c r="I72" i="5" s="1"/>
  <c r="I8" i="7"/>
  <c r="I9" i="6"/>
  <c r="E10" i="6"/>
  <c r="E52" i="5"/>
  <c r="E73" i="5" s="1"/>
  <c r="E9" i="7"/>
  <c r="C18" i="6"/>
  <c r="C56" i="5"/>
  <c r="C77" i="5" s="1"/>
  <c r="C50" i="5"/>
  <c r="C71" i="5" s="1"/>
  <c r="C54" i="5"/>
  <c r="C75" i="5" s="1"/>
  <c r="Q8" i="6"/>
  <c r="O11" i="4"/>
  <c r="P11" i="4"/>
  <c r="L11" i="4"/>
  <c r="H11" i="4"/>
  <c r="F11" i="4"/>
  <c r="M11" i="4"/>
  <c r="I11" i="4"/>
  <c r="G11" i="4"/>
  <c r="K11" i="4"/>
  <c r="L50" i="5"/>
  <c r="H50" i="5"/>
  <c r="D50" i="5"/>
  <c r="E50" i="5"/>
  <c r="N11" i="4"/>
  <c r="J11" i="4"/>
  <c r="K10" i="7"/>
  <c r="G10" i="7"/>
  <c r="N10" i="7"/>
  <c r="J10" i="7"/>
  <c r="F10" i="7"/>
  <c r="M10" i="7"/>
  <c r="I10" i="7"/>
  <c r="C3" i="9"/>
  <c r="F69" i="3"/>
  <c r="G69" i="3"/>
  <c r="H69" i="3"/>
  <c r="I69" i="3"/>
  <c r="J69" i="3"/>
  <c r="K69" i="3"/>
  <c r="L69" i="3"/>
  <c r="M69" i="3"/>
  <c r="N69" i="3"/>
  <c r="O69" i="3"/>
  <c r="P69" i="3"/>
  <c r="E69" i="3"/>
  <c r="E68" i="3"/>
  <c r="F68" i="3"/>
  <c r="G68" i="3"/>
  <c r="H68" i="3"/>
  <c r="I68" i="3"/>
  <c r="J68" i="3"/>
  <c r="K68" i="3"/>
  <c r="L68" i="3"/>
  <c r="M68" i="3"/>
  <c r="N68" i="3"/>
  <c r="O68" i="3"/>
  <c r="P68" i="3"/>
  <c r="E67" i="3"/>
  <c r="F67" i="3"/>
  <c r="G67" i="3"/>
  <c r="H67" i="3"/>
  <c r="I67" i="3"/>
  <c r="J67" i="3"/>
  <c r="K67" i="3"/>
  <c r="L67" i="3"/>
  <c r="M67" i="3"/>
  <c r="N67" i="3"/>
  <c r="O67" i="3"/>
  <c r="P67" i="3"/>
  <c r="E66" i="3"/>
  <c r="F66" i="3"/>
  <c r="G66" i="3"/>
  <c r="H66" i="3"/>
  <c r="I66" i="3"/>
  <c r="J66" i="3"/>
  <c r="K66" i="3"/>
  <c r="L66" i="3"/>
  <c r="M66" i="3"/>
  <c r="N66" i="3"/>
  <c r="O66" i="3"/>
  <c r="P66" i="3"/>
  <c r="E65" i="3"/>
  <c r="F65" i="3"/>
  <c r="G65" i="3"/>
  <c r="H65" i="3"/>
  <c r="I65" i="3"/>
  <c r="J65" i="3"/>
  <c r="K65" i="3"/>
  <c r="L65" i="3"/>
  <c r="M65" i="3"/>
  <c r="N65" i="3"/>
  <c r="O65" i="3"/>
  <c r="P65" i="3"/>
  <c r="E64" i="3"/>
  <c r="F64" i="3"/>
  <c r="G64" i="3"/>
  <c r="H64" i="3"/>
  <c r="I64" i="3"/>
  <c r="J64" i="3"/>
  <c r="K64" i="3"/>
  <c r="L64" i="3"/>
  <c r="M64" i="3"/>
  <c r="N64" i="3"/>
  <c r="O64" i="3"/>
  <c r="P64" i="3"/>
  <c r="E63" i="3"/>
  <c r="F63" i="3"/>
  <c r="G63" i="3"/>
  <c r="H63" i="3"/>
  <c r="I63" i="3"/>
  <c r="J63" i="3"/>
  <c r="K63" i="3"/>
  <c r="L63" i="3"/>
  <c r="M63" i="3"/>
  <c r="N63" i="3"/>
  <c r="O63" i="3"/>
  <c r="P63" i="3"/>
  <c r="E62" i="3"/>
  <c r="F62" i="3"/>
  <c r="G62" i="3"/>
  <c r="H62" i="3"/>
  <c r="I62" i="3"/>
  <c r="J62" i="3"/>
  <c r="K62" i="3"/>
  <c r="L62" i="3"/>
  <c r="M62" i="3"/>
  <c r="N62" i="3"/>
  <c r="O62" i="3"/>
  <c r="P62" i="3"/>
  <c r="E61" i="3"/>
  <c r="F61" i="3"/>
  <c r="G61" i="3"/>
  <c r="H61" i="3"/>
  <c r="I61" i="3"/>
  <c r="J61" i="3"/>
  <c r="K61" i="3"/>
  <c r="L61" i="3"/>
  <c r="M61" i="3"/>
  <c r="N61" i="3"/>
  <c r="O61" i="3"/>
  <c r="P61" i="3"/>
  <c r="F60" i="3"/>
  <c r="G60" i="3"/>
  <c r="H60" i="3"/>
  <c r="I60" i="3"/>
  <c r="J60" i="3"/>
  <c r="K60" i="3"/>
  <c r="L60" i="3"/>
  <c r="M60" i="3"/>
  <c r="N60" i="3"/>
  <c r="O60" i="3"/>
  <c r="P60" i="3"/>
  <c r="E60" i="3"/>
  <c r="E59" i="3"/>
  <c r="E57" i="3"/>
  <c r="N56" i="3"/>
  <c r="F56" i="3"/>
  <c r="G56" i="3"/>
  <c r="H56" i="3"/>
  <c r="I56" i="3"/>
  <c r="J56" i="3"/>
  <c r="K56" i="3"/>
  <c r="L56" i="3"/>
  <c r="M56" i="3"/>
  <c r="O56" i="3"/>
  <c r="P56" i="3"/>
  <c r="E56" i="3"/>
  <c r="F55" i="3"/>
  <c r="H55" i="3"/>
  <c r="I55" i="3"/>
  <c r="J55" i="3"/>
  <c r="L55" i="3"/>
  <c r="M55" i="3"/>
  <c r="N55" i="3"/>
  <c r="P55" i="3"/>
  <c r="E55" i="3"/>
  <c r="F28" i="3"/>
  <c r="G28" i="3"/>
  <c r="H28" i="3"/>
  <c r="I28" i="3"/>
  <c r="J28" i="3"/>
  <c r="K28" i="3"/>
  <c r="L28" i="3"/>
  <c r="M28" i="3"/>
  <c r="N28" i="3"/>
  <c r="O28" i="3"/>
  <c r="P28" i="3"/>
  <c r="F20" i="3"/>
  <c r="H20" i="3"/>
  <c r="I20" i="3"/>
  <c r="J20" i="3"/>
  <c r="K20" i="3"/>
  <c r="L20" i="3"/>
  <c r="M20" i="3"/>
  <c r="N20" i="3"/>
  <c r="O20" i="3"/>
  <c r="P20" i="3"/>
  <c r="F16" i="3"/>
  <c r="G16" i="3"/>
  <c r="H16" i="3"/>
  <c r="I16" i="3"/>
  <c r="J16" i="3"/>
  <c r="K16" i="3"/>
  <c r="L16" i="3"/>
  <c r="M16" i="3"/>
  <c r="N16" i="3"/>
  <c r="O16" i="3"/>
  <c r="P16" i="3"/>
  <c r="E12" i="6" l="1"/>
  <c r="K12" i="6"/>
  <c r="G12" i="6"/>
  <c r="N12" i="6"/>
  <c r="J12" i="6"/>
  <c r="F12" i="6"/>
  <c r="M12" i="6"/>
  <c r="I12" i="6"/>
  <c r="L12" i="6"/>
  <c r="H12" i="6"/>
  <c r="E54" i="5"/>
  <c r="E75" i="5" s="1"/>
  <c r="O55" i="3"/>
  <c r="K55" i="3"/>
  <c r="G55" i="3"/>
  <c r="I50" i="5"/>
  <c r="N50" i="5"/>
  <c r="M50" i="5"/>
  <c r="H71" i="5"/>
  <c r="F50" i="5"/>
  <c r="G50" i="5"/>
  <c r="J50" i="5"/>
  <c r="K50" i="5"/>
  <c r="E71" i="5"/>
  <c r="D71" i="5"/>
  <c r="L71" i="5"/>
  <c r="M5" i="10"/>
  <c r="L5" i="10"/>
  <c r="K5" i="10"/>
  <c r="J5" i="10"/>
  <c r="I5" i="10"/>
  <c r="H5" i="10"/>
  <c r="G5" i="10"/>
  <c r="F5" i="10"/>
  <c r="E5" i="10"/>
  <c r="D5" i="10"/>
  <c r="C5" i="10"/>
  <c r="B5" i="10"/>
  <c r="C45" i="9"/>
  <c r="C44" i="9"/>
  <c r="C43" i="9"/>
  <c r="C42" i="9"/>
  <c r="N13" i="9"/>
  <c r="M13" i="9"/>
  <c r="L13" i="9"/>
  <c r="K13" i="9"/>
  <c r="J13" i="9"/>
  <c r="I13" i="9"/>
  <c r="H13" i="9"/>
  <c r="G13" i="9"/>
  <c r="F13" i="9"/>
  <c r="E13" i="9"/>
  <c r="D13" i="9"/>
  <c r="C13" i="9"/>
  <c r="N12" i="9"/>
  <c r="M12" i="9"/>
  <c r="L12" i="9"/>
  <c r="K12" i="9"/>
  <c r="J12" i="9"/>
  <c r="I12" i="9"/>
  <c r="H12" i="9"/>
  <c r="G12" i="9"/>
  <c r="F12" i="9"/>
  <c r="E12" i="9"/>
  <c r="D12" i="9"/>
  <c r="C12" i="9"/>
  <c r="N11" i="9"/>
  <c r="M11" i="9"/>
  <c r="L11" i="9"/>
  <c r="K11" i="9"/>
  <c r="J11" i="9"/>
  <c r="I11" i="9"/>
  <c r="H11" i="9"/>
  <c r="G11" i="9"/>
  <c r="F11" i="9"/>
  <c r="E11" i="9"/>
  <c r="D11" i="9"/>
  <c r="N9" i="9"/>
  <c r="M9" i="9"/>
  <c r="L9" i="9"/>
  <c r="K9" i="9"/>
  <c r="J9" i="9"/>
  <c r="I9" i="9"/>
  <c r="H9" i="9"/>
  <c r="G9" i="9"/>
  <c r="F9" i="9"/>
  <c r="E9" i="9"/>
  <c r="D9" i="9"/>
  <c r="C9" i="9"/>
  <c r="N8" i="9"/>
  <c r="M8" i="9"/>
  <c r="L8" i="9"/>
  <c r="K8" i="9"/>
  <c r="J8" i="9"/>
  <c r="I8" i="9"/>
  <c r="H8" i="9"/>
  <c r="G8" i="9"/>
  <c r="F8" i="9"/>
  <c r="E8" i="9"/>
  <c r="D8" i="9"/>
  <c r="C8" i="9"/>
  <c r="N7" i="9"/>
  <c r="M7" i="9"/>
  <c r="L7" i="9"/>
  <c r="K7" i="9"/>
  <c r="J7" i="9"/>
  <c r="I7" i="9"/>
  <c r="H7" i="9"/>
  <c r="G7" i="9"/>
  <c r="F7" i="9"/>
  <c r="E7" i="9"/>
  <c r="D7" i="9"/>
  <c r="C7" i="9"/>
  <c r="N5" i="9"/>
  <c r="N17" i="9" s="1"/>
  <c r="M5" i="9"/>
  <c r="M17" i="9" s="1"/>
  <c r="L5" i="9"/>
  <c r="L17" i="9" s="1"/>
  <c r="K5" i="9"/>
  <c r="K17" i="9" s="1"/>
  <c r="J5" i="9"/>
  <c r="J17" i="9" s="1"/>
  <c r="I5" i="9"/>
  <c r="I17" i="9" s="1"/>
  <c r="H5" i="9"/>
  <c r="H17" i="9" s="1"/>
  <c r="G5" i="9"/>
  <c r="G17" i="9" s="1"/>
  <c r="F5" i="9"/>
  <c r="F17" i="9" s="1"/>
  <c r="E5" i="9"/>
  <c r="E17" i="9" s="1"/>
  <c r="D5" i="9"/>
  <c r="D17" i="9" s="1"/>
  <c r="C5" i="9"/>
  <c r="C17" i="9" s="1"/>
  <c r="N4" i="9"/>
  <c r="N16" i="9" s="1"/>
  <c r="M4" i="9"/>
  <c r="M16" i="9" s="1"/>
  <c r="L4" i="9"/>
  <c r="L16" i="9" s="1"/>
  <c r="K4" i="9"/>
  <c r="K16" i="9" s="1"/>
  <c r="J4" i="9"/>
  <c r="J16" i="9" s="1"/>
  <c r="I4" i="9"/>
  <c r="I16" i="9" s="1"/>
  <c r="H4" i="9"/>
  <c r="H16" i="9" s="1"/>
  <c r="G4" i="9"/>
  <c r="G16" i="9" s="1"/>
  <c r="F4" i="9"/>
  <c r="F16" i="9" s="1"/>
  <c r="E4" i="9"/>
  <c r="E16" i="9" s="1"/>
  <c r="D4" i="9"/>
  <c r="D16" i="9" s="1"/>
  <c r="C4" i="9"/>
  <c r="C16" i="9" s="1"/>
  <c r="N3" i="9"/>
  <c r="N15" i="9" s="1"/>
  <c r="M3" i="9"/>
  <c r="M15" i="9" s="1"/>
  <c r="L3" i="9"/>
  <c r="L15" i="9" s="1"/>
  <c r="K3" i="9"/>
  <c r="K15" i="9" s="1"/>
  <c r="J3" i="9"/>
  <c r="J15" i="9" s="1"/>
  <c r="I3" i="9"/>
  <c r="I15" i="9" s="1"/>
  <c r="H3" i="9"/>
  <c r="H15" i="9" s="1"/>
  <c r="G3" i="9"/>
  <c r="G15" i="9" s="1"/>
  <c r="F3" i="9"/>
  <c r="F15" i="9" s="1"/>
  <c r="E3" i="9"/>
  <c r="E15" i="9" s="1"/>
  <c r="D3" i="9"/>
  <c r="D15" i="9" s="1"/>
  <c r="C15" i="9"/>
  <c r="C62" i="7" s="1"/>
  <c r="C63" i="7" s="1"/>
  <c r="P54" i="8"/>
  <c r="O54" i="8"/>
  <c r="N54" i="8"/>
  <c r="M54" i="8"/>
  <c r="L54" i="8"/>
  <c r="K54" i="8"/>
  <c r="J54" i="8"/>
  <c r="I54" i="8"/>
  <c r="H54" i="8"/>
  <c r="G54" i="8"/>
  <c r="F54" i="8"/>
  <c r="E54" i="8"/>
  <c r="P53" i="8"/>
  <c r="O53" i="8"/>
  <c r="N53" i="8"/>
  <c r="M53" i="8"/>
  <c r="L53" i="8"/>
  <c r="K53" i="8"/>
  <c r="J53" i="8"/>
  <c r="I53" i="8"/>
  <c r="H53" i="8"/>
  <c r="G53" i="8"/>
  <c r="F53" i="8"/>
  <c r="E53" i="8"/>
  <c r="P52" i="8"/>
  <c r="O52" i="8"/>
  <c r="N52" i="8"/>
  <c r="M52" i="8"/>
  <c r="L52" i="8"/>
  <c r="K52" i="8"/>
  <c r="J52" i="8"/>
  <c r="I52" i="8"/>
  <c r="H52" i="8"/>
  <c r="G52" i="8"/>
  <c r="F52" i="8"/>
  <c r="E52" i="8"/>
  <c r="P51" i="8"/>
  <c r="O51" i="8"/>
  <c r="N51" i="8"/>
  <c r="M51" i="8"/>
  <c r="L51" i="8"/>
  <c r="K51" i="8"/>
  <c r="J51" i="8"/>
  <c r="I51" i="8"/>
  <c r="H51" i="8"/>
  <c r="G51" i="8"/>
  <c r="F51" i="8"/>
  <c r="E51" i="8"/>
  <c r="P50" i="8"/>
  <c r="O50" i="8"/>
  <c r="N50" i="8"/>
  <c r="M50" i="8"/>
  <c r="L50" i="8"/>
  <c r="K50" i="8"/>
  <c r="J50" i="8"/>
  <c r="I50" i="8"/>
  <c r="H50" i="8"/>
  <c r="G50" i="8"/>
  <c r="F50" i="8"/>
  <c r="E50" i="8"/>
  <c r="P49" i="8"/>
  <c r="O49" i="8"/>
  <c r="N49" i="8"/>
  <c r="M49" i="8"/>
  <c r="L49" i="8"/>
  <c r="K49" i="8"/>
  <c r="J49" i="8"/>
  <c r="I49" i="8"/>
  <c r="H49" i="8"/>
  <c r="G49" i="8"/>
  <c r="F49" i="8"/>
  <c r="E49" i="8"/>
  <c r="P48" i="8"/>
  <c r="O48" i="8"/>
  <c r="N48" i="8"/>
  <c r="M48" i="8"/>
  <c r="L48" i="8"/>
  <c r="K48" i="8"/>
  <c r="J48" i="8"/>
  <c r="I48" i="8"/>
  <c r="H48" i="8"/>
  <c r="G48" i="8"/>
  <c r="F48" i="8"/>
  <c r="E48" i="8"/>
  <c r="P47" i="8"/>
  <c r="O47" i="8"/>
  <c r="N47" i="8"/>
  <c r="M47" i="8"/>
  <c r="L47" i="8"/>
  <c r="K47" i="8"/>
  <c r="J47" i="8"/>
  <c r="I47" i="8"/>
  <c r="H47" i="8"/>
  <c r="G47" i="8"/>
  <c r="F47" i="8"/>
  <c r="E47" i="8"/>
  <c r="P46" i="8"/>
  <c r="O46" i="8"/>
  <c r="N46" i="8"/>
  <c r="M46" i="8"/>
  <c r="L46" i="8"/>
  <c r="K46" i="8"/>
  <c r="J46" i="8"/>
  <c r="I46" i="8"/>
  <c r="H46" i="8"/>
  <c r="G46" i="8"/>
  <c r="F46" i="8"/>
  <c r="E46" i="8"/>
  <c r="P45" i="8"/>
  <c r="O45" i="8"/>
  <c r="N45" i="8"/>
  <c r="M45" i="8"/>
  <c r="L45" i="8"/>
  <c r="K45" i="8"/>
  <c r="J45" i="8"/>
  <c r="I45" i="8"/>
  <c r="H45" i="8"/>
  <c r="G45" i="8"/>
  <c r="F45" i="8"/>
  <c r="E45" i="8"/>
  <c r="P44" i="8"/>
  <c r="O44" i="8"/>
  <c r="N44" i="8"/>
  <c r="M44" i="8"/>
  <c r="L44" i="8"/>
  <c r="K44" i="8"/>
  <c r="J44" i="8"/>
  <c r="I44" i="8"/>
  <c r="H44" i="8"/>
  <c r="G44" i="8"/>
  <c r="F44" i="8"/>
  <c r="E44" i="8"/>
  <c r="P42" i="8"/>
  <c r="O42" i="8"/>
  <c r="N42" i="8"/>
  <c r="M42" i="8"/>
  <c r="L42" i="8"/>
  <c r="K42" i="8"/>
  <c r="J42" i="8"/>
  <c r="I42" i="8"/>
  <c r="H42" i="8"/>
  <c r="G42" i="8"/>
  <c r="F42" i="8"/>
  <c r="E41" i="8"/>
  <c r="E40" i="8"/>
  <c r="E39" i="8"/>
  <c r="E42" i="8" s="1"/>
  <c r="P27" i="8"/>
  <c r="O27" i="8"/>
  <c r="N27" i="8"/>
  <c r="M27" i="8"/>
  <c r="L27" i="8"/>
  <c r="K27" i="8"/>
  <c r="J27" i="8"/>
  <c r="I27" i="8"/>
  <c r="H27" i="8"/>
  <c r="G27" i="8"/>
  <c r="F27" i="8"/>
  <c r="E27" i="8"/>
  <c r="P26" i="8"/>
  <c r="O26" i="8"/>
  <c r="N26" i="8"/>
  <c r="M26" i="8"/>
  <c r="L26" i="8"/>
  <c r="K26" i="8"/>
  <c r="J26" i="8"/>
  <c r="I26" i="8"/>
  <c r="H26" i="8"/>
  <c r="G26" i="8"/>
  <c r="F26" i="8"/>
  <c r="E26" i="8"/>
  <c r="P25" i="8"/>
  <c r="P28" i="8" s="1"/>
  <c r="O25" i="8"/>
  <c r="O28" i="8" s="1"/>
  <c r="N25" i="8"/>
  <c r="N28" i="8" s="1"/>
  <c r="M25" i="8"/>
  <c r="M28" i="8" s="1"/>
  <c r="L25" i="8"/>
  <c r="L28" i="8" s="1"/>
  <c r="K25" i="8"/>
  <c r="K28" i="8" s="1"/>
  <c r="J25" i="8"/>
  <c r="J28" i="8" s="1"/>
  <c r="I25" i="8"/>
  <c r="I28" i="8" s="1"/>
  <c r="H25" i="8"/>
  <c r="H28" i="8" s="1"/>
  <c r="G25" i="8"/>
  <c r="G28" i="8" s="1"/>
  <c r="F25" i="8"/>
  <c r="F28" i="8" s="1"/>
  <c r="E25" i="8"/>
  <c r="E28" i="8" s="1"/>
  <c r="P17" i="8"/>
  <c r="O17" i="8"/>
  <c r="N17" i="8"/>
  <c r="M17" i="8"/>
  <c r="L17" i="8"/>
  <c r="K17" i="8"/>
  <c r="J17" i="8"/>
  <c r="I17" i="8"/>
  <c r="H17" i="8"/>
  <c r="G17" i="8"/>
  <c r="F17" i="8"/>
  <c r="E17" i="8"/>
  <c r="P16" i="8"/>
  <c r="O16" i="8"/>
  <c r="N16" i="8"/>
  <c r="M16" i="8"/>
  <c r="L16" i="8"/>
  <c r="K16" i="8"/>
  <c r="J16" i="8"/>
  <c r="I16" i="8"/>
  <c r="H16" i="8"/>
  <c r="G16" i="8"/>
  <c r="F16" i="8"/>
  <c r="E16" i="8"/>
  <c r="P15" i="8"/>
  <c r="O15" i="8"/>
  <c r="N15" i="8"/>
  <c r="M15" i="8"/>
  <c r="L15" i="8"/>
  <c r="K15" i="8"/>
  <c r="J15" i="8"/>
  <c r="I15" i="8"/>
  <c r="H15" i="8"/>
  <c r="G15" i="8"/>
  <c r="F15" i="8"/>
  <c r="E15" i="8"/>
  <c r="P14" i="8"/>
  <c r="P18" i="8" s="1"/>
  <c r="O14" i="8"/>
  <c r="O18" i="8" s="1"/>
  <c r="N14" i="8"/>
  <c r="N18" i="8" s="1"/>
  <c r="M14" i="8"/>
  <c r="M18" i="8" s="1"/>
  <c r="L14" i="8"/>
  <c r="L18" i="8" s="1"/>
  <c r="K14" i="8"/>
  <c r="K18" i="8" s="1"/>
  <c r="J14" i="8"/>
  <c r="J18" i="8" s="1"/>
  <c r="I14" i="8"/>
  <c r="I18" i="8" s="1"/>
  <c r="H14" i="8"/>
  <c r="H18" i="8" s="1"/>
  <c r="G14" i="8"/>
  <c r="G18" i="8" s="1"/>
  <c r="F14" i="8"/>
  <c r="F18" i="8" s="1"/>
  <c r="E14" i="8"/>
  <c r="E18" i="8" s="1"/>
  <c r="N11" i="7"/>
  <c r="M11" i="7"/>
  <c r="L11" i="7"/>
  <c r="K11" i="7"/>
  <c r="J124" i="5" s="1"/>
  <c r="J11" i="7"/>
  <c r="I11" i="7"/>
  <c r="H124" i="5" s="1"/>
  <c r="H11" i="7"/>
  <c r="G124" i="5" s="1"/>
  <c r="G11" i="7"/>
  <c r="F124" i="5" s="1"/>
  <c r="F11" i="7"/>
  <c r="E11" i="7"/>
  <c r="D124" i="5" s="1"/>
  <c r="D11" i="7"/>
  <c r="C124" i="5" s="1"/>
  <c r="B124" i="5"/>
  <c r="M124" i="5"/>
  <c r="L124" i="5"/>
  <c r="K124" i="5"/>
  <c r="I124" i="5"/>
  <c r="E124" i="5"/>
  <c r="M123" i="5"/>
  <c r="L123" i="5"/>
  <c r="K123" i="5"/>
  <c r="J123" i="5"/>
  <c r="I123" i="5"/>
  <c r="H123" i="5"/>
  <c r="G123" i="5"/>
  <c r="F123" i="5"/>
  <c r="E123" i="5"/>
  <c r="D123" i="5"/>
  <c r="C123" i="5"/>
  <c r="B123" i="5"/>
  <c r="M122" i="5"/>
  <c r="L122" i="5"/>
  <c r="K122" i="5"/>
  <c r="J122" i="5"/>
  <c r="I122" i="5"/>
  <c r="H122" i="5"/>
  <c r="G122" i="5"/>
  <c r="F122" i="5"/>
  <c r="E122" i="5"/>
  <c r="D122" i="5"/>
  <c r="C122" i="5"/>
  <c r="B122" i="5"/>
  <c r="M121" i="5"/>
  <c r="L121" i="5"/>
  <c r="K121" i="5"/>
  <c r="J121" i="5"/>
  <c r="I121" i="5"/>
  <c r="H121" i="5"/>
  <c r="G121" i="5"/>
  <c r="F121" i="5"/>
  <c r="E121" i="5"/>
  <c r="D121" i="5"/>
  <c r="C121" i="5"/>
  <c r="B121" i="5"/>
  <c r="M120" i="5"/>
  <c r="L120" i="5"/>
  <c r="K120" i="5"/>
  <c r="J120" i="5"/>
  <c r="I120" i="5"/>
  <c r="H120" i="5"/>
  <c r="G120" i="5"/>
  <c r="F120" i="5"/>
  <c r="E120" i="5"/>
  <c r="D120" i="5"/>
  <c r="C120" i="5"/>
  <c r="B120" i="5"/>
  <c r="B69" i="3"/>
  <c r="B68" i="3"/>
  <c r="B67" i="3"/>
  <c r="B66" i="3"/>
  <c r="B64" i="3"/>
  <c r="B63" i="3"/>
  <c r="B62" i="3"/>
  <c r="B61" i="3"/>
  <c r="B60" i="3"/>
  <c r="B59" i="3"/>
  <c r="B58" i="3"/>
  <c r="B57" i="3"/>
  <c r="B56" i="3"/>
  <c r="B55" i="3"/>
  <c r="P54" i="3"/>
  <c r="O54" i="3"/>
  <c r="N54" i="3"/>
  <c r="M54" i="3"/>
  <c r="L54" i="3"/>
  <c r="K54" i="3"/>
  <c r="J54" i="3"/>
  <c r="I54" i="3"/>
  <c r="H54" i="3"/>
  <c r="G54" i="3"/>
  <c r="F54" i="3"/>
  <c r="E54" i="3"/>
  <c r="B50" i="3"/>
  <c r="B49" i="3"/>
  <c r="B48" i="3"/>
  <c r="B47" i="3"/>
  <c r="B45" i="3"/>
  <c r="B44" i="3"/>
  <c r="B43" i="3"/>
  <c r="B41" i="3" a="1"/>
  <c r="B41" i="3" s="1"/>
  <c r="B39" i="3"/>
  <c r="B38" i="3"/>
  <c r="B37" i="3"/>
  <c r="B36" i="3"/>
  <c r="B34" i="3" a="1"/>
  <c r="B34" i="3" s="1"/>
  <c r="E33" i="3"/>
  <c r="E28" i="3"/>
  <c r="F16" i="4" l="1"/>
  <c r="J16" i="4"/>
  <c r="N16" i="4"/>
  <c r="F15" i="4"/>
  <c r="J15" i="4"/>
  <c r="N15" i="4"/>
  <c r="F14" i="4"/>
  <c r="D38" i="5" s="1"/>
  <c r="J14" i="4"/>
  <c r="H38" i="5" s="1"/>
  <c r="N14" i="4"/>
  <c r="L38" i="5" s="1"/>
  <c r="G16" i="4"/>
  <c r="K16" i="4"/>
  <c r="O16" i="4"/>
  <c r="G15" i="4"/>
  <c r="K15" i="4"/>
  <c r="O15" i="4"/>
  <c r="G14" i="4"/>
  <c r="E38" i="5" s="1"/>
  <c r="K14" i="4"/>
  <c r="I38" i="5" s="1"/>
  <c r="O14" i="4"/>
  <c r="M38" i="5" s="1"/>
  <c r="H16" i="4"/>
  <c r="L16" i="4"/>
  <c r="P16" i="4"/>
  <c r="H15" i="4"/>
  <c r="L15" i="4"/>
  <c r="P15" i="4"/>
  <c r="H14" i="4"/>
  <c r="F38" i="5" s="1"/>
  <c r="L14" i="4"/>
  <c r="J38" i="5" s="1"/>
  <c r="P14" i="4"/>
  <c r="N38" i="5" s="1"/>
  <c r="I16" i="4"/>
  <c r="M16" i="4"/>
  <c r="E16" i="4"/>
  <c r="I15" i="4"/>
  <c r="M15" i="4"/>
  <c r="E15" i="4"/>
  <c r="I14" i="4"/>
  <c r="G38" i="5" s="1"/>
  <c r="M14" i="4"/>
  <c r="K38" i="5" s="1"/>
  <c r="E14" i="4"/>
  <c r="C38" i="5" s="1"/>
  <c r="K71" i="5"/>
  <c r="G71" i="5"/>
  <c r="N71" i="5"/>
  <c r="J71" i="5"/>
  <c r="F71" i="5"/>
  <c r="M71" i="5"/>
  <c r="I71" i="5"/>
  <c r="K39" i="5" l="1"/>
  <c r="M18" i="4"/>
  <c r="K43" i="5" s="1"/>
  <c r="G40" i="5"/>
  <c r="I19" i="4"/>
  <c r="G44" i="5" s="1"/>
  <c r="N39" i="5"/>
  <c r="P18" i="4"/>
  <c r="N43" i="5" s="1"/>
  <c r="J40" i="5"/>
  <c r="L19" i="4"/>
  <c r="J44" i="5" s="1"/>
  <c r="M40" i="5"/>
  <c r="O19" i="4"/>
  <c r="M44" i="5" s="1"/>
  <c r="D39" i="5"/>
  <c r="F18" i="4"/>
  <c r="D43" i="5" s="1"/>
  <c r="G39" i="5"/>
  <c r="I18" i="4"/>
  <c r="G43" i="5" s="1"/>
  <c r="J39" i="5"/>
  <c r="L18" i="4"/>
  <c r="J43" i="5" s="1"/>
  <c r="F40" i="5"/>
  <c r="H19" i="4"/>
  <c r="F44" i="5" s="1"/>
  <c r="M39" i="5"/>
  <c r="O18" i="4"/>
  <c r="M43" i="5" s="1"/>
  <c r="I40" i="5"/>
  <c r="K19" i="4"/>
  <c r="I44" i="5" s="1"/>
  <c r="L40" i="5"/>
  <c r="N19" i="4"/>
  <c r="L44" i="5" s="1"/>
  <c r="C40" i="5"/>
  <c r="E19" i="4"/>
  <c r="C44" i="5" s="1"/>
  <c r="F39" i="5"/>
  <c r="H18" i="4"/>
  <c r="F43" i="5" s="1"/>
  <c r="I39" i="5"/>
  <c r="K18" i="4"/>
  <c r="I43" i="5" s="1"/>
  <c r="E40" i="5"/>
  <c r="G19" i="4"/>
  <c r="E44" i="5" s="1"/>
  <c r="L39" i="5"/>
  <c r="N18" i="4"/>
  <c r="L43" i="5" s="1"/>
  <c r="H40" i="5"/>
  <c r="J19" i="4"/>
  <c r="H44" i="5" s="1"/>
  <c r="C39" i="5"/>
  <c r="E18" i="4"/>
  <c r="C43" i="5" s="1"/>
  <c r="K40" i="5"/>
  <c r="M19" i="4"/>
  <c r="K44" i="5" s="1"/>
  <c r="N40" i="5"/>
  <c r="P19" i="4"/>
  <c r="N44" i="5" s="1"/>
  <c r="E39" i="5"/>
  <c r="G18" i="4"/>
  <c r="E43" i="5" s="1"/>
  <c r="H39" i="5"/>
  <c r="J18" i="4"/>
  <c r="H43" i="5" s="1"/>
  <c r="D40" i="5"/>
  <c r="F19" i="4"/>
  <c r="D44" i="5" s="1"/>
  <c r="G24" i="7"/>
  <c r="I17" i="4"/>
  <c r="H24" i="7"/>
  <c r="J17" i="4"/>
  <c r="C24" i="7"/>
  <c r="E17" i="4"/>
  <c r="M24" i="7"/>
  <c r="O17" i="4"/>
  <c r="L24" i="7"/>
  <c r="N17" i="4"/>
  <c r="D24" i="7"/>
  <c r="F17" i="4"/>
  <c r="N24" i="7"/>
  <c r="P17" i="4"/>
  <c r="I24" i="7"/>
  <c r="K17" i="4"/>
  <c r="F24" i="7"/>
  <c r="H17" i="4"/>
  <c r="K24" i="7"/>
  <c r="M17" i="4"/>
  <c r="J24" i="7"/>
  <c r="L17" i="4"/>
  <c r="E24" i="7"/>
  <c r="G17" i="4"/>
  <c r="E29" i="7" l="1"/>
  <c r="E33" i="6"/>
  <c r="E63" i="5"/>
  <c r="E84" i="5" s="1"/>
  <c r="K64" i="5"/>
  <c r="K85" i="5" s="1"/>
  <c r="K34" i="6"/>
  <c r="K30" i="7"/>
  <c r="H30" i="7"/>
  <c r="H64" i="5"/>
  <c r="H85" i="5" s="1"/>
  <c r="H34" i="6"/>
  <c r="E34" i="6"/>
  <c r="E64" i="5"/>
  <c r="E85" i="5" s="1"/>
  <c r="E30" i="7"/>
  <c r="F29" i="7"/>
  <c r="F33" i="6"/>
  <c r="F63" i="5"/>
  <c r="F84" i="5" s="1"/>
  <c r="L34" i="6"/>
  <c r="L30" i="7"/>
  <c r="L64" i="5"/>
  <c r="L85" i="5" s="1"/>
  <c r="M29" i="7"/>
  <c r="M63" i="5"/>
  <c r="M84" i="5" s="1"/>
  <c r="M33" i="6"/>
  <c r="J29" i="7"/>
  <c r="J33" i="6"/>
  <c r="J63" i="5"/>
  <c r="J84" i="5" s="1"/>
  <c r="D29" i="7"/>
  <c r="D63" i="5"/>
  <c r="D84" i="5" s="1"/>
  <c r="D33" i="6"/>
  <c r="J34" i="6"/>
  <c r="J64" i="5"/>
  <c r="J85" i="5" s="1"/>
  <c r="J30" i="7"/>
  <c r="G30" i="7"/>
  <c r="G64" i="5"/>
  <c r="G85" i="5" s="1"/>
  <c r="G34" i="6"/>
  <c r="D30" i="7"/>
  <c r="D34" i="6"/>
  <c r="D64" i="5"/>
  <c r="D85" i="5" s="1"/>
  <c r="D60" i="5"/>
  <c r="D81" i="5" s="1"/>
  <c r="D23" i="7"/>
  <c r="D26" i="6"/>
  <c r="E25" i="6"/>
  <c r="E59" i="5"/>
  <c r="E80" i="5" s="1"/>
  <c r="E22" i="7"/>
  <c r="K26" i="6"/>
  <c r="K23" i="7"/>
  <c r="K60" i="5"/>
  <c r="K81" i="5" s="1"/>
  <c r="H60" i="5"/>
  <c r="H81" i="5" s="1"/>
  <c r="H23" i="7"/>
  <c r="H26" i="6"/>
  <c r="E23" i="7"/>
  <c r="E26" i="6"/>
  <c r="E60" i="5"/>
  <c r="E81" i="5" s="1"/>
  <c r="F25" i="6"/>
  <c r="F59" i="5"/>
  <c r="F80" i="5" s="1"/>
  <c r="F22" i="7"/>
  <c r="L60" i="5"/>
  <c r="L81" i="5" s="1"/>
  <c r="L26" i="6"/>
  <c r="L23" i="7"/>
  <c r="M22" i="7"/>
  <c r="M59" i="5"/>
  <c r="M80" i="5" s="1"/>
  <c r="M25" i="6"/>
  <c r="J25" i="6"/>
  <c r="J59" i="5"/>
  <c r="J80" i="5" s="1"/>
  <c r="J22" i="7"/>
  <c r="D25" i="6"/>
  <c r="D59" i="5"/>
  <c r="D80" i="5" s="1"/>
  <c r="D22" i="7"/>
  <c r="J23" i="7"/>
  <c r="J26" i="6"/>
  <c r="J60" i="5"/>
  <c r="J81" i="5" s="1"/>
  <c r="G23" i="7"/>
  <c r="G60" i="5"/>
  <c r="G81" i="5" s="1"/>
  <c r="G26" i="6"/>
  <c r="H33" i="6"/>
  <c r="H63" i="5"/>
  <c r="H84" i="5" s="1"/>
  <c r="H29" i="7"/>
  <c r="C33" i="6"/>
  <c r="C29" i="7"/>
  <c r="C63" i="5"/>
  <c r="C84" i="5" s="1"/>
  <c r="I29" i="7"/>
  <c r="I33" i="6"/>
  <c r="I63" i="5"/>
  <c r="I84" i="5" s="1"/>
  <c r="I64" i="5"/>
  <c r="I85" i="5" s="1"/>
  <c r="I30" i="7"/>
  <c r="I34" i="6"/>
  <c r="F30" i="7"/>
  <c r="F64" i="5"/>
  <c r="F85" i="5" s="1"/>
  <c r="F34" i="6"/>
  <c r="G33" i="6"/>
  <c r="G63" i="5"/>
  <c r="G84" i="5" s="1"/>
  <c r="G29" i="7"/>
  <c r="M64" i="5"/>
  <c r="M85" i="5" s="1"/>
  <c r="M34" i="6"/>
  <c r="M30" i="7"/>
  <c r="N29" i="7"/>
  <c r="N63" i="5"/>
  <c r="N84" i="5" s="1"/>
  <c r="N33" i="6"/>
  <c r="K63" i="5"/>
  <c r="K84" i="5" s="1"/>
  <c r="K29" i="7"/>
  <c r="K33" i="6"/>
  <c r="N64" i="5"/>
  <c r="N85" i="5" s="1"/>
  <c r="N30" i="7"/>
  <c r="N34" i="6"/>
  <c r="L33" i="6"/>
  <c r="L29" i="7"/>
  <c r="L63" i="5"/>
  <c r="L84" i="5" s="1"/>
  <c r="C34" i="6"/>
  <c r="C30" i="7"/>
  <c r="C64" i="5"/>
  <c r="C85" i="5" s="1"/>
  <c r="H25" i="6"/>
  <c r="H22" i="7"/>
  <c r="H59" i="5"/>
  <c r="H80" i="5" s="1"/>
  <c r="N60" i="5"/>
  <c r="N81" i="5" s="1"/>
  <c r="N23" i="7"/>
  <c r="N26" i="6"/>
  <c r="C25" i="6"/>
  <c r="C59" i="5"/>
  <c r="C80" i="5" s="1"/>
  <c r="C22" i="7"/>
  <c r="L22" i="7"/>
  <c r="L59" i="5"/>
  <c r="L80" i="5" s="1"/>
  <c r="L25" i="6"/>
  <c r="I22" i="7"/>
  <c r="I25" i="6"/>
  <c r="I59" i="5"/>
  <c r="I80" i="5" s="1"/>
  <c r="C60" i="5"/>
  <c r="C81" i="5" s="1"/>
  <c r="C23" i="7"/>
  <c r="C26" i="6"/>
  <c r="I23" i="7"/>
  <c r="I60" i="5"/>
  <c r="I81" i="5" s="1"/>
  <c r="I26" i="6"/>
  <c r="F23" i="7"/>
  <c r="F26" i="6"/>
  <c r="F60" i="5"/>
  <c r="F81" i="5" s="1"/>
  <c r="G59" i="5"/>
  <c r="G80" i="5" s="1"/>
  <c r="G22" i="7"/>
  <c r="G25" i="6"/>
  <c r="M26" i="6"/>
  <c r="M23" i="7"/>
  <c r="M60" i="5"/>
  <c r="M81" i="5" s="1"/>
  <c r="N59" i="5"/>
  <c r="N80" i="5" s="1"/>
  <c r="N22" i="7"/>
  <c r="N25" i="6"/>
  <c r="K22" i="7"/>
  <c r="K25" i="6"/>
  <c r="K59" i="5"/>
  <c r="K80" i="5" s="1"/>
  <c r="C25" i="7"/>
  <c r="L25" i="7"/>
  <c r="E25" i="7"/>
  <c r="I25" i="7"/>
  <c r="M25" i="7"/>
  <c r="H25" i="7"/>
  <c r="J25" i="7"/>
  <c r="N25" i="7"/>
  <c r="K25" i="7"/>
  <c r="D25" i="7"/>
  <c r="C58" i="5"/>
  <c r="C79" i="5" s="1"/>
  <c r="C42" i="5"/>
  <c r="J58" i="5"/>
  <c r="J42" i="5"/>
  <c r="N58" i="5"/>
  <c r="N42" i="5"/>
  <c r="L58" i="5"/>
  <c r="L42" i="5"/>
  <c r="E58" i="5"/>
  <c r="E42" i="5"/>
  <c r="K58" i="5"/>
  <c r="K42" i="5"/>
  <c r="I58" i="5"/>
  <c r="I42" i="5"/>
  <c r="D58" i="5"/>
  <c r="D42" i="5"/>
  <c r="M58" i="5"/>
  <c r="M42" i="5"/>
  <c r="H58" i="5"/>
  <c r="H42" i="5"/>
  <c r="F58" i="5"/>
  <c r="F42" i="5"/>
  <c r="G58" i="5"/>
  <c r="G42" i="5"/>
  <c r="E28" i="6" l="1"/>
  <c r="H28" i="6"/>
  <c r="L28" i="6"/>
  <c r="I28" i="6"/>
  <c r="M28" i="6"/>
  <c r="F28" i="6"/>
  <c r="J28" i="6"/>
  <c r="N28" i="6"/>
  <c r="G28" i="6"/>
  <c r="K28" i="6"/>
  <c r="H38" i="6"/>
  <c r="L38" i="6"/>
  <c r="E38" i="6"/>
  <c r="I38" i="6"/>
  <c r="M38" i="6"/>
  <c r="F38" i="6"/>
  <c r="N38" i="6"/>
  <c r="J38" i="6"/>
  <c r="G38" i="6"/>
  <c r="K38" i="6"/>
  <c r="G25" i="7"/>
  <c r="F25" i="7"/>
  <c r="G62" i="5"/>
  <c r="G31" i="7"/>
  <c r="H31" i="7"/>
  <c r="H62" i="5"/>
  <c r="K62" i="5"/>
  <c r="K31" i="7"/>
  <c r="J31" i="7"/>
  <c r="J62" i="5"/>
  <c r="J83" i="5" s="1"/>
  <c r="F31" i="7"/>
  <c r="F62" i="5"/>
  <c r="F83" i="5" s="1"/>
  <c r="I31" i="7"/>
  <c r="I62" i="5"/>
  <c r="I83" i="5" s="1"/>
  <c r="E31" i="7"/>
  <c r="E62" i="5"/>
  <c r="E83" i="5" s="1"/>
  <c r="N31" i="7"/>
  <c r="N62" i="5"/>
  <c r="N83" i="5" s="1"/>
  <c r="D31" i="7"/>
  <c r="D62" i="5"/>
  <c r="L31" i="7"/>
  <c r="L62" i="5"/>
  <c r="L83" i="5" s="1"/>
  <c r="M31" i="7"/>
  <c r="M62" i="5"/>
  <c r="M83" i="5" s="1"/>
  <c r="C62" i="5"/>
  <c r="C83" i="5" s="1"/>
  <c r="C31" i="7"/>
  <c r="G79" i="5"/>
  <c r="G83" i="5"/>
  <c r="H79" i="5"/>
  <c r="H83" i="5"/>
  <c r="D79" i="5"/>
  <c r="D83" i="5"/>
  <c r="K79" i="5"/>
  <c r="K83" i="5"/>
  <c r="L79" i="5"/>
  <c r="J79" i="5"/>
  <c r="F79" i="5"/>
  <c r="M79" i="5"/>
  <c r="I79" i="5"/>
  <c r="E79" i="5"/>
  <c r="N79" i="5"/>
  <c r="L32" i="7" l="1"/>
  <c r="N32" i="7"/>
  <c r="I32" i="7"/>
  <c r="J32" i="7"/>
  <c r="H32" i="7"/>
  <c r="C32" i="7"/>
  <c r="K32" i="7"/>
  <c r="G32" i="7"/>
  <c r="M32" i="7"/>
  <c r="D32" i="7"/>
  <c r="E32" i="7"/>
  <c r="F3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tc={C6D2B4B6-8A72-458A-AF55-45469DBE2FF0}</author>
  </authors>
  <commentList>
    <comment ref="G20" authorId="0" shapeId="0" xr:uid="{C6D2B4B6-8A72-458A-AF55-45469DBE2FF0}">
      <text>
        <t>[Threaded comment]
Your version of Excel allows you to read this threaded comment; however, any edits to it will get removed if the file is opened in a newer version of Excel. Learn more: https://go.microsoft.com/fwlink/?linkid=870924
Comment:
    Please avoid using ABS function. Here,sum of 21319 &amp; -76.26 becomes 21395, which shouldnt be the scenario</t>
      </text>
    </comment>
  </commentList>
</comments>
</file>

<file path=xl/sharedStrings.xml><?xml version="1.0" encoding="utf-8"?>
<sst xmlns="http://schemas.openxmlformats.org/spreadsheetml/2006/main" count="1376" uniqueCount="167">
  <si>
    <t>Financial Analysis</t>
  </si>
  <si>
    <t>Welcome to your first formal Financial Analysis Exercise for Unit 5.</t>
  </si>
  <si>
    <t>Note that the Exercises you will be completing are based off a REAL WORLD Client. In this situation, the data is NOT necessarily in an easily accessible format and this is something that as a data analyst, you will have to get used to.</t>
  </si>
  <si>
    <t>It will be challenging and will have you utilise the Excel foundations you have built up in Unit 4.0. (SUMIFS will become a very valuable friend during this exercise!)</t>
  </si>
  <si>
    <t>Let's get started.</t>
  </si>
  <si>
    <t>What do the tab colours mean?</t>
  </si>
  <si>
    <r>
      <t xml:space="preserve">For the tabs titled CC Actuals, Financial Actuals, Variance Analysis, Cost to Produce and EBIT - </t>
    </r>
    <r>
      <rPr>
        <b/>
        <sz val="10"/>
        <color rgb="FF000000"/>
        <rFont val="Arial"/>
        <family val="2"/>
      </rPr>
      <t xml:space="preserve">These are all highlighted with a GREEN Tab. </t>
    </r>
    <r>
      <rPr>
        <sz val="10"/>
        <color rgb="FF000000"/>
        <rFont val="Arial"/>
        <family val="2"/>
      </rPr>
      <t xml:space="preserve">
This is to indicate that you need to complete this worksheet and fill this out.</t>
    </r>
  </si>
  <si>
    <r>
      <t xml:space="preserve">For the Tabs titled Definitions, CC Budget, Financial Budget, Water Production Actuals &amp; Water Production Budget, these represents Tabs you will be referencing when you complete some of the </t>
    </r>
    <r>
      <rPr>
        <b/>
        <sz val="10"/>
        <color theme="0"/>
        <rFont val="Arial"/>
        <family val="2"/>
      </rPr>
      <t xml:space="preserve">variance </t>
    </r>
    <r>
      <rPr>
        <sz val="10"/>
        <color theme="0"/>
        <rFont val="Arial"/>
        <family val="2"/>
      </rPr>
      <t xml:space="preserve">exercises that you will encounter. Refer to the Variance Tab for a detailed breakdown regarding </t>
    </r>
    <r>
      <rPr>
        <b/>
        <sz val="10"/>
        <color theme="0"/>
        <rFont val="Arial"/>
        <family val="2"/>
      </rPr>
      <t>what variance is</t>
    </r>
    <r>
      <rPr>
        <sz val="10"/>
        <color theme="0"/>
        <rFont val="Arial"/>
        <family val="2"/>
      </rPr>
      <t xml:space="preserve"> and how to calculate it.</t>
    </r>
  </si>
  <si>
    <t>How are CC Actuals and Financial Actuals Related in this exercise?</t>
  </si>
  <si>
    <r>
      <t xml:space="preserve">You will note that you have CC ACTUALS and Financial Actuals - these are actually </t>
    </r>
    <r>
      <rPr>
        <b/>
        <u/>
        <sz val="10"/>
        <color rgb="FF000000"/>
        <rFont val="Arial"/>
        <family val="2"/>
      </rPr>
      <t>related.</t>
    </r>
  </si>
  <si>
    <t>Let's unpack how in the below diagram:</t>
  </si>
  <si>
    <t>What is the Cost to Produce and how do I calculate this?</t>
  </si>
  <si>
    <t>Southern Water Corp. like any company has production costs. In essence, the major costs which are used to calculate the Cost to Produce are composed of the Operational Expenses and the Production Costs. When these costs are added together and divided by the Total Amount of Water Production - we get an overall Cost of Production.</t>
  </si>
  <si>
    <r>
      <t xml:space="preserve">This can then be used as a measure to identify how </t>
    </r>
    <r>
      <rPr>
        <b/>
        <sz val="10"/>
        <color rgb="FF000000"/>
        <rFont val="Arial"/>
        <family val="2"/>
      </rPr>
      <t>cost effective</t>
    </r>
    <r>
      <rPr>
        <sz val="10"/>
        <color rgb="FF000000"/>
        <rFont val="Arial"/>
        <family val="2"/>
      </rPr>
      <t xml:space="preserve"> Southern Water Corp. is.</t>
    </r>
  </si>
  <si>
    <t>What is the Water Production Actuals / Budget Tab?</t>
  </si>
  <si>
    <r>
      <t xml:space="preserve">The Water Production Actuals Tab is the amount of Water that is </t>
    </r>
    <r>
      <rPr>
        <b/>
        <sz val="10"/>
        <color rgb="FF000000"/>
        <rFont val="Arial"/>
        <family val="2"/>
      </rPr>
      <t>Produced by Southern Water Corps. Desalination Units.</t>
    </r>
  </si>
  <si>
    <r>
      <t xml:space="preserve">The Water Production Budget is how much the Analysts </t>
    </r>
    <r>
      <rPr>
        <b/>
        <sz val="10"/>
        <color rgb="FF000000"/>
        <rFont val="Arial"/>
        <family val="2"/>
      </rPr>
      <t>believe</t>
    </r>
    <r>
      <rPr>
        <sz val="10"/>
        <color rgb="FF000000"/>
        <rFont val="Arial"/>
        <family val="2"/>
      </rPr>
      <t xml:space="preserve"> can be produced by Southern Water Corp's Desalination Units</t>
    </r>
  </si>
  <si>
    <t>Why are the revenues shown as negative and costs as positive?</t>
  </si>
  <si>
    <t xml:space="preserve">As you work through the case study you may question "Why are Revenue's shown as negative? Is this company losing money?"" </t>
  </si>
  <si>
    <t xml:space="preserve">In this case, the company SW Corp has opted to show its 'revenues' as negative (Debit) and cost as positives (credit) with respect to the balance sheet (i.e. Depending on whether the numbers are shown on the balance sheet or income statement, debits and credits impact will switch).For SW Corp, the company has recorded its revenues via the  Double Entry Book Keeping methodology. </t>
  </si>
  <si>
    <t>By double entry, we mean there are two entries generally ( a debit on one side of the and a credit on the other side so that the books are 'balanced' via the Assets = Liabilities + Owners Equity Equation)."</t>
  </si>
  <si>
    <t>So the revenues are not 'negative', but are actually 'positive' inflows, but due to the 'Debiting' towards the revenue account being represented by a (-) symbol, it can look like the values are negative when they are not.</t>
  </si>
  <si>
    <t>Definitions w.r.t Southern Water Corp Financials</t>
  </si>
  <si>
    <t>Use this definitions table as your reference to understand which cost centres flow into the respective cost category for Southern Water Corp.</t>
  </si>
  <si>
    <t>Revenues</t>
  </si>
  <si>
    <r>
      <t xml:space="preserve">Revenues generated through Sales of Water to Residential, Public and Private Corporations and Individuals. </t>
    </r>
    <r>
      <rPr>
        <b/>
        <sz val="10"/>
        <color theme="0"/>
        <rFont val="Arial"/>
        <family val="2"/>
      </rPr>
      <t>Cost Centres 001, 040, 010</t>
    </r>
    <r>
      <rPr>
        <sz val="10"/>
        <color theme="0"/>
        <rFont val="Arial"/>
        <family val="2"/>
      </rPr>
      <t xml:space="preserve">. </t>
    </r>
    <r>
      <rPr>
        <b/>
        <sz val="10"/>
        <color theme="0"/>
        <rFont val="Arial"/>
        <family val="2"/>
      </rPr>
      <t xml:space="preserve">Cash in is represented by a negative transaction. </t>
    </r>
    <r>
      <rPr>
        <sz val="10"/>
        <color theme="0"/>
        <rFont val="Arial"/>
        <family val="2"/>
      </rPr>
      <t xml:space="preserve">Please note that we aren't saying we have </t>
    </r>
    <r>
      <rPr>
        <b/>
        <sz val="10"/>
        <color theme="0"/>
        <rFont val="Arial"/>
        <family val="2"/>
      </rPr>
      <t>negative</t>
    </r>
    <r>
      <rPr>
        <sz val="10"/>
        <color theme="0"/>
        <rFont val="Arial"/>
        <family val="2"/>
      </rPr>
      <t xml:space="preserve"> revenue, but rather the revenues are 'debited' and this is represented with the - symbol.</t>
    </r>
  </si>
  <si>
    <t>Production Cost</t>
  </si>
  <si>
    <r>
      <t xml:space="preserve">Costs associated with producing desalinated water. </t>
    </r>
    <r>
      <rPr>
        <b/>
        <sz val="10"/>
        <color theme="0"/>
        <rFont val="Arial"/>
        <family val="2"/>
      </rPr>
      <t>Cost Centre 120.</t>
    </r>
    <r>
      <rPr>
        <sz val="10"/>
        <color theme="0"/>
        <rFont val="Arial"/>
        <family val="2"/>
      </rPr>
      <t xml:space="preserve"> Costs are represented by a positive transaction. </t>
    </r>
    <r>
      <rPr>
        <b/>
        <sz val="10"/>
        <color theme="0"/>
        <rFont val="Arial"/>
        <family val="2"/>
      </rPr>
      <t>Costs are credited.</t>
    </r>
    <r>
      <rPr>
        <sz val="10"/>
        <color theme="0"/>
        <rFont val="Arial"/>
        <family val="2"/>
      </rPr>
      <t xml:space="preserve"> Note the difference between Revenues and Costs. Costs are represented by a positive number.</t>
    </r>
  </si>
  <si>
    <t>Other Production Costs</t>
  </si>
  <si>
    <r>
      <t xml:space="preserve">Costs associated with 'Other' Production Costs as opposed to pure desalination watering costs. </t>
    </r>
    <r>
      <rPr>
        <b/>
        <sz val="10"/>
        <color theme="0"/>
        <rFont val="Arial"/>
        <family val="2"/>
      </rPr>
      <t>Cost Centre 140.</t>
    </r>
  </si>
  <si>
    <t>Assets</t>
  </si>
  <si>
    <t>Assets owned by Southern Water Corp Financials. Assets = Owners Equity + Liabilities</t>
  </si>
  <si>
    <t>EBIT</t>
  </si>
  <si>
    <t>Earnings Before Interest and Tax. Calculated as Revenues - COGS (Production Costs) - Overheads.</t>
  </si>
  <si>
    <t>Cost to Produce Per Litre</t>
  </si>
  <si>
    <t>(Production Cost + Other Production Costs + Overheads) / Total Water Production</t>
  </si>
  <si>
    <t>Cost Centre Actuals</t>
  </si>
  <si>
    <t>REVENUE &amp; PRODUCTION COSTS BY ACTIVITY FOR SOUTHERN WATER CO FINANCIAL YEAR 13/14</t>
  </si>
  <si>
    <t>Q1. Populate all the Cost Centre Element Totals using the SUM Function you learnt in Unit 4. The first row, row 8 has been completed for you!</t>
  </si>
  <si>
    <t>Unit</t>
  </si>
  <si>
    <t>Value Driver (Revenue / Production Costs / Other Production Costs)</t>
  </si>
  <si>
    <t>Cost Centre</t>
  </si>
  <si>
    <t>Cost Centre Element</t>
  </si>
  <si>
    <t>2013/Jul</t>
  </si>
  <si>
    <t>2013/Aug</t>
  </si>
  <si>
    <t>2013/Sep</t>
  </si>
  <si>
    <t>2013/Oct</t>
  </si>
  <si>
    <t>2013/Nov</t>
  </si>
  <si>
    <t>2013/Dec</t>
  </si>
  <si>
    <t>2014/Jan</t>
  </si>
  <si>
    <t>2014/Feb</t>
  </si>
  <si>
    <t>2014/Mar</t>
  </si>
  <si>
    <t>2014/Apr</t>
  </si>
  <si>
    <t>2014/May</t>
  </si>
  <si>
    <t>2014/Jun</t>
  </si>
  <si>
    <t>Kootha (1 Major Desal Unit)</t>
  </si>
  <si>
    <t>Revenue</t>
  </si>
  <si>
    <t>001 Water Hedge Sales</t>
  </si>
  <si>
    <t>W-Transact (0211)</t>
  </si>
  <si>
    <t>Total</t>
  </si>
  <si>
    <t>040 Miscellaneous Sales</t>
  </si>
  <si>
    <t>Plant Maintenance (1200)</t>
  </si>
  <si>
    <t>Plant Op. Costs (1300)</t>
  </si>
  <si>
    <t>Admin (100)</t>
  </si>
  <si>
    <t xml:space="preserve">010 DESAL Water Sales </t>
  </si>
  <si>
    <t>Production Costs</t>
  </si>
  <si>
    <t>120 Purchases</t>
  </si>
  <si>
    <t>140 Other Production Costs</t>
  </si>
  <si>
    <t>DS Kootha Hydrogen By Product (0232)</t>
  </si>
  <si>
    <t>Surjek (4 Major Desal. Plants)</t>
  </si>
  <si>
    <t>Projects Opex (4438)</t>
  </si>
  <si>
    <t>Jutik (New Desalination Plant)</t>
  </si>
  <si>
    <t>Plant Outages (1100)</t>
  </si>
  <si>
    <t>OVERALL TOTAL</t>
  </si>
  <si>
    <t>Q2. Using the Completed Information in Q1, Combine Kootha, Surjek and Jutik's Revenues and Costs together ensuring you have correctly captured all the Cost Centres and Cost Elements. Be sure to make use of the SUMIFS function you learnt in Unit 4.
If you've forgotten the Syntax, refer to the following:
https://support.office.com/en-us/article/sumifs-function-c9e748f5-7ea7-455d-9406-611cebce642b
Note: The reason we are doing this is so we can get a summarised view of the 'Total' costs / revenues with respect to each Cost Centre / Cost Element as we currently have a fragmented view.</t>
  </si>
  <si>
    <t>Combined Costs for Kootha, Surjek and Jutik</t>
  </si>
  <si>
    <t>All</t>
  </si>
  <si>
    <t>REVENUE AND PRODUCTIONS COSTS BY UNIT</t>
  </si>
  <si>
    <t xml:space="preserve">Q1a. Fill out the Revenues Section for each individual Unit (Kootha, Surjek, Jutik) using the Cost Centres which correspond to the 'Revenues' Label in the Value Driver Tree Column. Use the SUMIFS Formula to help you. Remember - you have to filter on the Unit as well as the Value Driver Tree Column!
</t>
  </si>
  <si>
    <r>
      <t xml:space="preserve">Q1b. Fill out the Production Costs and Production Other Costs using the Value Driver Tree Column in the CC Actuals Tab, labelled Production Costs and Other Production Costs respectively. Don't forget to use the SUMIFS formula. If you want to be </t>
    </r>
    <r>
      <rPr>
        <b/>
        <u/>
        <sz val="12"/>
        <color theme="0"/>
        <rFont val="Arial"/>
        <family val="2"/>
      </rPr>
      <t>really</t>
    </r>
    <r>
      <rPr>
        <b/>
        <i/>
        <u/>
        <sz val="12"/>
        <color theme="0"/>
        <rFont val="Arial"/>
        <family val="2"/>
      </rPr>
      <t xml:space="preserve"> advanced you can use SUMPRODUCT!</t>
    </r>
  </si>
  <si>
    <t>Actual</t>
  </si>
  <si>
    <t>Production</t>
  </si>
  <si>
    <t>Production Other</t>
  </si>
  <si>
    <t>Legacy Water Desal Plants [Kootha + Surjek]</t>
  </si>
  <si>
    <t>Jutik Desalination Plant [Newest Desalination Plant]</t>
  </si>
  <si>
    <t>OVERHEADS</t>
  </si>
  <si>
    <t>OVERHEADS PER UNIT</t>
  </si>
  <si>
    <t>1200</t>
  </si>
  <si>
    <t>1100</t>
  </si>
  <si>
    <t>1300</t>
  </si>
  <si>
    <t>(100</t>
  </si>
  <si>
    <t>Tota</t>
  </si>
  <si>
    <t>4438</t>
  </si>
  <si>
    <t>Q2. Using the Overheads Per Unit Information, combine Kootha, Surjek and Jutiks costs together using the SUMIFS Formula for 1) Plant Maintenance, 2)Plant Outages, 3) Plant Op. Costs, 4) Projects Opex and 5) Admin. Don't forget to use SUMIFS!</t>
  </si>
  <si>
    <t>Desalination Plants [All]</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</si>
  <si>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</si>
  <si>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</si>
  <si>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</si>
  <si>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</si>
  <si>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</si>
  <si>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Overheads</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</si>
  <si>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</si>
  <si>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</si>
  <si>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</si>
  <si>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</si>
  <si>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</si>
  <si>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</si>
  <si>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</si>
  <si>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</si>
  <si>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</si>
  <si>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</si>
  <si>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</si>
  <si>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</si>
  <si>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</si>
  <si>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</si>
  <si>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</si>
  <si>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</si>
  <si>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11)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</si>
  <si>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</si>
  <si>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</si>
  <si>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</si>
  <si>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</si>
  <si>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</si>
  <si>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</si>
  <si>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</si>
  <si>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</si>
  <si>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</si>
  <si>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</si>
  <si>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</si>
  <si>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</si>
  <si>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</si>
  <si>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</si>
  <si>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</si>
  <si>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</si>
  <si>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</si>
  <si>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</si>
  <si>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</si>
  <si>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Kootha</t>
  </si>
  <si>
    <t>EBIT ACTUALS</t>
  </si>
  <si>
    <t xml:space="preserve">Overheads </t>
  </si>
  <si>
    <t xml:space="preserve">Production Costs </t>
  </si>
  <si>
    <t xml:space="preserve">Other Production Costs </t>
  </si>
  <si>
    <t>Surjek</t>
  </si>
  <si>
    <t>Jutik</t>
  </si>
  <si>
    <t>OVERALL</t>
  </si>
  <si>
    <t>BUDGET</t>
  </si>
  <si>
    <t>Q2. Create Line Charts Plotting out the EBIT for each individual Unit (Kootha, Surjek, Jutik and Overall) and copy these graphs into a PowerPoint Slide Pack. What do the EBIT Trends tell you?</t>
  </si>
  <si>
    <t>REVENUE &amp; PRODUCTION COSTS BY ACTIVITY FOR SOUTHERN WATER CO FINANCIAL YEAR 13/14 (BUDGET)</t>
  </si>
  <si>
    <t>Value Driver Tree</t>
  </si>
  <si>
    <t>Cost Elements</t>
  </si>
  <si>
    <t>Kootha Budget Figures</t>
  </si>
  <si>
    <t>Surjek Budget Figures</t>
  </si>
  <si>
    <t>Jutik Budget Figures</t>
  </si>
  <si>
    <t>Combined Costs for All Plants</t>
  </si>
  <si>
    <t>Desalination Plants [ALL]</t>
  </si>
  <si>
    <t>REVENUE AND PRODUCTIONS COSTS BUDGETS</t>
  </si>
  <si>
    <t>OVERHEADS BUDGET</t>
  </si>
  <si>
    <t>All Desalination Plants</t>
  </si>
  <si>
    <t>Desalinated Water Production Per Thousand Litres</t>
  </si>
  <si>
    <t>TOTAL</t>
  </si>
  <si>
    <t>1000 Mega-Litres = 1 Giga-Litre</t>
  </si>
  <si>
    <t>010 DESAL Water Sales</t>
  </si>
  <si>
    <t>Q2b. Popuate the Production, Production Other and Overheads Section of the Table below with the Actual Values from the Financial Actuals Tab.</t>
  </si>
  <si>
    <t>Place Holder</t>
  </si>
  <si>
    <t>COGS(Production Costs)</t>
  </si>
  <si>
    <t>Operational Expenses(Overheads)</t>
  </si>
  <si>
    <t>Actual vs Budget variances, YTD,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</si>
</sst>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C09]#,##0.00"/>
    <numFmt numFmtId="165" formatCode="&quot;$&quot;#,##0.00"/>
    <numFmt numFmtId="166" formatCode="&quot;$&quot;#,##0.00;[Red]\-&quot;$&quot;#,##0.00"/>
    <numFmt numFmtId="167" formatCode="#,##0.00\ &quot;Giga-litres&quot;"/>
    <numFmt numFmtId="168" formatCode="0.0%"/>
    <numFmt numFmtId="175" formatCode="0.0"/>
  </numFmts>
  <fonts count="47">
    <font>
      <sz val="11"/>
      <color rgb="FF000000"/>
      <name val="Calibri"/>
    </font>
    <font>
      <b/>
      <sz val="10"/>
      <color rgb="FF000000"/>
      <name val="Arial"/>
      <family val="2"/>
    </font>
    <font>
      <b/>
      <sz val="10"/>
      <color theme="1"/>
      <name val="Arial"/>
      <family val="2"/>
    </font>
    <font>
      <sz val="10"/>
      <color rgb="FF000000"/>
      <name val="Arial"/>
      <family val="2"/>
    </font>
    <font>
      <sz val="10"/>
      <color theme="1"/>
      <name val="Arial"/>
      <family val="2"/>
    </font>
    <font>
      <b/>
      <sz val="10"/>
      <color theme="0"/>
      <name val="Arial"/>
      <family val="2"/>
    </font>
    <font>
      <sz val="10"/>
      <color theme="0"/>
      <name val="Arial"/>
      <family val="2"/>
    </font>
    <font>
      <sz val="11"/>
      <color theme="0"/>
      <name val="Calibri"/>
      <family val="2"/>
    </font>
    <font>
      <b/>
      <sz val="12"/>
      <color theme="1"/>
      <name val="Arial"/>
      <family val="2"/>
    </font>
    <font>
      <sz val="11"/>
      <name val="Calibri"/>
      <family val="2"/>
    </font>
    <font>
      <sz val="10"/>
      <color rgb="FF000000"/>
      <name val="Calibri"/>
      <family val="2"/>
    </font>
    <font>
      <b/>
      <sz val="11"/>
      <color rgb="FF000000"/>
      <name val="Calibri"/>
      <family val="2"/>
    </font>
    <font>
      <sz val="10"/>
      <color rgb="FF1D1C1D"/>
      <name val="Arial"/>
      <family val="2"/>
    </font>
    <font>
      <b/>
      <sz val="11"/>
      <color theme="0"/>
      <name val="Calibri"/>
      <family val="2"/>
    </font>
    <font>
      <sz val="16"/>
      <color theme="0"/>
      <name val="Arial"/>
      <family val="2"/>
    </font>
    <font>
      <b/>
      <sz val="16"/>
      <color theme="0"/>
      <name val="Arial"/>
      <family val="2"/>
    </font>
    <font>
      <b/>
      <sz val="12"/>
      <color theme="0"/>
      <name val="Arial"/>
      <family val="2"/>
    </font>
    <font>
      <b/>
      <sz val="14"/>
      <color theme="0"/>
      <name val="Arial"/>
      <family val="2"/>
    </font>
    <font>
      <sz val="12"/>
      <color theme="0"/>
      <name val="Arial"/>
      <family val="2"/>
    </font>
    <font>
      <i/>
      <sz val="12"/>
      <color rgb="FF000000"/>
      <name val="Arial"/>
      <family val="2"/>
    </font>
    <font>
      <sz val="14"/>
      <color theme="0"/>
      <name val="Arial"/>
      <family val="2"/>
    </font>
    <font>
      <sz val="16"/>
      <color theme="0"/>
      <name val="Calibri"/>
      <family val="2"/>
    </font>
    <font>
      <sz val="12"/>
      <color theme="0"/>
      <name val="Calibri"/>
      <family val="2"/>
    </font>
    <font>
      <sz val="11"/>
      <color rgb="FF000000"/>
      <name val="Arial"/>
      <family val="2"/>
    </font>
    <font>
      <b/>
      <sz val="14"/>
      <color theme="0"/>
      <name val="Calibri"/>
      <family val="2"/>
    </font>
    <font>
      <b/>
      <sz val="9"/>
      <color theme="0"/>
      <name val="Arial"/>
      <family val="2"/>
    </font>
    <font>
      <b/>
      <sz val="11"/>
      <color theme="0"/>
      <name val="Arial"/>
      <family val="2"/>
    </font>
    <font>
      <sz val="9"/>
      <color rgb="FF000000"/>
      <name val="Arial"/>
      <family val="2"/>
    </font>
    <font>
      <sz val="9"/>
      <color theme="0"/>
      <name val="Arial"/>
      <family val="2"/>
    </font>
    <font>
      <b/>
      <sz val="11"/>
      <color rgb="FF000000"/>
      <name val="Arial"/>
      <family val="2"/>
    </font>
    <font>
      <b/>
      <sz val="10"/>
      <color theme="0"/>
      <name val="Calibri"/>
      <family val="2"/>
    </font>
    <font>
      <sz val="9"/>
      <color theme="1"/>
      <name val="Arial"/>
      <family val="2"/>
    </font>
    <font>
      <sz val="8"/>
      <color rgb="FF000000"/>
      <name val="Arial"/>
      <family val="2"/>
    </font>
    <font>
      <b/>
      <sz val="8"/>
      <color rgb="FF000000"/>
      <name val="Calibri"/>
      <family val="2"/>
    </font>
    <font>
      <b/>
      <u/>
      <sz val="10"/>
      <color rgb="FF000000"/>
      <name val="Arial"/>
      <family val="2"/>
    </font>
    <font>
      <b/>
      <u/>
      <sz val="12"/>
      <color theme="0"/>
      <name val="Arial"/>
      <family val="2"/>
    </font>
    <font>
      <b/>
      <i/>
      <u/>
      <sz val="12"/>
      <color theme="0"/>
      <name val="Arial"/>
      <family val="2"/>
    </font>
    <font>
      <b/>
      <u/>
      <sz val="10"/>
      <color rgb="FFFF0000"/>
      <name val="Arial"/>
      <family val="2"/>
    </font>
    <font>
      <b/>
      <sz val="10"/>
      <color rgb="FF000000"/>
      <name val="Arial"/>
      <family val="2"/>
    </font>
    <font>
      <b/>
      <sz val="10"/>
      <color theme="0"/>
      <name val="Arial"/>
      <family val="2"/>
    </font>
    <font>
      <sz val="8"/>
      <name val="Calibri"/>
      <family val="2"/>
    </font>
    <font>
      <sz val="10"/>
      <color rgb="FF000000"/>
      <name val="Arial"/>
      <family val="2"/>
    </font>
    <font>
      <sz val="14"/>
      <color rgb="FF000000"/>
      <name val="Times"/>
      <family val="1"/>
    </font>
    <font>
      <sz val="11"/>
      <color rgb="FF000000"/>
      <name val="Calibri"/>
      <family val="2"/>
    </font>
    <font>
      <sz val="14"/>
      <color rgb="FF000000"/>
      <name val="Calibri"/>
      <family val="2"/>
    </font>
    <font>
      <sz val="20"/>
      <color rgb="FF000000"/>
      <name val="Calibri"/>
      <family val="2"/>
    </font>
    <font>
      <sz val="20"/>
      <color theme="0"/>
      <name val="Calibri"/>
      <family val="2"/>
    </font>
  </fonts>
  <fills count="15">
    <fill>
      <patternFill patternType="none"/>
    </fill>
    <fill>
      <patternFill patternType="gray125"/>
    </fill>
    <fill>
      <patternFill patternType="solid">
        <fgColor theme="1"/>
        <bgColor theme="1"/>
      </patternFill>
    </fill>
    <fill>
      <patternFill patternType="solid">
        <fgColor theme="9"/>
        <bgColor theme="9"/>
      </patternFill>
    </fill>
    <fill>
      <patternFill patternType="solid">
        <fgColor rgb="FFB4C6E7"/>
        <bgColor rgb="FFB4C6E7"/>
      </patternFill>
    </fill>
    <fill>
      <patternFill patternType="solid">
        <fgColor rgb="FFFFFFFF"/>
        <bgColor rgb="FFFFFFFF"/>
      </patternFill>
    </fill>
    <fill>
      <patternFill patternType="solid">
        <fgColor rgb="FFBDD6EE"/>
        <bgColor rgb="FFBDD6EE"/>
      </patternFill>
    </fill>
    <fill>
      <patternFill patternType="solid">
        <fgColor rgb="FFBFD2E2"/>
        <bgColor rgb="FFBFD2E2"/>
      </patternFill>
    </fill>
    <fill>
      <patternFill patternType="solid">
        <fgColor rgb="FF757070"/>
        <bgColor rgb="FF757070"/>
      </patternFill>
    </fill>
    <fill>
      <patternFill patternType="solid">
        <fgColor rgb="FFF2F2F2"/>
        <bgColor rgb="FFF2F2F2"/>
      </patternFill>
    </fill>
    <fill>
      <patternFill patternType="solid">
        <fgColor theme="2" tint="-0.14999847407452621"/>
        <bgColor indexed="64"/>
      </patternFill>
    </fill>
    <fill>
      <patternFill patternType="solid">
        <fgColor rgb="FFD0CECE"/>
        <bgColor indexed="64"/>
      </patternFill>
    </fill>
    <fill>
      <patternFill patternType="solid">
        <fgColor theme="2" tint="-0.249977111117893"/>
        <bgColor indexed="64"/>
      </patternFill>
    </fill>
    <fill>
      <patternFill patternType="solid">
        <fgColor theme="0"/>
        <bgColor indexed="64"/>
      </patternFill>
    </fill>
    <fill>
      <patternFill patternType="solid">
        <fgColor theme="9"/>
        <bgColor indexed="64"/>
      </patternFill>
    </fill>
  </fills>
  <borders count="43">
    <border>
      <left/>
      <right/>
      <top/>
      <bottom/>
      <diagonal/>
    </border>
    <border>
      <left style="medium">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double">
        <color rgb="FF000000"/>
      </top>
      <bottom style="thin">
        <color rgb="FF000000"/>
      </bottom>
      <diagonal/>
    </border>
    <border>
      <left/>
      <right/>
      <top/>
      <bottom style="medium">
        <color rgb="FF000000"/>
      </bottom>
      <diagonal/>
    </border>
    <border>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diagonal/>
    </border>
    <border>
      <left style="thin">
        <color rgb="FF93B1CD"/>
      </left>
      <right style="thin">
        <color rgb="FFCCCCCC"/>
      </right>
      <top style="thin">
        <color rgb="FFCCCCCC"/>
      </top>
      <bottom style="thin">
        <color rgb="FFCCCCCC"/>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thin">
        <color rgb="FF000000"/>
      </top>
      <bottom style="thin">
        <color rgb="FF000000"/>
      </bottom>
      <diagonal/>
    </border>
    <border>
      <left style="thin">
        <color rgb="FF93B1CD"/>
      </left>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medium">
        <color rgb="FF000000"/>
      </right>
      <top/>
      <bottom/>
      <diagonal/>
    </border>
    <border>
      <left style="medium">
        <color rgb="FF000000"/>
      </left>
      <right/>
      <top/>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double">
        <color rgb="FF000000"/>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bottom style="double">
        <color rgb="FF000000"/>
      </bottom>
      <diagonal/>
    </border>
    <border>
      <left style="medium">
        <color rgb="FF000000"/>
      </left>
      <right style="thin">
        <color rgb="FF000000"/>
      </right>
      <top style="thin">
        <color indexed="64"/>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style="thin">
        <color indexed="64"/>
      </top>
      <bottom style="thin">
        <color rgb="FF000000"/>
      </bottom>
      <diagonal/>
    </border>
    <border>
      <left/>
      <right/>
      <top/>
      <bottom style="thin">
        <color auto="1"/>
      </bottom>
      <diagonal/>
    </border>
    <border>
      <left/>
      <right/>
      <top style="thin">
        <color auto="1"/>
      </top>
      <bottom/>
      <diagonal/>
    </border>
    <border>
      <left/>
      <right/>
      <top/>
      <bottom style="dashDotDot">
        <color auto="1"/>
      </bottom>
      <diagonal/>
    </border>
    <border>
      <left/>
      <right/>
      <top style="thin">
        <color auto="1"/>
      </top>
      <bottom style="dashDot">
        <color auto="1"/>
      </bottom>
      <diagonal/>
    </border>
    <border>
      <left/>
      <right/>
      <top style="dashDot">
        <color auto="1"/>
      </top>
      <bottom style="dashDot">
        <color auto="1"/>
      </bottom>
      <diagonal/>
    </border>
    <border>
      <left/>
      <right/>
      <top/>
      <bottom style="dashDot">
        <color auto="1"/>
      </bottom>
      <diagonal/>
    </border>
  </borders>
  <cellStyleXfs count="1">
    <xf numFmtId="0" fontId="0" fillId="0" borderId="0"/>
  </cellStyleXfs>
  <cellXfs count="310">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xf numFmtId="0" fontId="6" fillId="2" borderId="1" xfId="0" applyFont="1" applyFill="1" applyBorder="1"/>
    <xf numFmtId="0" fontId="6" fillId="2" borderId="2" xfId="0" applyFont="1" applyFill="1" applyBorder="1"/>
    <xf numFmtId="0" fontId="6" fillId="2" borderId="3" xfId="0" applyFont="1" applyFill="1" applyBorder="1"/>
    <xf numFmtId="0" fontId="5" fillId="2" borderId="1" xfId="0" applyFont="1" applyFill="1" applyBorder="1"/>
    <xf numFmtId="17" fontId="5" fillId="2" borderId="4" xfId="0" applyNumberFormat="1" applyFont="1" applyFill="1" applyBorder="1" applyAlignment="1">
      <alignment horizontal="center"/>
    </xf>
    <xf numFmtId="0" fontId="5" fillId="2" borderId="5" xfId="0" applyFont="1" applyFill="1" applyBorder="1" applyAlignment="1">
      <alignment horizontal="center" vertical="top"/>
    </xf>
    <xf numFmtId="0" fontId="5" fillId="2" borderId="6" xfId="0" applyFont="1" applyFill="1" applyBorder="1"/>
    <xf numFmtId="0" fontId="5" fillId="2" borderId="5" xfId="0" applyFont="1" applyFill="1" applyBorder="1"/>
    <xf numFmtId="0" fontId="5" fillId="2" borderId="7" xfId="0" applyFont="1" applyFill="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164" fontId="3" fillId="0" borderId="7" xfId="0" applyNumberFormat="1" applyFont="1" applyBorder="1" applyAlignment="1">
      <alignment horizontal="right" vertical="top"/>
    </xf>
    <xf numFmtId="0" fontId="0" fillId="0" borderId="0" xfId="0" applyFont="1"/>
    <xf numFmtId="0" fontId="10" fillId="0" borderId="0" xfId="0" applyFont="1"/>
    <xf numFmtId="0" fontId="11" fillId="0" borderId="0" xfId="0" applyFont="1"/>
    <xf numFmtId="0" fontId="12" fillId="0" borderId="0" xfId="0" applyFont="1"/>
    <xf numFmtId="164" fontId="1" fillId="0" borderId="0" xfId="0" applyNumberFormat="1" applyFont="1" applyAlignment="1">
      <alignment horizontal="right" vertical="top"/>
    </xf>
    <xf numFmtId="164" fontId="3" fillId="0" borderId="0" xfId="0" applyNumberFormat="1" applyFont="1" applyAlignment="1">
      <alignment horizontal="right" vertical="top"/>
    </xf>
    <xf numFmtId="0" fontId="5" fillId="2" borderId="5" xfId="0" applyFont="1" applyFill="1" applyBorder="1" applyAlignment="1">
      <alignment horizontal="left" vertical="top"/>
    </xf>
    <xf numFmtId="0" fontId="5" fillId="2" borderId="6" xfId="0" applyFont="1" applyFill="1" applyBorder="1" applyAlignment="1">
      <alignment horizontal="left" vertical="top"/>
    </xf>
    <xf numFmtId="164" fontId="5" fillId="2" borderId="7" xfId="0" applyNumberFormat="1" applyFont="1" applyFill="1" applyBorder="1" applyAlignment="1">
      <alignment horizontal="right" vertical="top"/>
    </xf>
    <xf numFmtId="49" fontId="3" fillId="0" borderId="7" xfId="0" applyNumberFormat="1" applyFont="1" applyBorder="1"/>
    <xf numFmtId="0" fontId="4" fillId="0" borderId="7" xfId="0" applyFont="1" applyBorder="1"/>
    <xf numFmtId="165" fontId="5" fillId="2" borderId="1" xfId="0" applyNumberFormat="1" applyFont="1" applyFill="1" applyBorder="1"/>
    <xf numFmtId="165" fontId="6" fillId="2" borderId="3" xfId="0" applyNumberFormat="1" applyFont="1" applyFill="1" applyBorder="1"/>
    <xf numFmtId="165" fontId="1" fillId="0" borderId="5" xfId="0" applyNumberFormat="1" applyFont="1" applyBorder="1" applyAlignment="1">
      <alignment horizontal="left" vertical="top"/>
    </xf>
    <xf numFmtId="165" fontId="4" fillId="0" borderId="6" xfId="0" applyNumberFormat="1" applyFont="1" applyBorder="1"/>
    <xf numFmtId="165" fontId="4" fillId="0" borderId="5" xfId="0" applyNumberFormat="1" applyFont="1" applyBorder="1"/>
    <xf numFmtId="165" fontId="4" fillId="0" borderId="0" xfId="0" applyNumberFormat="1" applyFont="1"/>
    <xf numFmtId="165" fontId="3" fillId="0" borderId="6" xfId="0" applyNumberFormat="1" applyFont="1" applyBorder="1" applyAlignment="1">
      <alignment horizontal="left" vertical="top"/>
    </xf>
    <xf numFmtId="165" fontId="3" fillId="0" borderId="5" xfId="0" applyNumberFormat="1" applyFont="1" applyBorder="1" applyAlignment="1">
      <alignment horizontal="left" vertical="top"/>
    </xf>
    <xf numFmtId="165" fontId="3" fillId="0" borderId="5" xfId="0" applyNumberFormat="1" applyFont="1" applyBorder="1"/>
    <xf numFmtId="165" fontId="3" fillId="0" borderId="6" xfId="0" applyNumberFormat="1" applyFont="1" applyBorder="1"/>
    <xf numFmtId="165" fontId="4" fillId="0" borderId="1" xfId="0" applyNumberFormat="1" applyFont="1" applyBorder="1"/>
    <xf numFmtId="165" fontId="4" fillId="0" borderId="3" xfId="0" applyNumberFormat="1" applyFont="1" applyBorder="1"/>
    <xf numFmtId="165" fontId="3" fillId="0" borderId="0" xfId="0" applyNumberFormat="1" applyFont="1"/>
    <xf numFmtId="165" fontId="3" fillId="0" borderId="0" xfId="0" applyNumberFormat="1" applyFont="1" applyAlignment="1">
      <alignment horizontal="left" vertical="top"/>
    </xf>
    <xf numFmtId="165" fontId="15" fillId="2" borderId="11" xfId="0" applyNumberFormat="1" applyFont="1" applyFill="1" applyBorder="1"/>
    <xf numFmtId="165" fontId="15" fillId="2" borderId="12" xfId="0" applyNumberFormat="1" applyFont="1" applyFill="1" applyBorder="1"/>
    <xf numFmtId="165" fontId="15" fillId="2" borderId="11" xfId="0" applyNumberFormat="1" applyFont="1" applyFill="1" applyBorder="1" applyAlignment="1">
      <alignment horizontal="left" vertical="top"/>
    </xf>
    <xf numFmtId="165" fontId="1" fillId="5" borderId="5" xfId="0" applyNumberFormat="1" applyFont="1" applyFill="1" applyBorder="1"/>
    <xf numFmtId="165" fontId="1" fillId="5" borderId="6" xfId="0" applyNumberFormat="1" applyFont="1" applyFill="1" applyBorder="1"/>
    <xf numFmtId="165" fontId="1" fillId="5" borderId="5" xfId="0" applyNumberFormat="1" applyFont="1" applyFill="1" applyBorder="1" applyAlignment="1">
      <alignment horizontal="left" vertical="top"/>
    </xf>
    <xf numFmtId="164" fontId="2" fillId="0" borderId="0" xfId="0" applyNumberFormat="1" applyFont="1"/>
    <xf numFmtId="165" fontId="3" fillId="5" borderId="6" xfId="0" applyNumberFormat="1" applyFont="1" applyFill="1" applyBorder="1" applyAlignment="1">
      <alignment horizontal="left" vertical="top"/>
    </xf>
    <xf numFmtId="165" fontId="3" fillId="5" borderId="5" xfId="0" applyNumberFormat="1" applyFont="1" applyFill="1" applyBorder="1" applyAlignment="1">
      <alignment horizontal="left" vertical="top"/>
    </xf>
    <xf numFmtId="164" fontId="4" fillId="0" borderId="0" xfId="0" applyNumberFormat="1" applyFont="1"/>
    <xf numFmtId="165" fontId="3" fillId="5" borderId="5" xfId="0" applyNumberFormat="1" applyFont="1" applyFill="1" applyBorder="1"/>
    <xf numFmtId="165" fontId="3" fillId="5" borderId="6" xfId="0" applyNumberFormat="1" applyFont="1" applyFill="1" applyBorder="1"/>
    <xf numFmtId="165" fontId="2" fillId="5" borderId="1" xfId="0" applyNumberFormat="1" applyFont="1" applyFill="1" applyBorder="1"/>
    <xf numFmtId="165" fontId="2" fillId="5" borderId="3" xfId="0" applyNumberFormat="1" applyFont="1" applyFill="1" applyBorder="1"/>
    <xf numFmtId="165" fontId="16" fillId="2" borderId="5" xfId="0" applyNumberFormat="1" applyFont="1" applyFill="1" applyBorder="1"/>
    <xf numFmtId="165" fontId="15" fillId="2" borderId="6" xfId="0" applyNumberFormat="1" applyFont="1" applyFill="1" applyBorder="1" applyAlignment="1">
      <alignment horizontal="left" vertical="top"/>
    </xf>
    <xf numFmtId="165" fontId="15" fillId="2" borderId="5" xfId="0" applyNumberFormat="1" applyFont="1" applyFill="1" applyBorder="1" applyAlignment="1">
      <alignment horizontal="left" vertical="top"/>
    </xf>
    <xf numFmtId="165" fontId="1" fillId="0" borderId="5" xfId="0" applyNumberFormat="1" applyFont="1" applyBorder="1" applyAlignment="1">
      <alignment horizontal="center" vertical="top"/>
    </xf>
    <xf numFmtId="165" fontId="3" fillId="0" borderId="5" xfId="0" applyNumberFormat="1" applyFont="1" applyBorder="1" applyAlignment="1">
      <alignment horizontal="center" vertical="top"/>
    </xf>
    <xf numFmtId="0" fontId="19" fillId="0" borderId="0" xfId="0" applyFont="1"/>
    <xf numFmtId="49" fontId="5" fillId="2" borderId="5" xfId="0" applyNumberFormat="1" applyFont="1" applyFill="1" applyBorder="1"/>
    <xf numFmtId="49" fontId="17" fillId="2" borderId="5" xfId="0" applyNumberFormat="1" applyFont="1" applyFill="1" applyBorder="1"/>
    <xf numFmtId="0" fontId="1" fillId="0" borderId="7" xfId="0" applyFont="1" applyBorder="1" applyAlignment="1">
      <alignment horizontal="left" vertical="top"/>
    </xf>
    <xf numFmtId="166" fontId="3" fillId="0" borderId="14" xfId="0" applyNumberFormat="1" applyFont="1" applyBorder="1" applyAlignment="1">
      <alignment horizontal="right" vertical="top"/>
    </xf>
    <xf numFmtId="0" fontId="1" fillId="0" borderId="15" xfId="0" applyFont="1" applyBorder="1"/>
    <xf numFmtId="0" fontId="3" fillId="0" borderId="16" xfId="0" applyFont="1" applyBorder="1"/>
    <xf numFmtId="166" fontId="3" fillId="0" borderId="16" xfId="0" applyNumberFormat="1" applyFont="1" applyBorder="1"/>
    <xf numFmtId="166" fontId="3" fillId="0" borderId="0" xfId="0" applyNumberFormat="1" applyFont="1"/>
    <xf numFmtId="49" fontId="1" fillId="0" borderId="0" xfId="0" applyNumberFormat="1" applyFont="1"/>
    <xf numFmtId="0" fontId="1" fillId="0" borderId="0" xfId="0" applyFont="1" applyAlignment="1">
      <alignment horizontal="left" vertical="top"/>
    </xf>
    <xf numFmtId="49" fontId="3" fillId="0" borderId="5" xfId="0" applyNumberFormat="1" applyFont="1" applyBorder="1"/>
    <xf numFmtId="49" fontId="3" fillId="0" borderId="0" xfId="0" applyNumberFormat="1" applyFont="1"/>
    <xf numFmtId="166" fontId="3" fillId="0" borderId="0" xfId="0" applyNumberFormat="1" applyFont="1" applyAlignment="1">
      <alignment horizontal="right" vertical="top"/>
    </xf>
    <xf numFmtId="0" fontId="1" fillId="6" borderId="7" xfId="0" applyFont="1" applyFill="1" applyBorder="1" applyAlignment="1">
      <alignment horizontal="left" vertical="top"/>
    </xf>
    <xf numFmtId="0" fontId="3" fillId="7" borderId="19" xfId="0" applyFont="1" applyFill="1" applyBorder="1" applyAlignment="1">
      <alignment horizontal="left" vertical="top"/>
    </xf>
    <xf numFmtId="0" fontId="3" fillId="0" borderId="0" xfId="0" applyFont="1" applyAlignment="1">
      <alignment horizontal="left" vertical="top"/>
    </xf>
    <xf numFmtId="166" fontId="23" fillId="0" borderId="0" xfId="0" applyNumberFormat="1" applyFont="1"/>
    <xf numFmtId="164" fontId="17" fillId="2" borderId="7" xfId="0" applyNumberFormat="1" applyFont="1" applyFill="1" applyBorder="1" applyAlignment="1">
      <alignment horizontal="right" vertical="top"/>
    </xf>
    <xf numFmtId="0" fontId="25" fillId="2" borderId="1" xfId="0" applyFont="1" applyFill="1" applyBorder="1"/>
    <xf numFmtId="0" fontId="25" fillId="2" borderId="2" xfId="0" applyFont="1" applyFill="1" applyBorder="1"/>
    <xf numFmtId="0" fontId="25" fillId="2" borderId="3" xfId="0" applyFont="1" applyFill="1" applyBorder="1"/>
    <xf numFmtId="17" fontId="25" fillId="2" borderId="4" xfId="0" applyNumberFormat="1" applyFont="1" applyFill="1" applyBorder="1" applyAlignment="1">
      <alignment horizontal="center"/>
    </xf>
    <xf numFmtId="0" fontId="25" fillId="2" borderId="20" xfId="0" applyFont="1" applyFill="1" applyBorder="1" applyAlignment="1">
      <alignment horizontal="center" vertical="top"/>
    </xf>
    <xf numFmtId="0" fontId="25" fillId="2" borderId="21" xfId="0" applyFont="1" applyFill="1" applyBorder="1" applyAlignment="1">
      <alignment horizontal="center" vertical="top"/>
    </xf>
    <xf numFmtId="0" fontId="25" fillId="2" borderId="22" xfId="0" applyFont="1" applyFill="1" applyBorder="1"/>
    <xf numFmtId="0" fontId="25" fillId="2" borderId="5" xfId="0" applyFont="1" applyFill="1" applyBorder="1"/>
    <xf numFmtId="0" fontId="25" fillId="2" borderId="7" xfId="0" applyFont="1" applyFill="1" applyBorder="1" applyAlignment="1">
      <alignment horizontal="left" vertical="top"/>
    </xf>
    <xf numFmtId="0" fontId="18" fillId="2" borderId="5" xfId="0" applyFont="1" applyFill="1" applyBorder="1"/>
    <xf numFmtId="0" fontId="18" fillId="2" borderId="7" xfId="0" applyFont="1" applyFill="1" applyBorder="1" applyAlignment="1">
      <alignment horizontal="left" vertical="top"/>
    </xf>
    <xf numFmtId="49" fontId="27" fillId="0" borderId="0" xfId="0" applyNumberFormat="1" applyFont="1"/>
    <xf numFmtId="49" fontId="27" fillId="0" borderId="23" xfId="0" applyNumberFormat="1" applyFont="1" applyBorder="1"/>
    <xf numFmtId="0" fontId="27" fillId="0" borderId="5" xfId="0" applyFont="1" applyBorder="1" applyAlignment="1">
      <alignment horizontal="left" vertical="top"/>
    </xf>
    <xf numFmtId="164" fontId="27" fillId="0" borderId="7" xfId="0" applyNumberFormat="1" applyFont="1" applyBorder="1" applyAlignment="1">
      <alignment horizontal="right" vertical="top"/>
    </xf>
    <xf numFmtId="0" fontId="23" fillId="0" borderId="0" xfId="0" applyFont="1"/>
    <xf numFmtId="0" fontId="27" fillId="0" borderId="23" xfId="0" applyFont="1" applyBorder="1" applyAlignment="1">
      <alignment horizontal="left" vertical="top"/>
    </xf>
    <xf numFmtId="0" fontId="25" fillId="8" borderId="5" xfId="0" applyFont="1" applyFill="1" applyBorder="1" applyAlignment="1">
      <alignment horizontal="left" vertical="top"/>
    </xf>
    <xf numFmtId="164" fontId="28" fillId="8" borderId="7" xfId="0" applyNumberFormat="1" applyFont="1" applyFill="1" applyBorder="1" applyAlignment="1">
      <alignment horizontal="right" vertical="top"/>
    </xf>
    <xf numFmtId="164" fontId="25" fillId="8" borderId="7" xfId="0" applyNumberFormat="1" applyFont="1" applyFill="1" applyBorder="1" applyAlignment="1">
      <alignment horizontal="right" vertical="top"/>
    </xf>
    <xf numFmtId="0" fontId="29" fillId="0" borderId="0" xfId="0" applyFont="1"/>
    <xf numFmtId="0" fontId="18" fillId="2" borderId="5" xfId="0" applyFont="1" applyFill="1" applyBorder="1" applyAlignment="1">
      <alignment horizontal="left" vertical="top"/>
    </xf>
    <xf numFmtId="164" fontId="18" fillId="2" borderId="7" xfId="0" applyNumberFormat="1" applyFont="1" applyFill="1" applyBorder="1" applyAlignment="1">
      <alignment horizontal="right" vertical="top"/>
    </xf>
    <xf numFmtId="0" fontId="31" fillId="0" borderId="1" xfId="0" applyFont="1" applyBorder="1"/>
    <xf numFmtId="0" fontId="27" fillId="0" borderId="0" xfId="0" applyFont="1" applyAlignment="1">
      <alignment horizontal="left" vertical="top"/>
    </xf>
    <xf numFmtId="0" fontId="28" fillId="2" borderId="5" xfId="0" applyFont="1" applyFill="1" applyBorder="1" applyAlignment="1">
      <alignment horizontal="left" vertical="top"/>
    </xf>
    <xf numFmtId="164" fontId="28" fillId="2" borderId="7" xfId="0" applyNumberFormat="1" applyFont="1" applyFill="1" applyBorder="1" applyAlignment="1">
      <alignment horizontal="right" vertical="top"/>
    </xf>
    <xf numFmtId="49" fontId="27" fillId="0" borderId="24" xfId="0" applyNumberFormat="1" applyFont="1" applyBorder="1"/>
    <xf numFmtId="17" fontId="16" fillId="2" borderId="4" xfId="0" applyNumberFormat="1" applyFont="1" applyFill="1" applyBorder="1" applyAlignment="1">
      <alignment horizontal="center"/>
    </xf>
    <xf numFmtId="0" fontId="16" fillId="2" borderId="6" xfId="0" applyFont="1" applyFill="1" applyBorder="1"/>
    <xf numFmtId="0" fontId="16" fillId="2" borderId="5" xfId="0" applyFont="1" applyFill="1" applyBorder="1"/>
    <xf numFmtId="0" fontId="16" fillId="2" borderId="7" xfId="0" applyFont="1" applyFill="1" applyBorder="1" applyAlignment="1">
      <alignment horizontal="left" vertical="top"/>
    </xf>
    <xf numFmtId="49" fontId="3" fillId="0" borderId="24" xfId="0" applyNumberFormat="1" applyFont="1" applyBorder="1"/>
    <xf numFmtId="0" fontId="3" fillId="0" borderId="23" xfId="0" applyFont="1" applyBorder="1" applyAlignment="1">
      <alignment horizontal="left" vertical="top"/>
    </xf>
    <xf numFmtId="49" fontId="3" fillId="0" borderId="23" xfId="0" applyNumberFormat="1" applyFont="1" applyBorder="1"/>
    <xf numFmtId="0" fontId="6" fillId="2" borderId="19" xfId="0" applyFont="1" applyFill="1" applyBorder="1" applyAlignment="1">
      <alignment horizontal="left" vertical="top"/>
    </xf>
    <xf numFmtId="49" fontId="1" fillId="0" borderId="24" xfId="0" applyNumberFormat="1" applyFont="1" applyBorder="1"/>
    <xf numFmtId="4" fontId="3" fillId="5" borderId="14" xfId="0" applyNumberFormat="1" applyFont="1" applyFill="1" applyBorder="1" applyAlignment="1">
      <alignment horizontal="right" vertical="top"/>
    </xf>
    <xf numFmtId="4" fontId="3" fillId="5" borderId="25" xfId="0" applyNumberFormat="1" applyFont="1" applyFill="1" applyBorder="1" applyAlignment="1">
      <alignment horizontal="right" vertical="top"/>
    </xf>
    <xf numFmtId="4" fontId="3" fillId="5" borderId="26" xfId="0" applyNumberFormat="1" applyFont="1" applyFill="1" applyBorder="1" applyAlignment="1">
      <alignment horizontal="right" vertical="top"/>
    </xf>
    <xf numFmtId="4" fontId="3" fillId="5" borderId="27" xfId="0" applyNumberFormat="1" applyFont="1" applyFill="1" applyBorder="1" applyAlignment="1">
      <alignment horizontal="right" vertical="top"/>
    </xf>
    <xf numFmtId="0" fontId="5" fillId="2" borderId="28" xfId="0" applyFont="1" applyFill="1" applyBorder="1" applyAlignment="1">
      <alignment horizontal="left" vertical="top"/>
    </xf>
    <xf numFmtId="4" fontId="32" fillId="5" borderId="14" xfId="0" applyNumberFormat="1" applyFont="1" applyFill="1" applyBorder="1" applyAlignment="1">
      <alignment horizontal="right" vertical="top"/>
    </xf>
    <xf numFmtId="4" fontId="32" fillId="5" borderId="25" xfId="0" applyNumberFormat="1" applyFont="1" applyFill="1" applyBorder="1" applyAlignment="1">
      <alignment horizontal="right" vertical="top"/>
    </xf>
    <xf numFmtId="4" fontId="32" fillId="5" borderId="26" xfId="0" applyNumberFormat="1" applyFont="1" applyFill="1" applyBorder="1" applyAlignment="1">
      <alignment horizontal="right" vertical="top"/>
    </xf>
    <xf numFmtId="4" fontId="32" fillId="5" borderId="27" xfId="0" applyNumberFormat="1" applyFont="1" applyFill="1" applyBorder="1" applyAlignment="1">
      <alignment horizontal="right" vertical="top"/>
    </xf>
    <xf numFmtId="2" fontId="1" fillId="0" borderId="0" xfId="0" applyNumberFormat="1" applyFont="1"/>
    <xf numFmtId="2" fontId="3" fillId="0" borderId="0" xfId="0" applyNumberFormat="1" applyFont="1"/>
    <xf numFmtId="2" fontId="3" fillId="0" borderId="0" xfId="0" applyNumberFormat="1" applyFont="1" applyAlignment="1">
      <alignment horizontal="right" vertical="top"/>
    </xf>
    <xf numFmtId="49" fontId="4" fillId="0" borderId="0" xfId="0" applyNumberFormat="1" applyFont="1"/>
    <xf numFmtId="49" fontId="2" fillId="0" borderId="0" xfId="0" applyNumberFormat="1" applyFont="1"/>
    <xf numFmtId="0" fontId="5" fillId="2" borderId="13" xfId="0" applyFont="1" applyFill="1" applyBorder="1"/>
    <xf numFmtId="0" fontId="6" fillId="2" borderId="13" xfId="0" applyFont="1" applyFill="1" applyBorder="1"/>
    <xf numFmtId="0" fontId="3" fillId="3" borderId="13" xfId="0" applyFont="1" applyFill="1" applyBorder="1"/>
    <xf numFmtId="0" fontId="7" fillId="2" borderId="13" xfId="0" applyFont="1" applyFill="1" applyBorder="1"/>
    <xf numFmtId="0" fontId="2" fillId="2" borderId="13" xfId="0" applyFont="1" applyFill="1" applyBorder="1"/>
    <xf numFmtId="0" fontId="4" fillId="2" borderId="13" xfId="0" applyFont="1" applyFill="1" applyBorder="1"/>
    <xf numFmtId="0" fontId="8" fillId="2" borderId="13" xfId="0" applyFont="1" applyFill="1" applyBorder="1"/>
    <xf numFmtId="0" fontId="0" fillId="2" borderId="13" xfId="0" applyFont="1" applyFill="1" applyBorder="1"/>
    <xf numFmtId="0" fontId="5" fillId="2" borderId="18" xfId="0" applyFont="1" applyFill="1" applyBorder="1" applyAlignment="1">
      <alignment horizontal="center" vertical="top" wrapText="1"/>
    </xf>
    <xf numFmtId="0" fontId="3" fillId="0" borderId="18" xfId="0" applyFont="1" applyBorder="1" applyAlignment="1">
      <alignment horizontal="left" vertical="top"/>
    </xf>
    <xf numFmtId="2" fontId="3" fillId="0" borderId="18" xfId="0" applyNumberFormat="1" applyFont="1" applyBorder="1"/>
    <xf numFmtId="0" fontId="1" fillId="0" borderId="28" xfId="0" applyFont="1" applyBorder="1" applyAlignment="1">
      <alignment horizontal="left" vertical="top"/>
    </xf>
    <xf numFmtId="49" fontId="3" fillId="0" borderId="28" xfId="0" applyNumberFormat="1" applyFont="1" applyBorder="1"/>
    <xf numFmtId="164" fontId="1" fillId="0" borderId="28" xfId="0" applyNumberFormat="1" applyFont="1" applyBorder="1" applyAlignment="1">
      <alignment horizontal="right" vertical="top"/>
    </xf>
    <xf numFmtId="0" fontId="4" fillId="0" borderId="28" xfId="0" applyFont="1" applyBorder="1"/>
    <xf numFmtId="0" fontId="0" fillId="0" borderId="28" xfId="0" applyFont="1" applyBorder="1"/>
    <xf numFmtId="164" fontId="5" fillId="2" borderId="17" xfId="0" applyNumberFormat="1" applyFont="1" applyFill="1" applyBorder="1" applyAlignment="1">
      <alignment horizontal="right" vertical="top"/>
    </xf>
    <xf numFmtId="0" fontId="5" fillId="2" borderId="18" xfId="0" applyFont="1" applyFill="1" applyBorder="1" applyAlignment="1">
      <alignment horizontal="left" vertical="top"/>
    </xf>
    <xf numFmtId="0" fontId="13" fillId="2" borderId="13" xfId="0" applyFont="1" applyFill="1" applyBorder="1"/>
    <xf numFmtId="0" fontId="14" fillId="2" borderId="13" xfId="0" applyFont="1" applyFill="1" applyBorder="1"/>
    <xf numFmtId="0" fontId="15" fillId="2" borderId="13" xfId="0" applyFont="1" applyFill="1" applyBorder="1"/>
    <xf numFmtId="17" fontId="14" fillId="2" borderId="13" xfId="0" applyNumberFormat="1" applyFont="1" applyFill="1" applyBorder="1" applyAlignment="1">
      <alignment horizontal="center"/>
    </xf>
    <xf numFmtId="17" fontId="6" fillId="2" borderId="13" xfId="0" applyNumberFormat="1" applyFont="1" applyFill="1" applyBorder="1" applyAlignment="1">
      <alignment horizontal="center"/>
    </xf>
    <xf numFmtId="17" fontId="6" fillId="2" borderId="13" xfId="0" applyNumberFormat="1" applyFont="1" applyFill="1" applyBorder="1" applyAlignment="1">
      <alignment horizontal="center" wrapText="1"/>
    </xf>
    <xf numFmtId="0" fontId="4" fillId="4" borderId="13" xfId="0" applyFont="1" applyFill="1" applyBorder="1"/>
    <xf numFmtId="164" fontId="15" fillId="2" borderId="13" xfId="0" applyNumberFormat="1" applyFont="1" applyFill="1" applyBorder="1"/>
    <xf numFmtId="0" fontId="2" fillId="4" borderId="13" xfId="0" applyFont="1" applyFill="1" applyBorder="1"/>
    <xf numFmtId="0" fontId="16" fillId="2" borderId="13" xfId="0" applyFont="1" applyFill="1" applyBorder="1" applyAlignment="1">
      <alignment wrapText="1"/>
    </xf>
    <xf numFmtId="0" fontId="17" fillId="2" borderId="13" xfId="0" applyFont="1" applyFill="1" applyBorder="1"/>
    <xf numFmtId="49" fontId="5" fillId="2" borderId="18" xfId="0" applyNumberFormat="1" applyFont="1" applyFill="1" applyBorder="1"/>
    <xf numFmtId="49" fontId="1" fillId="0" borderId="20" xfId="0" applyNumberFormat="1" applyFont="1" applyBorder="1"/>
    <xf numFmtId="49" fontId="3" fillId="0" borderId="22" xfId="0" applyNumberFormat="1" applyFont="1" applyBorder="1"/>
    <xf numFmtId="0" fontId="3" fillId="2" borderId="13" xfId="0" applyFont="1" applyFill="1" applyBorder="1"/>
    <xf numFmtId="0" fontId="20" fillId="2" borderId="13" xfId="0" applyFont="1" applyFill="1" applyBorder="1"/>
    <xf numFmtId="49" fontId="3" fillId="0" borderId="18" xfId="0" applyNumberFormat="1" applyFont="1" applyBorder="1"/>
    <xf numFmtId="0" fontId="3" fillId="7" borderId="13" xfId="0" applyFont="1" applyFill="1" applyBorder="1" applyAlignment="1">
      <alignment horizontal="left" vertical="top"/>
    </xf>
    <xf numFmtId="0" fontId="1" fillId="0" borderId="28" xfId="0" applyFont="1" applyBorder="1"/>
    <xf numFmtId="166" fontId="3" fillId="0" borderId="28" xfId="0" applyNumberFormat="1" applyFont="1" applyBorder="1"/>
    <xf numFmtId="166" fontId="6" fillId="2" borderId="13" xfId="0" applyNumberFormat="1" applyFont="1" applyFill="1" applyBorder="1"/>
    <xf numFmtId="0" fontId="3" fillId="0" borderId="19" xfId="0" applyFont="1" applyBorder="1" applyAlignment="1">
      <alignment horizontal="left" vertical="top"/>
    </xf>
    <xf numFmtId="166" fontId="14" fillId="2" borderId="13" xfId="0" applyNumberFormat="1" applyFont="1" applyFill="1" applyBorder="1"/>
    <xf numFmtId="0" fontId="21" fillId="2" borderId="13" xfId="0" applyFont="1" applyFill="1" applyBorder="1"/>
    <xf numFmtId="0" fontId="18" fillId="2" borderId="13" xfId="0" applyFont="1" applyFill="1" applyBorder="1"/>
    <xf numFmtId="166" fontId="18" fillId="2" borderId="13" xfId="0" applyNumberFormat="1" applyFont="1" applyFill="1" applyBorder="1"/>
    <xf numFmtId="0" fontId="22" fillId="2" borderId="13" xfId="0" applyFont="1" applyFill="1" applyBorder="1"/>
    <xf numFmtId="0" fontId="15" fillId="2" borderId="13" xfId="0" applyFont="1" applyFill="1" applyBorder="1" applyAlignment="1">
      <alignment horizontal="left" vertical="top"/>
    </xf>
    <xf numFmtId="0" fontId="3" fillId="2" borderId="13" xfId="0" applyFont="1" applyFill="1" applyBorder="1" applyAlignment="1">
      <alignment horizontal="left" vertical="top"/>
    </xf>
    <xf numFmtId="166" fontId="3" fillId="2" borderId="13" xfId="0" applyNumberFormat="1" applyFont="1" applyFill="1" applyBorder="1" applyAlignment="1">
      <alignment horizontal="right" vertical="top"/>
    </xf>
    <xf numFmtId="0" fontId="24" fillId="2" borderId="13" xfId="0" applyFont="1" applyFill="1" applyBorder="1"/>
    <xf numFmtId="0" fontId="26" fillId="2" borderId="13" xfId="0" applyFont="1" applyFill="1" applyBorder="1"/>
    <xf numFmtId="0" fontId="16" fillId="2" borderId="13" xfId="0" applyFont="1" applyFill="1" applyBorder="1" applyAlignment="1">
      <alignment horizontal="center" vertical="top"/>
    </xf>
    <xf numFmtId="0" fontId="18" fillId="2" borderId="13" xfId="0" applyFont="1" applyFill="1" applyBorder="1" applyAlignment="1">
      <alignment horizontal="center" vertical="top"/>
    </xf>
    <xf numFmtId="0" fontId="18" fillId="2" borderId="23" xfId="0" applyFont="1" applyFill="1" applyBorder="1"/>
    <xf numFmtId="49" fontId="25" fillId="8" borderId="13" xfId="0" applyNumberFormat="1" applyFont="1" applyFill="1" applyBorder="1"/>
    <xf numFmtId="0" fontId="25" fillId="8" borderId="23" xfId="0" applyFont="1" applyFill="1" applyBorder="1" applyAlignment="1">
      <alignment horizontal="left" vertical="top"/>
    </xf>
    <xf numFmtId="0" fontId="23" fillId="8" borderId="13" xfId="0" applyFont="1" applyFill="1" applyBorder="1"/>
    <xf numFmtId="0" fontId="0" fillId="8" borderId="13" xfId="0" applyFont="1" applyFill="1" applyBorder="1"/>
    <xf numFmtId="0" fontId="29" fillId="9" borderId="13" xfId="0" applyFont="1" applyFill="1" applyBorder="1"/>
    <xf numFmtId="49" fontId="16" fillId="2" borderId="13" xfId="0" applyNumberFormat="1" applyFont="1" applyFill="1" applyBorder="1"/>
    <xf numFmtId="49" fontId="5" fillId="2" borderId="13" xfId="0" applyNumberFormat="1" applyFont="1" applyFill="1" applyBorder="1"/>
    <xf numFmtId="49" fontId="5" fillId="2" borderId="23" xfId="0" applyNumberFormat="1" applyFont="1" applyFill="1" applyBorder="1"/>
    <xf numFmtId="0" fontId="30" fillId="2" borderId="13" xfId="0" applyFont="1" applyFill="1" applyBorder="1"/>
    <xf numFmtId="0" fontId="26" fillId="8" borderId="13" xfId="0" applyFont="1" applyFill="1" applyBorder="1"/>
    <xf numFmtId="0" fontId="13" fillId="8" borderId="13" xfId="0" applyFont="1" applyFill="1" applyBorder="1"/>
    <xf numFmtId="49" fontId="18" fillId="2" borderId="13" xfId="0" applyNumberFormat="1" applyFont="1" applyFill="1" applyBorder="1"/>
    <xf numFmtId="0" fontId="18" fillId="2" borderId="23" xfId="0" applyFont="1" applyFill="1" applyBorder="1" applyAlignment="1">
      <alignment horizontal="left" vertical="top"/>
    </xf>
    <xf numFmtId="0" fontId="16" fillId="2" borderId="13" xfId="0" applyFont="1" applyFill="1" applyBorder="1"/>
    <xf numFmtId="49" fontId="17" fillId="2" borderId="13" xfId="0" applyNumberFormat="1" applyFont="1" applyFill="1" applyBorder="1"/>
    <xf numFmtId="49" fontId="28" fillId="2" borderId="13" xfId="0" applyNumberFormat="1" applyFont="1" applyFill="1" applyBorder="1"/>
    <xf numFmtId="0" fontId="28" fillId="2" borderId="13" xfId="0" applyFont="1" applyFill="1" applyBorder="1" applyAlignment="1">
      <alignment horizontal="left" vertical="top"/>
    </xf>
    <xf numFmtId="164" fontId="18" fillId="2" borderId="13" xfId="0" applyNumberFormat="1" applyFont="1" applyFill="1" applyBorder="1"/>
    <xf numFmtId="0" fontId="18" fillId="2" borderId="13" xfId="0" applyFont="1" applyFill="1" applyBorder="1" applyAlignment="1">
      <alignment horizontal="left" vertical="top"/>
    </xf>
    <xf numFmtId="167" fontId="11" fillId="0" borderId="28" xfId="0" applyNumberFormat="1" applyFont="1" applyBorder="1"/>
    <xf numFmtId="0" fontId="6" fillId="2" borderId="13" xfId="0" applyFont="1" applyFill="1" applyBorder="1" applyAlignment="1">
      <alignment horizontal="left" vertical="top"/>
    </xf>
    <xf numFmtId="167" fontId="33" fillId="0" borderId="28" xfId="0" applyNumberFormat="1" applyFont="1" applyBorder="1"/>
    <xf numFmtId="0" fontId="41" fillId="0" borderId="6" xfId="0" applyFont="1" applyBorder="1" applyAlignment="1">
      <alignment horizontal="left" vertical="top"/>
    </xf>
    <xf numFmtId="165" fontId="3" fillId="0" borderId="18" xfId="0" applyNumberFormat="1" applyFont="1" applyBorder="1"/>
    <xf numFmtId="0" fontId="41" fillId="0" borderId="5" xfId="0" applyFont="1" applyBorder="1" applyAlignment="1">
      <alignment horizontal="left" vertical="top"/>
    </xf>
    <xf numFmtId="165" fontId="3" fillId="0" borderId="6" xfId="0" applyNumberFormat="1" applyFont="1" applyBorder="1" applyAlignment="1">
      <alignment horizontal="left"/>
    </xf>
    <xf numFmtId="168" fontId="3" fillId="0" borderId="6" xfId="0" applyNumberFormat="1" applyFont="1" applyBorder="1" applyAlignment="1">
      <alignment horizontal="left" vertical="top"/>
    </xf>
    <xf numFmtId="168" fontId="3" fillId="0" borderId="6" xfId="0" applyNumberFormat="1" applyFont="1" applyBorder="1" applyAlignment="1">
      <alignment horizontal="left"/>
    </xf>
    <xf numFmtId="0" fontId="3" fillId="10" borderId="5" xfId="0" applyFont="1" applyFill="1" applyBorder="1" applyAlignment="1">
      <alignment horizontal="left" vertical="top"/>
    </xf>
    <xf numFmtId="0" fontId="3" fillId="10" borderId="18" xfId="0" applyFont="1" applyFill="1" applyBorder="1" applyAlignment="1">
      <alignment horizontal="left" vertical="top"/>
    </xf>
    <xf numFmtId="0" fontId="3" fillId="10" borderId="6" xfId="0" applyFont="1" applyFill="1" applyBorder="1" applyAlignment="1">
      <alignment horizontal="left" vertical="top"/>
    </xf>
    <xf numFmtId="0" fontId="1" fillId="10" borderId="5" xfId="0" applyFont="1" applyFill="1" applyBorder="1" applyAlignment="1">
      <alignment horizontal="left" vertical="top"/>
    </xf>
    <xf numFmtId="164" fontId="1" fillId="10" borderId="7" xfId="0" applyNumberFormat="1" applyFont="1" applyFill="1" applyBorder="1" applyAlignment="1">
      <alignment horizontal="right" vertical="top"/>
    </xf>
    <xf numFmtId="0" fontId="41" fillId="10" borderId="6" xfId="0" applyFont="1" applyFill="1" applyBorder="1" applyAlignment="1">
      <alignment horizontal="left" vertical="top"/>
    </xf>
    <xf numFmtId="164" fontId="38" fillId="10" borderId="7" xfId="0" applyNumberFormat="1" applyFont="1" applyFill="1" applyBorder="1" applyAlignment="1">
      <alignment horizontal="right" vertical="top"/>
    </xf>
    <xf numFmtId="2" fontId="3" fillId="10" borderId="18" xfId="0" applyNumberFormat="1" applyFont="1" applyFill="1" applyBorder="1"/>
    <xf numFmtId="164" fontId="1" fillId="10" borderId="0" xfId="0" applyNumberFormat="1" applyFont="1" applyFill="1" applyAlignment="1">
      <alignment horizontal="right" vertical="top"/>
    </xf>
    <xf numFmtId="14" fontId="5" fillId="2" borderId="7" xfId="0" applyNumberFormat="1" applyFont="1" applyFill="1" applyBorder="1" applyAlignment="1">
      <alignment horizontal="left" vertical="top"/>
    </xf>
    <xf numFmtId="0" fontId="11" fillId="0" borderId="0" xfId="0" applyFont="1" applyAlignment="1"/>
    <xf numFmtId="0" fontId="2" fillId="0" borderId="0" xfId="0" applyFont="1" applyAlignment="1"/>
    <xf numFmtId="0" fontId="3" fillId="11" borderId="5" xfId="0" applyFont="1" applyFill="1" applyBorder="1" applyAlignment="1">
      <alignment horizontal="left" vertical="top"/>
    </xf>
    <xf numFmtId="0" fontId="1" fillId="11" borderId="5" xfId="0" applyFont="1" applyFill="1" applyBorder="1" applyAlignment="1">
      <alignment horizontal="left" vertical="top"/>
    </xf>
    <xf numFmtId="0" fontId="42" fillId="0" borderId="0" xfId="0" applyFont="1" applyAlignment="1"/>
    <xf numFmtId="165" fontId="1" fillId="12" borderId="5" xfId="0" applyNumberFormat="1" applyFont="1" applyFill="1" applyBorder="1"/>
    <xf numFmtId="165" fontId="3" fillId="12" borderId="6" xfId="0" applyNumberFormat="1" applyFont="1" applyFill="1" applyBorder="1"/>
    <xf numFmtId="165" fontId="3" fillId="12" borderId="5" xfId="0" applyNumberFormat="1" applyFont="1" applyFill="1" applyBorder="1" applyAlignment="1">
      <alignment horizontal="left" vertical="top"/>
    </xf>
    <xf numFmtId="165" fontId="1" fillId="12" borderId="5" xfId="0" applyNumberFormat="1" applyFont="1" applyFill="1" applyBorder="1" applyAlignment="1">
      <alignment horizontal="left" vertical="top"/>
    </xf>
    <xf numFmtId="165" fontId="4" fillId="12" borderId="6" xfId="0" applyNumberFormat="1" applyFont="1" applyFill="1" applyBorder="1"/>
    <xf numFmtId="165" fontId="4" fillId="12" borderId="5" xfId="0" applyNumberFormat="1" applyFont="1" applyFill="1" applyBorder="1" applyAlignment="1">
      <alignment horizontal="left"/>
    </xf>
    <xf numFmtId="165" fontId="4" fillId="0" borderId="1" xfId="0" applyNumberFormat="1" applyFont="1" applyBorder="1" applyAlignment="1">
      <alignment horizontal="left"/>
    </xf>
    <xf numFmtId="49" fontId="1" fillId="12" borderId="20" xfId="0" applyNumberFormat="1" applyFont="1" applyFill="1" applyBorder="1"/>
    <xf numFmtId="49" fontId="3" fillId="12" borderId="22" xfId="0" applyNumberFormat="1" applyFont="1" applyFill="1" applyBorder="1"/>
    <xf numFmtId="165" fontId="3" fillId="12" borderId="6" xfId="0" applyNumberFormat="1" applyFont="1" applyFill="1" applyBorder="1" applyAlignment="1">
      <alignment horizontal="left" vertical="top"/>
    </xf>
    <xf numFmtId="0" fontId="3" fillId="12" borderId="6" xfId="0" applyFont="1" applyFill="1" applyBorder="1" applyAlignment="1">
      <alignment horizontal="left" vertical="top"/>
    </xf>
    <xf numFmtId="165" fontId="2" fillId="5" borderId="1" xfId="0" applyNumberFormat="1" applyFont="1" applyFill="1" applyBorder="1" applyAlignment="1">
      <alignment horizontal="left" vertical="top"/>
    </xf>
    <xf numFmtId="165" fontId="3" fillId="0" borderId="0" xfId="0" applyNumberFormat="1" applyFont="1" applyAlignment="1">
      <alignment horizontal="left"/>
    </xf>
    <xf numFmtId="166" fontId="3" fillId="0" borderId="14" xfId="0" applyNumberFormat="1" applyFont="1" applyBorder="1" applyAlignment="1">
      <alignment horizontal="left" vertical="top"/>
    </xf>
    <xf numFmtId="4" fontId="3" fillId="0" borderId="14" xfId="0" applyNumberFormat="1" applyFont="1" applyBorder="1" applyAlignment="1">
      <alignment horizontal="left" vertical="top"/>
    </xf>
    <xf numFmtId="8" fontId="3" fillId="0" borderId="16" xfId="0" applyNumberFormat="1" applyFont="1" applyBorder="1" applyAlignment="1">
      <alignment horizontal="left"/>
    </xf>
    <xf numFmtId="166" fontId="3" fillId="0" borderId="16" xfId="0" applyNumberFormat="1" applyFont="1" applyBorder="1" applyAlignment="1">
      <alignment horizontal="left"/>
    </xf>
    <xf numFmtId="8" fontId="3" fillId="0" borderId="0" xfId="0" applyNumberFormat="1" applyFont="1"/>
    <xf numFmtId="0" fontId="3" fillId="0" borderId="13" xfId="0" applyFont="1" applyBorder="1" applyAlignment="1">
      <alignment horizontal="left" vertical="top"/>
    </xf>
    <xf numFmtId="166" fontId="3" fillId="0" borderId="26" xfId="0" applyNumberFormat="1" applyFont="1" applyBorder="1" applyAlignment="1">
      <alignment horizontal="right" vertical="top"/>
    </xf>
    <xf numFmtId="0" fontId="3" fillId="0" borderId="29" xfId="0" applyFont="1" applyBorder="1" applyAlignment="1">
      <alignment horizontal="left" vertical="top"/>
    </xf>
    <xf numFmtId="166" fontId="3" fillId="0" borderId="29" xfId="0" applyNumberFormat="1" applyFont="1" applyBorder="1" applyAlignment="1">
      <alignment horizontal="right" vertical="top"/>
    </xf>
    <xf numFmtId="0" fontId="5" fillId="2" borderId="31" xfId="0" applyFont="1" applyFill="1" applyBorder="1" applyAlignment="1">
      <alignment horizontal="left" vertical="top"/>
    </xf>
    <xf numFmtId="166" fontId="23" fillId="0" borderId="32" xfId="0" applyNumberFormat="1" applyFont="1" applyBorder="1"/>
    <xf numFmtId="165" fontId="3" fillId="0" borderId="30" xfId="0" applyNumberFormat="1" applyFont="1" applyBorder="1" applyAlignment="1">
      <alignment horizontal="right" vertical="top"/>
    </xf>
    <xf numFmtId="4" fontId="3" fillId="0" borderId="7" xfId="0" applyNumberFormat="1" applyFont="1" applyBorder="1" applyAlignment="1">
      <alignment horizontal="right" vertical="top"/>
    </xf>
    <xf numFmtId="164" fontId="1" fillId="11" borderId="5" xfId="0" applyNumberFormat="1" applyFont="1" applyFill="1" applyBorder="1" applyAlignment="1">
      <alignment horizontal="right" vertical="top"/>
    </xf>
    <xf numFmtId="165" fontId="3" fillId="5" borderId="34" xfId="0" applyNumberFormat="1" applyFont="1" applyFill="1" applyBorder="1"/>
    <xf numFmtId="165" fontId="3" fillId="5" borderId="35" xfId="0" applyNumberFormat="1" applyFont="1" applyFill="1" applyBorder="1"/>
    <xf numFmtId="165" fontId="3" fillId="5" borderId="34" xfId="0" applyNumberFormat="1" applyFont="1" applyFill="1" applyBorder="1" applyAlignment="1">
      <alignment horizontal="left" vertical="top"/>
    </xf>
    <xf numFmtId="165" fontId="3" fillId="5" borderId="33" xfId="0" applyNumberFormat="1" applyFont="1" applyFill="1" applyBorder="1"/>
    <xf numFmtId="165" fontId="1" fillId="5" borderId="36" xfId="0" applyNumberFormat="1" applyFont="1" applyFill="1" applyBorder="1" applyAlignment="1">
      <alignment horizontal="left" vertical="top"/>
    </xf>
    <xf numFmtId="165" fontId="1" fillId="5" borderId="33" xfId="0" applyNumberFormat="1" applyFont="1" applyFill="1" applyBorder="1" applyAlignment="1">
      <alignment horizontal="left" vertical="top"/>
    </xf>
    <xf numFmtId="165" fontId="3" fillId="12" borderId="6" xfId="0" quotePrefix="1" applyNumberFormat="1" applyFont="1" applyFill="1" applyBorder="1" applyAlignment="1">
      <alignment horizontal="left" vertical="top"/>
    </xf>
    <xf numFmtId="165" fontId="3" fillId="13" borderId="6" xfId="0" applyNumberFormat="1" applyFont="1" applyFill="1" applyBorder="1" applyAlignment="1">
      <alignment horizontal="left" vertical="top"/>
    </xf>
    <xf numFmtId="165" fontId="3" fillId="13" borderId="6" xfId="0" quotePrefix="1" applyNumberFormat="1" applyFont="1" applyFill="1" applyBorder="1" applyAlignment="1">
      <alignment horizontal="left" vertical="top"/>
    </xf>
    <xf numFmtId="165" fontId="3" fillId="0" borderId="35" xfId="0" applyNumberFormat="1" applyFont="1" applyBorder="1" applyAlignment="1">
      <alignment horizontal="left" vertical="top"/>
    </xf>
    <xf numFmtId="165" fontId="3" fillId="0" borderId="30" xfId="0" applyNumberFormat="1" applyFont="1" applyBorder="1" applyAlignment="1">
      <alignment horizontal="left"/>
    </xf>
    <xf numFmtId="0" fontId="4" fillId="0" borderId="0" xfId="0" applyNumberFormat="1" applyFont="1"/>
    <xf numFmtId="8" fontId="0" fillId="0" borderId="0" xfId="0" applyNumberFormat="1" applyFont="1" applyAlignment="1"/>
    <xf numFmtId="8" fontId="4" fillId="0" borderId="0" xfId="0" applyNumberFormat="1" applyFont="1"/>
    <xf numFmtId="165" fontId="0" fillId="0" borderId="0" xfId="0" applyNumberFormat="1" applyFont="1" applyAlignment="1"/>
    <xf numFmtId="0" fontId="43" fillId="0" borderId="0" xfId="0" applyFont="1" applyAlignment="1"/>
    <xf numFmtId="0" fontId="44" fillId="0" borderId="0" xfId="0" applyFont="1" applyAlignment="1"/>
    <xf numFmtId="0" fontId="3" fillId="3" borderId="13" xfId="0" applyFont="1" applyFill="1" applyBorder="1" applyAlignment="1">
      <alignment wrapText="1"/>
    </xf>
    <xf numFmtId="0" fontId="9" fillId="0" borderId="13" xfId="0" applyFont="1" applyBorder="1" applyAlignment="1"/>
    <xf numFmtId="49" fontId="39" fillId="2" borderId="8" xfId="0" applyNumberFormat="1" applyFont="1" applyFill="1" applyBorder="1" applyAlignment="1">
      <alignment wrapText="1"/>
    </xf>
    <xf numFmtId="0" fontId="9" fillId="0" borderId="8" xfId="0" applyFont="1" applyBorder="1" applyAlignment="1"/>
    <xf numFmtId="0" fontId="16" fillId="2" borderId="9" xfId="0" applyFont="1" applyFill="1" applyBorder="1" applyAlignment="1">
      <alignment wrapText="1"/>
    </xf>
    <xf numFmtId="0" fontId="9" fillId="0" borderId="9" xfId="0" applyFont="1" applyBorder="1" applyAlignment="1"/>
    <xf numFmtId="0" fontId="16" fillId="2" borderId="10" xfId="0" applyFont="1" applyFill="1" applyBorder="1" applyAlignment="1">
      <alignment wrapText="1"/>
    </xf>
    <xf numFmtId="0" fontId="9" fillId="0" borderId="10" xfId="0" applyFont="1" applyBorder="1" applyAlignment="1"/>
    <xf numFmtId="0" fontId="17" fillId="2" borderId="18" xfId="0" applyFont="1" applyFill="1" applyBorder="1" applyAlignment="1">
      <alignment wrapText="1"/>
    </xf>
    <xf numFmtId="0" fontId="9" fillId="0" borderId="18" xfId="0" applyFont="1" applyBorder="1" applyAlignment="1"/>
    <xf numFmtId="0" fontId="17" fillId="2" borderId="13" xfId="0" applyFont="1" applyFill="1" applyBorder="1" applyAlignment="1">
      <alignment wrapText="1"/>
    </xf>
    <xf numFmtId="0" fontId="18" fillId="2" borderId="13" xfId="0" applyFont="1" applyFill="1" applyBorder="1" applyAlignment="1">
      <alignment wrapText="1"/>
    </xf>
    <xf numFmtId="0" fontId="16" fillId="2" borderId="13" xfId="0" applyFont="1" applyFill="1" applyBorder="1" applyAlignment="1">
      <alignment wrapText="1"/>
    </xf>
    <xf numFmtId="0" fontId="17" fillId="2" borderId="17" xfId="0" applyFont="1" applyFill="1" applyBorder="1" applyAlignment="1">
      <alignment wrapText="1"/>
    </xf>
    <xf numFmtId="0" fontId="9" fillId="0" borderId="17" xfId="0" applyFont="1" applyBorder="1" applyAlignment="1"/>
    <xf numFmtId="0" fontId="5" fillId="2" borderId="13" xfId="0" applyFont="1" applyFill="1" applyBorder="1" applyAlignment="1">
      <alignment wrapText="1"/>
    </xf>
    <xf numFmtId="0" fontId="18" fillId="2" borderId="13" xfId="0" applyFont="1" applyFill="1" applyBorder="1" applyAlignment="1"/>
    <xf numFmtId="175" fontId="0" fillId="0" borderId="0" xfId="0" applyNumberFormat="1" applyFont="1" applyAlignment="1"/>
    <xf numFmtId="0" fontId="45" fillId="0" borderId="0" xfId="0" applyFont="1" applyAlignment="1"/>
    <xf numFmtId="0" fontId="45" fillId="0" borderId="0" xfId="0" applyFont="1" applyAlignment="1">
      <alignment horizontal="right"/>
    </xf>
    <xf numFmtId="0" fontId="46" fillId="14" borderId="38" xfId="0" applyFont="1" applyFill="1" applyBorder="1" applyAlignment="1">
      <alignment horizontal="center" vertical="center"/>
    </xf>
    <xf numFmtId="0" fontId="45" fillId="0" borderId="40" xfId="0" applyFont="1" applyBorder="1" applyAlignment="1"/>
    <xf numFmtId="175" fontId="45" fillId="0" borderId="40" xfId="0" applyNumberFormat="1" applyFont="1" applyBorder="1" applyAlignment="1"/>
    <xf numFmtId="0" fontId="46" fillId="14" borderId="13" xfId="0" applyFont="1" applyFill="1" applyBorder="1" applyAlignment="1">
      <alignment horizontal="center" vertical="center"/>
    </xf>
    <xf numFmtId="0" fontId="45" fillId="0" borderId="41" xfId="0" applyFont="1" applyBorder="1" applyAlignment="1"/>
    <xf numFmtId="175" fontId="45" fillId="0" borderId="41" xfId="0" applyNumberFormat="1" applyFont="1" applyBorder="1" applyAlignment="1"/>
    <xf numFmtId="0" fontId="46" fillId="14" borderId="37" xfId="0" applyFont="1" applyFill="1" applyBorder="1" applyAlignment="1">
      <alignment horizontal="center" vertical="center"/>
    </xf>
    <xf numFmtId="0" fontId="45" fillId="0" borderId="37" xfId="0" applyFont="1" applyBorder="1" applyAlignment="1"/>
    <xf numFmtId="175" fontId="45" fillId="0" borderId="39" xfId="0" applyNumberFormat="1" applyFont="1" applyBorder="1" applyAlignment="1"/>
    <xf numFmtId="175" fontId="45" fillId="0" borderId="37" xfId="0" applyNumberFormat="1" applyFont="1" applyBorder="1" applyAlignment="1"/>
    <xf numFmtId="175" fontId="45" fillId="0" borderId="40" xfId="0" applyNumberFormat="1" applyFont="1" applyBorder="1" applyAlignment="1">
      <alignment horizontal="center"/>
    </xf>
    <xf numFmtId="175" fontId="45" fillId="0" borderId="42" xfId="0" applyNumberFormat="1" applyFont="1" applyBorder="1" applyAlignment="1"/>
    <xf numFmtId="0" fontId="46" fillId="14" borderId="38" xfId="0" applyFont="1" applyFill="1" applyBorder="1" applyAlignment="1">
      <alignment vertical="center"/>
    </xf>
    <xf numFmtId="0" fontId="46" fillId="14" borderId="13" xfId="0" applyFont="1" applyFill="1" applyBorder="1" applyAlignment="1">
      <alignment vertical="center"/>
    </xf>
    <xf numFmtId="175" fontId="45" fillId="0" borderId="41" xfId="0" applyNumberFormat="1" applyFont="1" applyBorder="1" applyAlignment="1">
      <alignment horizontal="center"/>
    </xf>
    <xf numFmtId="0" fontId="46" fillId="14" borderId="37" xfId="0" applyFont="1" applyFill="1" applyBorder="1" applyAlignment="1">
      <alignment vertical="center"/>
    </xf>
    <xf numFmtId="175" fontId="45" fillId="0" borderId="37" xfId="0" applyNumberFormat="1" applyFont="1" applyBorder="1" applyAlignment="1">
      <alignment horizontal="center"/>
    </xf>
    <xf numFmtId="0" fontId="45" fillId="0" borderId="13" xfId="0" applyFont="1" applyFill="1" applyBorder="1" applyAlignment="1"/>
    <xf numFmtId="175" fontId="45" fillId="0" borderId="0" xfId="0" applyNumberFormat="1" applyFont="1" applyAlignment="1"/>
  </cellXfs>
  <cellStyles count="1">
    <cellStyle name="Normal"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Actuals vs Budget for Kootha Plant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1"/>
          <c:order val="1"/>
          <c:tx>
            <c:v>Actuals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'Variance Analysis'!$C$8:$N$8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Analysis'!$C$30:$N$30</c:f>
              <c:numCache>
                <c:formatCode>"$"#,##0.00</c:formatCode>
                <c:ptCount val="12"/>
                <c:pt idx="0">
                  <c:v>-8460389.8399999999</c:v>
                </c:pt>
                <c:pt idx="1">
                  <c:v>-8149859.6999999993</c:v>
                </c:pt>
                <c:pt idx="2">
                  <c:v>-7531701.29</c:v>
                </c:pt>
                <c:pt idx="3">
                  <c:v>-7473771.8099999996</c:v>
                </c:pt>
                <c:pt idx="4">
                  <c:v>-7892157.04</c:v>
                </c:pt>
                <c:pt idx="5">
                  <c:v>-7699347.6500000004</c:v>
                </c:pt>
                <c:pt idx="6">
                  <c:v>-11178158.369999999</c:v>
                </c:pt>
                <c:pt idx="7">
                  <c:v>-9894599.1999999993</c:v>
                </c:pt>
                <c:pt idx="8">
                  <c:v>-10434056.43</c:v>
                </c:pt>
                <c:pt idx="9">
                  <c:v>-7635103.0900000008</c:v>
                </c:pt>
                <c:pt idx="10">
                  <c:v>-7710730.1799999997</c:v>
                </c:pt>
                <c:pt idx="11">
                  <c:v>-7415391.3399999999</c:v>
                </c:pt>
              </c:numCache>
            </c:numRef>
          </c:val>
          <c:smooth val="0"/>
          <c:extLst>
            <c:ext xmlns:c16="http://schemas.microsoft.com/office/drawing/2014/chart" uri="{C3380CC4-5D6E-409C-BE32-E72D297353CC}">
              <c16:uniqueId val="{00000001-D225-3E4F-A025-FD586A3EEEC4}"/>
            </c:ext>
          </c:extLst>
        </c:ser>
        <c:dLbls>
          <c:showLegendKey val="0"/>
          <c:showVal val="0"/>
          <c:showCatName val="0"/>
          <c:showSerName val="0"/>
          <c:showPercent val="0"/>
          <c:showBubbleSize val="0"/>
        </c:dLbls>
        <c:marker val="1"/>
        <c:smooth val="0"/>
        <c:axId val="1721669087"/>
        <c:axId val="1790923215"/>
      </c:lineChart>
      <c:lineChart>
        <c:grouping val="stacked"/>
        <c:varyColors val="0"/>
        <c:ser>
          <c:idx val="0"/>
          <c:order val="0"/>
          <c:tx>
            <c:v>Budget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'Variance Analysis'!$C$8:$N$8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Analysis'!$C$9:$N$9</c:f>
              <c:numCache>
                <c:formatCode>"$"#,##0.00</c:formatCode>
                <c:ptCount val="12"/>
                <c:pt idx="0">
                  <c:v>-8213375.7000000002</c:v>
                </c:pt>
                <c:pt idx="1">
                  <c:v>-5968279.7000000002</c:v>
                </c:pt>
                <c:pt idx="2">
                  <c:v>-5943759.7000000002</c:v>
                </c:pt>
                <c:pt idx="3">
                  <c:v>-4405551.2300000004</c:v>
                </c:pt>
                <c:pt idx="4">
                  <c:v>-7250656.2300000004</c:v>
                </c:pt>
                <c:pt idx="5">
                  <c:v>-8001217.2300000004</c:v>
                </c:pt>
                <c:pt idx="6">
                  <c:v>-10464692.23</c:v>
                </c:pt>
                <c:pt idx="7">
                  <c:v>-9728864.2300000004</c:v>
                </c:pt>
                <c:pt idx="8">
                  <c:v>-10439474.23</c:v>
                </c:pt>
                <c:pt idx="9">
                  <c:v>-8093996.2300000004</c:v>
                </c:pt>
                <c:pt idx="10">
                  <c:v>-7467847.2300000004</c:v>
                </c:pt>
                <c:pt idx="11">
                  <c:v>-8015833.2300000004</c:v>
                </c:pt>
              </c:numCache>
            </c:numRef>
          </c:val>
          <c:smooth val="0"/>
          <c:extLst>
            <c:ext xmlns:c16="http://schemas.microsoft.com/office/drawing/2014/chart" uri="{C3380CC4-5D6E-409C-BE32-E72D297353CC}">
              <c16:uniqueId val="{00000000-D225-3E4F-A025-FD586A3EEEC4}"/>
            </c:ext>
          </c:extLst>
        </c:ser>
        <c:dLbls>
          <c:showLegendKey val="0"/>
          <c:showVal val="0"/>
          <c:showCatName val="0"/>
          <c:showSerName val="0"/>
          <c:showPercent val="0"/>
          <c:showBubbleSize val="0"/>
        </c:dLbls>
        <c:marker val="1"/>
        <c:smooth val="0"/>
        <c:axId val="1313428783"/>
        <c:axId val="1375489887"/>
      </c:lineChart>
      <c:catAx>
        <c:axId val="172166908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923215"/>
        <c:crosses val="autoZero"/>
        <c:auto val="1"/>
        <c:lblAlgn val="ctr"/>
        <c:lblOffset val="100"/>
        <c:noMultiLvlLbl val="0"/>
      </c:catAx>
      <c:valAx>
        <c:axId val="17909232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669087"/>
        <c:crosses val="autoZero"/>
        <c:crossBetween val="between"/>
      </c:valAx>
      <c:valAx>
        <c:axId val="1375489887"/>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428783"/>
        <c:crosses val="max"/>
        <c:crossBetween val="between"/>
      </c:valAx>
      <c:catAx>
        <c:axId val="1313428783"/>
        <c:scaling>
          <c:orientation val="minMax"/>
        </c:scaling>
        <c:delete val="1"/>
        <c:axPos val="b"/>
        <c:numFmt formatCode="General" sourceLinked="1"/>
        <c:majorTickMark val="out"/>
        <c:minorTickMark val="none"/>
        <c:tickLblPos val="nextTo"/>
        <c:crossAx val="13754898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Surjek</c:v>
          </c:tx>
          <c:spPr>
            <a:solidFill>
              <a:schemeClr val="accent2"/>
            </a:solidFill>
            <a:ln>
              <a:noFill/>
            </a:ln>
            <a:effectLst/>
          </c:spPr>
          <c:invertIfNegative val="0"/>
          <c:val>
            <c:numRef>
              <c:f>'Variance Analysis'!$C$75:$N$75</c:f>
              <c:numCache>
                <c:formatCode>0.0%</c:formatCode>
                <c:ptCount val="12"/>
                <c:pt idx="0">
                  <c:v>-20.279277420508919</c:v>
                </c:pt>
                <c:pt idx="1">
                  <c:v>12.902881430082585</c:v>
                </c:pt>
                <c:pt idx="2">
                  <c:v>24.964129300473797</c:v>
                </c:pt>
                <c:pt idx="3">
                  <c:v>36.833712515157131</c:v>
                </c:pt>
                <c:pt idx="4">
                  <c:v>17.20346639381567</c:v>
                </c:pt>
                <c:pt idx="5">
                  <c:v>38.735878764361701</c:v>
                </c:pt>
                <c:pt idx="6">
                  <c:v>44.362706611254495</c:v>
                </c:pt>
                <c:pt idx="7">
                  <c:v>39.96800633830167</c:v>
                </c:pt>
                <c:pt idx="8">
                  <c:v>41.079600747052986</c:v>
                </c:pt>
                <c:pt idx="9">
                  <c:v>-2.1254236496527663</c:v>
                </c:pt>
                <c:pt idx="10">
                  <c:v>0.12935057840134156</c:v>
                </c:pt>
                <c:pt idx="11">
                  <c:v>-2.442758941586451</c:v>
                </c:pt>
              </c:numCache>
            </c:numRef>
          </c:val>
          <c:extLst>
            <c:ext xmlns:c16="http://schemas.microsoft.com/office/drawing/2014/chart" uri="{C3380CC4-5D6E-409C-BE32-E72D297353CC}">
              <c16:uniqueId val="{00000001-BBC4-2849-8960-8B652543140F}"/>
            </c:ext>
          </c:extLst>
        </c:ser>
        <c:ser>
          <c:idx val="2"/>
          <c:order val="1"/>
          <c:tx>
            <c:v>Jutik</c:v>
          </c:tx>
          <c:spPr>
            <a:solidFill>
              <a:schemeClr val="accent3"/>
            </a:solidFill>
            <a:ln>
              <a:noFill/>
            </a:ln>
            <a:effectLst/>
          </c:spPr>
          <c:invertIfNegative val="0"/>
          <c:val>
            <c:numRef>
              <c:f>'Variance Analysis'!$C$79:$N$79</c:f>
              <c:numCache>
                <c:formatCode>0.0%</c:formatCode>
                <c:ptCount val="12"/>
                <c:pt idx="0">
                  <c:v>17.966945898827404</c:v>
                </c:pt>
                <c:pt idx="1">
                  <c:v>4.5364729610995775</c:v>
                </c:pt>
                <c:pt idx="2">
                  <c:v>26.074986379403548</c:v>
                </c:pt>
                <c:pt idx="3">
                  <c:v>29.096416952677739</c:v>
                </c:pt>
                <c:pt idx="4">
                  <c:v>29.906916060976556</c:v>
                </c:pt>
                <c:pt idx="5">
                  <c:v>53.743421924635904</c:v>
                </c:pt>
                <c:pt idx="6">
                  <c:v>13.707901754974392</c:v>
                </c:pt>
                <c:pt idx="7">
                  <c:v>15.355956760857413</c:v>
                </c:pt>
                <c:pt idx="8">
                  <c:v>20.887175135677776</c:v>
                </c:pt>
                <c:pt idx="9">
                  <c:v>-2.0373694869296157</c:v>
                </c:pt>
                <c:pt idx="10">
                  <c:v>6.9488580886438926</c:v>
                </c:pt>
                <c:pt idx="11">
                  <c:v>6.8421853138017577</c:v>
                </c:pt>
              </c:numCache>
            </c:numRef>
          </c:val>
          <c:extLst>
            <c:ext xmlns:c16="http://schemas.microsoft.com/office/drawing/2014/chart" uri="{C3380CC4-5D6E-409C-BE32-E72D297353CC}">
              <c16:uniqueId val="{00000002-BBC4-2849-8960-8B652543140F}"/>
            </c:ext>
          </c:extLst>
        </c:ser>
        <c:ser>
          <c:idx val="3"/>
          <c:order val="2"/>
          <c:tx>
            <c:v>All</c:v>
          </c:tx>
          <c:spPr>
            <a:solidFill>
              <a:schemeClr val="accent4"/>
            </a:solidFill>
            <a:ln>
              <a:noFill/>
            </a:ln>
            <a:effectLst/>
          </c:spPr>
          <c:invertIfNegative val="0"/>
          <c:val>
            <c:numRef>
              <c:f>'Variance Analysis'!$C$83:$N$83</c:f>
              <c:numCache>
                <c:formatCode>0.0%</c:formatCode>
                <c:ptCount val="12"/>
                <c:pt idx="0">
                  <c:v>-2.2204306720803344</c:v>
                </c:pt>
                <c:pt idx="1">
                  <c:v>-8.8654143341698255</c:v>
                </c:pt>
                <c:pt idx="2">
                  <c:v>-3.5994712423364139</c:v>
                </c:pt>
                <c:pt idx="3">
                  <c:v>-12.176193256561719</c:v>
                </c:pt>
                <c:pt idx="4">
                  <c:v>3.0295991248033278</c:v>
                </c:pt>
                <c:pt idx="5">
                  <c:v>4.6098138005635079</c:v>
                </c:pt>
                <c:pt idx="6">
                  <c:v>-12.548467478575182</c:v>
                </c:pt>
                <c:pt idx="7">
                  <c:v>-9.2006138572176592</c:v>
                </c:pt>
                <c:pt idx="8">
                  <c:v>-6.3047708252159884</c:v>
                </c:pt>
                <c:pt idx="9">
                  <c:v>1.1464623934096985</c:v>
                </c:pt>
                <c:pt idx="10">
                  <c:v>2.1838714587859274</c:v>
                </c:pt>
                <c:pt idx="11">
                  <c:v>4.9682166305244557</c:v>
                </c:pt>
              </c:numCache>
            </c:numRef>
          </c:val>
          <c:extLst>
            <c:ext xmlns:c16="http://schemas.microsoft.com/office/drawing/2014/chart" uri="{C3380CC4-5D6E-409C-BE32-E72D297353CC}">
              <c16:uniqueId val="{00000003-BBC4-2849-8960-8B652543140F}"/>
            </c:ext>
          </c:extLst>
        </c:ser>
        <c:dLbls>
          <c:showLegendKey val="0"/>
          <c:showVal val="0"/>
          <c:showCatName val="0"/>
          <c:showSerName val="0"/>
          <c:showPercent val="0"/>
          <c:showBubbleSize val="0"/>
        </c:dLbls>
        <c:gapWidth val="219"/>
        <c:overlap val="-27"/>
        <c:axId val="1848853183"/>
        <c:axId val="1843639999"/>
      </c:barChart>
      <c:catAx>
        <c:axId val="184885318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639999"/>
        <c:crosses val="autoZero"/>
        <c:auto val="1"/>
        <c:lblAlgn val="ctr"/>
        <c:lblOffset val="100"/>
        <c:noMultiLvlLbl val="0"/>
      </c:catAx>
      <c:valAx>
        <c:axId val="184363999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853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Revenue</a:t>
            </a:r>
            <a:r>
              <a:rPr lang="en-US" baseline="0"/>
              <a:t> Variance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Kootha</c:v>
          </c:tx>
          <c:spPr>
            <a:solidFill>
              <a:schemeClr val="accent1"/>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Analysis'!$C$71:$N$71</c:f>
              <c:numCache>
                <c:formatCode>0.0%</c:formatCode>
                <c:ptCount val="12"/>
                <c:pt idx="0">
                  <c:v>-3.0074618405681801</c:v>
                </c:pt>
                <c:pt idx="1">
                  <c:v>-36.552911553391155</c:v>
                </c:pt>
                <c:pt idx="2">
                  <c:v>-26.716113540054447</c:v>
                </c:pt>
                <c:pt idx="3">
                  <c:v>-69.644419502074413</c:v>
                </c:pt>
                <c:pt idx="4">
                  <c:v>-8.8474862088448436</c:v>
                </c:pt>
                <c:pt idx="5">
                  <c:v>3.7727957049855037</c:v>
                </c:pt>
                <c:pt idx="6">
                  <c:v>-6.8178415983859155</c:v>
                </c:pt>
                <c:pt idx="7">
                  <c:v>-1.7035387284873107</c:v>
                </c:pt>
                <c:pt idx="8">
                  <c:v>5.1897249618487198E-2</c:v>
                </c:pt>
                <c:pt idx="9">
                  <c:v>5.6695497126516408</c:v>
                </c:pt>
                <c:pt idx="10">
                  <c:v>-3.2523824138271671</c:v>
                </c:pt>
                <c:pt idx="11">
                  <c:v>7.4906983812087189</c:v>
                </c:pt>
              </c:numCache>
            </c:numRef>
          </c:val>
          <c:extLst>
            <c:ext xmlns:c16="http://schemas.microsoft.com/office/drawing/2014/chart" uri="{C3380CC4-5D6E-409C-BE32-E72D297353CC}">
              <c16:uniqueId val="{00000000-E691-9B44-871C-DA90EDDEE712}"/>
            </c:ext>
          </c:extLst>
        </c:ser>
        <c:ser>
          <c:idx val="1"/>
          <c:order val="1"/>
          <c:tx>
            <c:v>Surjek</c:v>
          </c:tx>
          <c:spPr>
            <a:solidFill>
              <a:schemeClr val="accent2"/>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Analysis'!$C$75:$N$75</c:f>
              <c:numCache>
                <c:formatCode>0.0%</c:formatCode>
                <c:ptCount val="12"/>
                <c:pt idx="0">
                  <c:v>-20.279277420508919</c:v>
                </c:pt>
                <c:pt idx="1">
                  <c:v>12.902881430082585</c:v>
                </c:pt>
                <c:pt idx="2">
                  <c:v>24.964129300473797</c:v>
                </c:pt>
                <c:pt idx="3">
                  <c:v>36.833712515157131</c:v>
                </c:pt>
                <c:pt idx="4">
                  <c:v>17.20346639381567</c:v>
                </c:pt>
                <c:pt idx="5">
                  <c:v>38.735878764361701</c:v>
                </c:pt>
                <c:pt idx="6">
                  <c:v>44.362706611254495</c:v>
                </c:pt>
                <c:pt idx="7">
                  <c:v>39.96800633830167</c:v>
                </c:pt>
                <c:pt idx="8">
                  <c:v>41.079600747052986</c:v>
                </c:pt>
                <c:pt idx="9">
                  <c:v>-2.1254236496527663</c:v>
                </c:pt>
                <c:pt idx="10">
                  <c:v>0.12935057840134156</c:v>
                </c:pt>
                <c:pt idx="11">
                  <c:v>-2.442758941586451</c:v>
                </c:pt>
              </c:numCache>
            </c:numRef>
          </c:val>
          <c:extLst>
            <c:ext xmlns:c16="http://schemas.microsoft.com/office/drawing/2014/chart" uri="{C3380CC4-5D6E-409C-BE32-E72D297353CC}">
              <c16:uniqueId val="{00000001-E691-9B44-871C-DA90EDDEE712}"/>
            </c:ext>
          </c:extLst>
        </c:ser>
        <c:ser>
          <c:idx val="2"/>
          <c:order val="2"/>
          <c:tx>
            <c:v>Jutik</c:v>
          </c:tx>
          <c:spPr>
            <a:solidFill>
              <a:schemeClr val="accent3"/>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Analysis'!$C$79:$N$79</c:f>
              <c:numCache>
                <c:formatCode>0.0%</c:formatCode>
                <c:ptCount val="12"/>
                <c:pt idx="0">
                  <c:v>17.966945898827404</c:v>
                </c:pt>
                <c:pt idx="1">
                  <c:v>4.5364729610995775</c:v>
                </c:pt>
                <c:pt idx="2">
                  <c:v>26.074986379403548</c:v>
                </c:pt>
                <c:pt idx="3">
                  <c:v>29.096416952677739</c:v>
                </c:pt>
                <c:pt idx="4">
                  <c:v>29.906916060976556</c:v>
                </c:pt>
                <c:pt idx="5">
                  <c:v>53.743421924635904</c:v>
                </c:pt>
                <c:pt idx="6">
                  <c:v>13.707901754974392</c:v>
                </c:pt>
                <c:pt idx="7">
                  <c:v>15.355956760857413</c:v>
                </c:pt>
                <c:pt idx="8">
                  <c:v>20.887175135677776</c:v>
                </c:pt>
                <c:pt idx="9">
                  <c:v>-2.0373694869296157</c:v>
                </c:pt>
                <c:pt idx="10">
                  <c:v>6.9488580886438926</c:v>
                </c:pt>
                <c:pt idx="11">
                  <c:v>6.8421853138017577</c:v>
                </c:pt>
              </c:numCache>
            </c:numRef>
          </c:val>
          <c:extLst>
            <c:ext xmlns:c16="http://schemas.microsoft.com/office/drawing/2014/chart" uri="{C3380CC4-5D6E-409C-BE32-E72D297353CC}">
              <c16:uniqueId val="{00000002-E691-9B44-871C-DA90EDDEE712}"/>
            </c:ext>
          </c:extLst>
        </c:ser>
        <c:ser>
          <c:idx val="3"/>
          <c:order val="3"/>
          <c:tx>
            <c:v>All</c:v>
          </c:tx>
          <c:spPr>
            <a:solidFill>
              <a:schemeClr val="accent4"/>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Analysis'!$C$83:$N$83</c:f>
              <c:numCache>
                <c:formatCode>0.0%</c:formatCode>
                <c:ptCount val="12"/>
                <c:pt idx="0">
                  <c:v>-2.2204306720803344</c:v>
                </c:pt>
                <c:pt idx="1">
                  <c:v>-8.8654143341698255</c:v>
                </c:pt>
                <c:pt idx="2">
                  <c:v>-3.5994712423364139</c:v>
                </c:pt>
                <c:pt idx="3">
                  <c:v>-12.176193256561719</c:v>
                </c:pt>
                <c:pt idx="4">
                  <c:v>3.0295991248033278</c:v>
                </c:pt>
                <c:pt idx="5">
                  <c:v>4.6098138005635079</c:v>
                </c:pt>
                <c:pt idx="6">
                  <c:v>-12.548467478575182</c:v>
                </c:pt>
                <c:pt idx="7">
                  <c:v>-9.2006138572176592</c:v>
                </c:pt>
                <c:pt idx="8">
                  <c:v>-6.3047708252159884</c:v>
                </c:pt>
                <c:pt idx="9">
                  <c:v>1.1464623934096985</c:v>
                </c:pt>
                <c:pt idx="10">
                  <c:v>2.1838714587859274</c:v>
                </c:pt>
                <c:pt idx="11">
                  <c:v>4.9682166305244557</c:v>
                </c:pt>
              </c:numCache>
            </c:numRef>
          </c:val>
          <c:extLst>
            <c:ext xmlns:c16="http://schemas.microsoft.com/office/drawing/2014/chart" uri="{C3380CC4-5D6E-409C-BE32-E72D297353CC}">
              <c16:uniqueId val="{00000003-E691-9B44-871C-DA90EDDEE712}"/>
            </c:ext>
          </c:extLst>
        </c:ser>
        <c:dLbls>
          <c:showLegendKey val="0"/>
          <c:showVal val="0"/>
          <c:showCatName val="0"/>
          <c:showSerName val="0"/>
          <c:showPercent val="0"/>
          <c:showBubbleSize val="0"/>
        </c:dLbls>
        <c:gapWidth val="219"/>
        <c:overlap val="-27"/>
        <c:axId val="1484070415"/>
        <c:axId val="1394632767"/>
      </c:barChart>
      <c:catAx>
        <c:axId val="1484070415"/>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632767"/>
        <c:crosses val="autoZero"/>
        <c:auto val="1"/>
        <c:lblAlgn val="ctr"/>
        <c:lblOffset val="100"/>
        <c:noMultiLvlLbl val="0"/>
      </c:catAx>
      <c:valAx>
        <c:axId val="1394632767"/>
        <c:scaling>
          <c:orientation val="minMax"/>
          <c:max val="50"/>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Y-axis</a:t>
                </a:r>
                <a:r>
                  <a:rPr lang="en-US" baseline="0"/>
                  <a:t> has been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0704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Production Cost Variance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Kootha</c:v>
          </c:tx>
          <c:spPr>
            <a:solidFill>
              <a:schemeClr val="accent1"/>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Analysis'!$C$72:$N$72</c:f>
              <c:numCache>
                <c:formatCode>0.0%</c:formatCode>
                <c:ptCount val="12"/>
                <c:pt idx="0">
                  <c:v>18.33649999999999</c:v>
                </c:pt>
                <c:pt idx="1">
                  <c:v>-19.296833333333328</c:v>
                </c:pt>
                <c:pt idx="2">
                  <c:v>37.471066666666665</c:v>
                </c:pt>
                <c:pt idx="3">
                  <c:v>-12.923333333333334</c:v>
                </c:pt>
                <c:pt idx="4">
                  <c:v>7.4433333333333334</c:v>
                </c:pt>
                <c:pt idx="5">
                  <c:v>5.09</c:v>
                </c:pt>
                <c:pt idx="6">
                  <c:v>8.2366666666666664</c:v>
                </c:pt>
                <c:pt idx="7">
                  <c:v>17.626666666666665</c:v>
                </c:pt>
                <c:pt idx="8">
                  <c:v>-8.836666666666666</c:v>
                </c:pt>
                <c:pt idx="9">
                  <c:v>-8.8566666666666674</c:v>
                </c:pt>
                <c:pt idx="10">
                  <c:v>-6.0933333333333328</c:v>
                </c:pt>
                <c:pt idx="11">
                  <c:v>11.963333333333333</c:v>
                </c:pt>
              </c:numCache>
            </c:numRef>
          </c:val>
          <c:extLst>
            <c:ext xmlns:c16="http://schemas.microsoft.com/office/drawing/2014/chart" uri="{C3380CC4-5D6E-409C-BE32-E72D297353CC}">
              <c16:uniqueId val="{00000000-CB44-5F4E-9126-96EC5F6D083C}"/>
            </c:ext>
          </c:extLst>
        </c:ser>
        <c:ser>
          <c:idx val="1"/>
          <c:order val="1"/>
          <c:tx>
            <c:v>Surjek</c:v>
          </c:tx>
          <c:spPr>
            <a:solidFill>
              <a:schemeClr val="accent2"/>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Analysis'!$C$76:$N$76</c:f>
              <c:numCache>
                <c:formatCode>0.0%</c:formatCode>
                <c:ptCount val="12"/>
                <c:pt idx="0">
                  <c:v>303.97044963848901</c:v>
                </c:pt>
                <c:pt idx="1">
                  <c:v>410.10494702349087</c:v>
                </c:pt>
                <c:pt idx="2">
                  <c:v>-96.04241062236369</c:v>
                </c:pt>
                <c:pt idx="3">
                  <c:v>-99.759401514788365</c:v>
                </c:pt>
                <c:pt idx="4">
                  <c:v>-13.236781554096163</c:v>
                </c:pt>
                <c:pt idx="5">
                  <c:v>66.145478344797368</c:v>
                </c:pt>
                <c:pt idx="6">
                  <c:v>-92.922768585886118</c:v>
                </c:pt>
                <c:pt idx="7">
                  <c:v>-16.623748044846938</c:v>
                </c:pt>
                <c:pt idx="8">
                  <c:v>-60.346025946031205</c:v>
                </c:pt>
                <c:pt idx="9">
                  <c:v>-42.919143377594551</c:v>
                </c:pt>
                <c:pt idx="10">
                  <c:v>18.476571113561185</c:v>
                </c:pt>
                <c:pt idx="11">
                  <c:v>5.0089521115957982</c:v>
                </c:pt>
              </c:numCache>
            </c:numRef>
          </c:val>
          <c:extLst>
            <c:ext xmlns:c16="http://schemas.microsoft.com/office/drawing/2014/chart" uri="{C3380CC4-5D6E-409C-BE32-E72D297353CC}">
              <c16:uniqueId val="{00000001-CB44-5F4E-9126-96EC5F6D083C}"/>
            </c:ext>
          </c:extLst>
        </c:ser>
        <c:ser>
          <c:idx val="2"/>
          <c:order val="2"/>
          <c:tx>
            <c:v>Jutik</c:v>
          </c:tx>
          <c:spPr>
            <a:solidFill>
              <a:schemeClr val="accent3"/>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Analysis'!$C$80:$N$80</c:f>
              <c:numCache>
                <c:formatCode>0.0%</c:formatCode>
                <c:ptCount val="12"/>
                <c:pt idx="0">
                  <c:v>-19.779461148782449</c:v>
                </c:pt>
                <c:pt idx="1">
                  <c:v>-101.01550699426444</c:v>
                </c:pt>
                <c:pt idx="2">
                  <c:v>-241.79443323102342</c:v>
                </c:pt>
                <c:pt idx="3">
                  <c:v>-104.0534854429924</c:v>
                </c:pt>
                <c:pt idx="4">
                  <c:v>610.85065066013294</c:v>
                </c:pt>
                <c:pt idx="5">
                  <c:v>-3441.4151334168687</c:v>
                </c:pt>
                <c:pt idx="6">
                  <c:v>28.416152017207992</c:v>
                </c:pt>
                <c:pt idx="7">
                  <c:v>-13.778092265075859</c:v>
                </c:pt>
                <c:pt idx="8">
                  <c:v>-138.87237477482759</c:v>
                </c:pt>
                <c:pt idx="9">
                  <c:v>35.08853462485073</c:v>
                </c:pt>
                <c:pt idx="10">
                  <c:v>44.794650334581618</c:v>
                </c:pt>
                <c:pt idx="11">
                  <c:v>87.601052602957836</c:v>
                </c:pt>
              </c:numCache>
            </c:numRef>
          </c:val>
          <c:extLst>
            <c:ext xmlns:c16="http://schemas.microsoft.com/office/drawing/2014/chart" uri="{C3380CC4-5D6E-409C-BE32-E72D297353CC}">
              <c16:uniqueId val="{00000002-CB44-5F4E-9126-96EC5F6D083C}"/>
            </c:ext>
          </c:extLst>
        </c:ser>
        <c:ser>
          <c:idx val="3"/>
          <c:order val="3"/>
          <c:tx>
            <c:v>All</c:v>
          </c:tx>
          <c:spPr>
            <a:solidFill>
              <a:schemeClr val="accent4"/>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Analysis'!$C$84:$N$84</c:f>
              <c:numCache>
                <c:formatCode>0.0%</c:formatCode>
                <c:ptCount val="12"/>
                <c:pt idx="0">
                  <c:v>141.71537924450334</c:v>
                </c:pt>
                <c:pt idx="1">
                  <c:v>175.40097180068111</c:v>
                </c:pt>
                <c:pt idx="2">
                  <c:v>-73.746588010658456</c:v>
                </c:pt>
                <c:pt idx="3">
                  <c:v>-71.422445761672563</c:v>
                </c:pt>
                <c:pt idx="4">
                  <c:v>-54.287841270768247</c:v>
                </c:pt>
                <c:pt idx="5">
                  <c:v>-9.1950361806058432</c:v>
                </c:pt>
                <c:pt idx="6">
                  <c:v>-29.719456616658402</c:v>
                </c:pt>
                <c:pt idx="7">
                  <c:v>-13.699764661115429</c:v>
                </c:pt>
                <c:pt idx="8">
                  <c:v>-58.021575587832999</c:v>
                </c:pt>
                <c:pt idx="9">
                  <c:v>1.2882559056267742</c:v>
                </c:pt>
                <c:pt idx="10">
                  <c:v>42.962925219727275</c:v>
                </c:pt>
                <c:pt idx="11">
                  <c:v>-61.680021607732058</c:v>
                </c:pt>
              </c:numCache>
            </c:numRef>
          </c:val>
          <c:extLst>
            <c:ext xmlns:c16="http://schemas.microsoft.com/office/drawing/2014/chart" uri="{C3380CC4-5D6E-409C-BE32-E72D297353CC}">
              <c16:uniqueId val="{00000003-CB44-5F4E-9126-96EC5F6D083C}"/>
            </c:ext>
          </c:extLst>
        </c:ser>
        <c:dLbls>
          <c:showLegendKey val="0"/>
          <c:showVal val="0"/>
          <c:showCatName val="0"/>
          <c:showSerName val="0"/>
          <c:showPercent val="0"/>
          <c:showBubbleSize val="0"/>
        </c:dLbls>
        <c:gapWidth val="219"/>
        <c:overlap val="-27"/>
        <c:axId val="1484070415"/>
        <c:axId val="1394632767"/>
      </c:barChart>
      <c:catAx>
        <c:axId val="1484070415"/>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632767"/>
        <c:crosses val="autoZero"/>
        <c:auto val="1"/>
        <c:lblAlgn val="ctr"/>
        <c:lblOffset val="100"/>
        <c:noMultiLvlLbl val="0"/>
      </c:catAx>
      <c:valAx>
        <c:axId val="1394632767"/>
        <c:scaling>
          <c:orientation val="minMax"/>
          <c:max val="50"/>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Y-axis</a:t>
                </a:r>
                <a:r>
                  <a:rPr lang="en-US" baseline="0"/>
                  <a:t> has been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0704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Other</a:t>
            </a:r>
            <a:r>
              <a:rPr lang="en-US" baseline="0"/>
              <a:t> </a:t>
            </a:r>
            <a:r>
              <a:rPr lang="en-US"/>
              <a:t>Production Cost Variance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Kootha</c:v>
          </c:tx>
          <c:spPr>
            <a:solidFill>
              <a:schemeClr val="accent1"/>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Analysis'!$C$73:$N$73</c:f>
              <c:numCache>
                <c:formatCode>0.0%</c:formatCode>
                <c:ptCount val="12"/>
                <c:pt idx="0">
                  <c:v>-35.989133333333342</c:v>
                </c:pt>
                <c:pt idx="1">
                  <c:v>4.3274000000000044</c:v>
                </c:pt>
                <c:pt idx="2">
                  <c:v>-29.010411131763608</c:v>
                </c:pt>
                <c:pt idx="3">
                  <c:v>-14.000000000000002</c:v>
                </c:pt>
                <c:pt idx="4">
                  <c:v>-4.4933333333333332</c:v>
                </c:pt>
                <c:pt idx="5">
                  <c:v>3.4466666666666668</c:v>
                </c:pt>
                <c:pt idx="6">
                  <c:v>-1.6066666666666667</c:v>
                </c:pt>
                <c:pt idx="7">
                  <c:v>-4.4866666666666664</c:v>
                </c:pt>
                <c:pt idx="8">
                  <c:v>-26.873333333333331</c:v>
                </c:pt>
                <c:pt idx="9">
                  <c:v>3.11</c:v>
                </c:pt>
                <c:pt idx="10">
                  <c:v>-9.56</c:v>
                </c:pt>
                <c:pt idx="11">
                  <c:v>-0.80333333333333334</c:v>
                </c:pt>
              </c:numCache>
            </c:numRef>
          </c:val>
          <c:extLst>
            <c:ext xmlns:c16="http://schemas.microsoft.com/office/drawing/2014/chart" uri="{C3380CC4-5D6E-409C-BE32-E72D297353CC}">
              <c16:uniqueId val="{00000000-26B1-5040-B57C-D69729D047B7}"/>
            </c:ext>
          </c:extLst>
        </c:ser>
        <c:ser>
          <c:idx val="1"/>
          <c:order val="1"/>
          <c:tx>
            <c:v>Surjek</c:v>
          </c:tx>
          <c:spPr>
            <a:solidFill>
              <a:schemeClr val="accent2"/>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Analysis'!$C$77:$N$77</c:f>
              <c:numCache>
                <c:formatCode>0.0%</c:formatCode>
                <c:ptCount val="12"/>
                <c:pt idx="0">
                  <c:v>-49.499071666091851</c:v>
                </c:pt>
                <c:pt idx="1">
                  <c:v>-52.369964055215</c:v>
                </c:pt>
                <c:pt idx="2">
                  <c:v>-24.417294243043923</c:v>
                </c:pt>
                <c:pt idx="3">
                  <c:v>-55.811973943944778</c:v>
                </c:pt>
                <c:pt idx="4">
                  <c:v>-50.456107463547454</c:v>
                </c:pt>
                <c:pt idx="5">
                  <c:v>-38.811419068583405</c:v>
                </c:pt>
                <c:pt idx="6">
                  <c:v>-29.889667432565268</c:v>
                </c:pt>
                <c:pt idx="7">
                  <c:v>-30.361376199441516</c:v>
                </c:pt>
                <c:pt idx="8">
                  <c:v>-39.761449517635</c:v>
                </c:pt>
                <c:pt idx="9">
                  <c:v>-43.615962959658674</c:v>
                </c:pt>
                <c:pt idx="10">
                  <c:v>-41.647806568219671</c:v>
                </c:pt>
                <c:pt idx="11">
                  <c:v>-11.575737063474001</c:v>
                </c:pt>
              </c:numCache>
            </c:numRef>
          </c:val>
          <c:extLst>
            <c:ext xmlns:c16="http://schemas.microsoft.com/office/drawing/2014/chart" uri="{C3380CC4-5D6E-409C-BE32-E72D297353CC}">
              <c16:uniqueId val="{00000001-26B1-5040-B57C-D69729D047B7}"/>
            </c:ext>
          </c:extLst>
        </c:ser>
        <c:ser>
          <c:idx val="2"/>
          <c:order val="2"/>
          <c:tx>
            <c:v>Jutik</c:v>
          </c:tx>
          <c:spPr>
            <a:solidFill>
              <a:schemeClr val="accent3"/>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Analysis'!$C$81:$N$81</c:f>
              <c:numCache>
                <c:formatCode>0.0%</c:formatCode>
                <c:ptCount val="12"/>
                <c:pt idx="0">
                  <c:v>-467.20502415006945</c:v>
                </c:pt>
                <c:pt idx="1">
                  <c:v>-11.071130646260425</c:v>
                </c:pt>
                <c:pt idx="2">
                  <c:v>30.759193323187535</c:v>
                </c:pt>
                <c:pt idx="3">
                  <c:v>13.390082926726663</c:v>
                </c:pt>
                <c:pt idx="4">
                  <c:v>47.932043264714565</c:v>
                </c:pt>
                <c:pt idx="5">
                  <c:v>40.814610615052125</c:v>
                </c:pt>
                <c:pt idx="6">
                  <c:v>62.649900964479663</c:v>
                </c:pt>
                <c:pt idx="7">
                  <c:v>-15.283188348712434</c:v>
                </c:pt>
                <c:pt idx="8">
                  <c:v>61.946935982977337</c:v>
                </c:pt>
                <c:pt idx="9">
                  <c:v>31.430833504167165</c:v>
                </c:pt>
                <c:pt idx="10">
                  <c:v>44.116569379567174</c:v>
                </c:pt>
                <c:pt idx="11">
                  <c:v>60.947093376707549</c:v>
                </c:pt>
              </c:numCache>
            </c:numRef>
          </c:val>
          <c:extLst>
            <c:ext xmlns:c16="http://schemas.microsoft.com/office/drawing/2014/chart" uri="{C3380CC4-5D6E-409C-BE32-E72D297353CC}">
              <c16:uniqueId val="{00000002-26B1-5040-B57C-D69729D047B7}"/>
            </c:ext>
          </c:extLst>
        </c:ser>
        <c:ser>
          <c:idx val="3"/>
          <c:order val="3"/>
          <c:tx>
            <c:v>All</c:v>
          </c:tx>
          <c:spPr>
            <a:solidFill>
              <a:schemeClr val="accent4"/>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Analysis'!$C$85:$N$85</c:f>
              <c:numCache>
                <c:formatCode>0.0%</c:formatCode>
                <c:ptCount val="12"/>
                <c:pt idx="0">
                  <c:v>-49.020632966068497</c:v>
                </c:pt>
                <c:pt idx="1">
                  <c:v>-48.305696031180503</c:v>
                </c:pt>
                <c:pt idx="2">
                  <c:v>-24.035003912141047</c:v>
                </c:pt>
                <c:pt idx="3">
                  <c:v>-54.620486590967396</c:v>
                </c:pt>
                <c:pt idx="4">
                  <c:v>-46.428047854212707</c:v>
                </c:pt>
                <c:pt idx="5">
                  <c:v>-35.327485879212048</c:v>
                </c:pt>
                <c:pt idx="6">
                  <c:v>-26.373545973406287</c:v>
                </c:pt>
                <c:pt idx="7">
                  <c:v>-28.548169297131036</c:v>
                </c:pt>
                <c:pt idx="8">
                  <c:v>-37.097528307053956</c:v>
                </c:pt>
                <c:pt idx="9">
                  <c:v>-40.044088046576945</c:v>
                </c:pt>
                <c:pt idx="10">
                  <c:v>-38.636585906232206</c:v>
                </c:pt>
                <c:pt idx="11">
                  <c:v>-9.3648172118936763</c:v>
                </c:pt>
              </c:numCache>
            </c:numRef>
          </c:val>
          <c:extLst>
            <c:ext xmlns:c16="http://schemas.microsoft.com/office/drawing/2014/chart" uri="{C3380CC4-5D6E-409C-BE32-E72D297353CC}">
              <c16:uniqueId val="{00000003-26B1-5040-B57C-D69729D047B7}"/>
            </c:ext>
          </c:extLst>
        </c:ser>
        <c:dLbls>
          <c:showLegendKey val="0"/>
          <c:showVal val="0"/>
          <c:showCatName val="0"/>
          <c:showSerName val="0"/>
          <c:showPercent val="0"/>
          <c:showBubbleSize val="0"/>
        </c:dLbls>
        <c:gapWidth val="219"/>
        <c:overlap val="-27"/>
        <c:axId val="1484070415"/>
        <c:axId val="1394632767"/>
      </c:barChart>
      <c:catAx>
        <c:axId val="1484070415"/>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632767"/>
        <c:crosses val="autoZero"/>
        <c:auto val="1"/>
        <c:lblAlgn val="ctr"/>
        <c:lblOffset val="100"/>
        <c:noMultiLvlLbl val="0"/>
      </c:catAx>
      <c:valAx>
        <c:axId val="1394632767"/>
        <c:scaling>
          <c:orientation val="minMax"/>
          <c:max val="50"/>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Y-axis</a:t>
                </a:r>
                <a:r>
                  <a:rPr lang="en-US" baseline="0"/>
                  <a:t> has been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0704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Overhead Variance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Kootha</c:v>
          </c:tx>
          <c:spPr>
            <a:solidFill>
              <a:schemeClr val="accent1"/>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Analysis'!$C$74:$N$74</c:f>
              <c:numCache>
                <c:formatCode>0.0%</c:formatCode>
                <c:ptCount val="12"/>
                <c:pt idx="0">
                  <c:v>16.868802138092963</c:v>
                </c:pt>
                <c:pt idx="1">
                  <c:v>60.194449976839017</c:v>
                </c:pt>
                <c:pt idx="2">
                  <c:v>-26.624969214675087</c:v>
                </c:pt>
                <c:pt idx="3">
                  <c:v>-5.6119742468043246</c:v>
                </c:pt>
                <c:pt idx="4">
                  <c:v>4.3528367592005726</c:v>
                </c:pt>
                <c:pt idx="5">
                  <c:v>3.2335459161287115</c:v>
                </c:pt>
                <c:pt idx="6">
                  <c:v>26.781433109998282</c:v>
                </c:pt>
                <c:pt idx="7">
                  <c:v>3.2335432107333446</c:v>
                </c:pt>
                <c:pt idx="8">
                  <c:v>4.9619398043792113</c:v>
                </c:pt>
                <c:pt idx="9">
                  <c:v>3.3229867039540486</c:v>
                </c:pt>
                <c:pt idx="10">
                  <c:v>13.737791108331374</c:v>
                </c:pt>
                <c:pt idx="11">
                  <c:v>12.227298718935632</c:v>
                </c:pt>
              </c:numCache>
            </c:numRef>
          </c:val>
          <c:extLst>
            <c:ext xmlns:c16="http://schemas.microsoft.com/office/drawing/2014/chart" uri="{C3380CC4-5D6E-409C-BE32-E72D297353CC}">
              <c16:uniqueId val="{00000000-E107-254A-B374-D4AB4B2C822B}"/>
            </c:ext>
          </c:extLst>
        </c:ser>
        <c:ser>
          <c:idx val="1"/>
          <c:order val="1"/>
          <c:tx>
            <c:v>Surjek</c:v>
          </c:tx>
          <c:spPr>
            <a:solidFill>
              <a:schemeClr val="accent2"/>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Analysis'!$C$78:$N$78</c:f>
              <c:numCache>
                <c:formatCode>0.0%</c:formatCode>
                <c:ptCount val="12"/>
                <c:pt idx="0">
                  <c:v>12.469139911802751</c:v>
                </c:pt>
                <c:pt idx="1">
                  <c:v>30.955418385777566</c:v>
                </c:pt>
                <c:pt idx="2">
                  <c:v>-6.5110448241343724</c:v>
                </c:pt>
                <c:pt idx="3">
                  <c:v>4.093250567053488</c:v>
                </c:pt>
                <c:pt idx="4">
                  <c:v>21.499212917340703</c:v>
                </c:pt>
                <c:pt idx="5">
                  <c:v>-11.984829890633227</c:v>
                </c:pt>
                <c:pt idx="6">
                  <c:v>10.349954172240789</c:v>
                </c:pt>
                <c:pt idx="7">
                  <c:v>29.446369997212763</c:v>
                </c:pt>
                <c:pt idx="8">
                  <c:v>-2.0407675514472605</c:v>
                </c:pt>
                <c:pt idx="9">
                  <c:v>8.8086841905057991</c:v>
                </c:pt>
                <c:pt idx="10">
                  <c:v>22.952262553722775</c:v>
                </c:pt>
                <c:pt idx="11">
                  <c:v>-44.761696312129928</c:v>
                </c:pt>
              </c:numCache>
            </c:numRef>
          </c:val>
          <c:extLst>
            <c:ext xmlns:c16="http://schemas.microsoft.com/office/drawing/2014/chart" uri="{C3380CC4-5D6E-409C-BE32-E72D297353CC}">
              <c16:uniqueId val="{00000001-E107-254A-B374-D4AB4B2C822B}"/>
            </c:ext>
          </c:extLst>
        </c:ser>
        <c:ser>
          <c:idx val="2"/>
          <c:order val="2"/>
          <c:tx>
            <c:v>Jutik</c:v>
          </c:tx>
          <c:spPr>
            <a:solidFill>
              <a:schemeClr val="accent3"/>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Analysis'!$C$82:$N$82</c:f>
              <c:numCache>
                <c:formatCode>0.0%</c:formatCode>
                <c:ptCount val="12"/>
                <c:pt idx="0">
                  <c:v>-2.9246098562593561</c:v>
                </c:pt>
                <c:pt idx="1">
                  <c:v>-16.232236327055798</c:v>
                </c:pt>
                <c:pt idx="2">
                  <c:v>15.384645907296488</c:v>
                </c:pt>
                <c:pt idx="3">
                  <c:v>36.130710643257089</c:v>
                </c:pt>
                <c:pt idx="4">
                  <c:v>-58.936137781410444</c:v>
                </c:pt>
                <c:pt idx="5">
                  <c:v>31.213097683673553</c:v>
                </c:pt>
                <c:pt idx="6">
                  <c:v>-9.9814106355913914</c:v>
                </c:pt>
                <c:pt idx="7">
                  <c:v>-6.8273528653920845</c:v>
                </c:pt>
                <c:pt idx="8">
                  <c:v>36.542976008955783</c:v>
                </c:pt>
                <c:pt idx="9">
                  <c:v>-120.41291407738761</c:v>
                </c:pt>
                <c:pt idx="10">
                  <c:v>-70.447159808324571</c:v>
                </c:pt>
                <c:pt idx="11">
                  <c:v>4.5604422804001636</c:v>
                </c:pt>
              </c:numCache>
            </c:numRef>
          </c:val>
          <c:extLst>
            <c:ext xmlns:c16="http://schemas.microsoft.com/office/drawing/2014/chart" uri="{C3380CC4-5D6E-409C-BE32-E72D297353CC}">
              <c16:uniqueId val="{00000002-E107-254A-B374-D4AB4B2C822B}"/>
            </c:ext>
          </c:extLst>
        </c:ser>
        <c:ser>
          <c:idx val="3"/>
          <c:order val="3"/>
          <c:tx>
            <c:v>All</c:v>
          </c:tx>
          <c:spPr>
            <a:solidFill>
              <a:schemeClr val="accent4"/>
            </a:solidFill>
            <a:ln>
              <a:noFill/>
            </a:ln>
            <a:effectLst/>
          </c:spPr>
          <c:invertIfNegative val="0"/>
          <c:cat>
            <c:strRef>
              <c:f>'Variance Analysis'!$C$70:$N$70</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'Variance Analysis'!$C$86:$N$86</c:f>
              <c:numCache>
                <c:formatCode>0.0%</c:formatCode>
                <c:ptCount val="12"/>
                <c:pt idx="0">
                  <c:v>8.7267097972989038</c:v>
                </c:pt>
                <c:pt idx="1">
                  <c:v>23.812347638697513</c:v>
                </c:pt>
                <c:pt idx="2">
                  <c:v>-5.8377984440553226</c:v>
                </c:pt>
                <c:pt idx="3">
                  <c:v>9.026733557340016</c:v>
                </c:pt>
                <c:pt idx="4">
                  <c:v>5.232704108235116</c:v>
                </c:pt>
                <c:pt idx="5">
                  <c:v>-2.2216530613878192</c:v>
                </c:pt>
                <c:pt idx="6">
                  <c:v>9.5942347632364182</c:v>
                </c:pt>
                <c:pt idx="7">
                  <c:v>16.5840125357849</c:v>
                </c:pt>
                <c:pt idx="8">
                  <c:v>8.1804152429431447</c:v>
                </c:pt>
                <c:pt idx="9">
                  <c:v>-8.063344896170225</c:v>
                </c:pt>
                <c:pt idx="10">
                  <c:v>5.4888362856581061</c:v>
                </c:pt>
                <c:pt idx="11">
                  <c:v>-23.152872473478112</c:v>
                </c:pt>
              </c:numCache>
            </c:numRef>
          </c:val>
          <c:extLst>
            <c:ext xmlns:c16="http://schemas.microsoft.com/office/drawing/2014/chart" uri="{C3380CC4-5D6E-409C-BE32-E72D297353CC}">
              <c16:uniqueId val="{00000003-E107-254A-B374-D4AB4B2C822B}"/>
            </c:ext>
          </c:extLst>
        </c:ser>
        <c:dLbls>
          <c:showLegendKey val="0"/>
          <c:showVal val="0"/>
          <c:showCatName val="0"/>
          <c:showSerName val="0"/>
          <c:showPercent val="0"/>
          <c:showBubbleSize val="0"/>
        </c:dLbls>
        <c:gapWidth val="219"/>
        <c:overlap val="-27"/>
        <c:axId val="1484070415"/>
        <c:axId val="1394632767"/>
      </c:barChart>
      <c:catAx>
        <c:axId val="1484070415"/>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632767"/>
        <c:crosses val="autoZero"/>
        <c:auto val="1"/>
        <c:lblAlgn val="ctr"/>
        <c:lblOffset val="100"/>
        <c:noMultiLvlLbl val="0"/>
      </c:catAx>
      <c:valAx>
        <c:axId val="1394632767"/>
        <c:scaling>
          <c:orientation val="minMax"/>
          <c:max val="50"/>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Y-axis</a:t>
                </a:r>
                <a:r>
                  <a:rPr lang="en-US" baseline="0"/>
                  <a:t> has been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0704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Overall </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v>Actual</c:v>
          </c:tx>
          <c:spPr>
            <a:ln w="38100" cap="flat" cmpd="dbl" algn="ctr">
              <a:solidFill>
                <a:schemeClr val="accent6"/>
              </a:solidFill>
              <a:miter lim="800000"/>
            </a:ln>
            <a:effectLst/>
          </c:spPr>
          <c:marker>
            <c:symbol val="square"/>
            <c:size val="7"/>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32.51713711737181</c:v>
                </c:pt>
                <c:pt idx="1">
                  <c:v>35.274262321141222</c:v>
                </c:pt>
                <c:pt idx="2">
                  <c:v>36.512178207603895</c:v>
                </c:pt>
                <c:pt idx="3">
                  <c:v>37.65539791300889</c:v>
                </c:pt>
                <c:pt idx="4">
                  <c:v>40.260721514487528</c:v>
                </c:pt>
                <c:pt idx="5">
                  <c:v>38.688207095620896</c:v>
                </c:pt>
                <c:pt idx="6">
                  <c:v>36.941136420629149</c:v>
                </c:pt>
                <c:pt idx="7">
                  <c:v>35.699638303730481</c:v>
                </c:pt>
                <c:pt idx="8">
                  <c:v>34.4419628489632</c:v>
                </c:pt>
                <c:pt idx="9">
                  <c:v>34.058425845177702</c:v>
                </c:pt>
                <c:pt idx="10">
                  <c:v>34.114232796761719</c:v>
                </c:pt>
                <c:pt idx="11">
                  <c:v>33.657442894960788</c:v>
                </c:pt>
              </c:numCache>
            </c:numRef>
          </c:val>
          <c:smooth val="0"/>
          <c:extLst>
            <c:ext xmlns:c16="http://schemas.microsoft.com/office/drawing/2014/chart" uri="{C3380CC4-5D6E-409C-BE32-E72D297353CC}">
              <c16:uniqueId val="{00000000-40E7-0C4B-9DA4-E1DD034AD57A}"/>
            </c:ext>
          </c:extLst>
        </c:ser>
        <c:ser>
          <c:idx val="1"/>
          <c:order val="1"/>
          <c:tx>
            <c:v>Budget</c:v>
          </c:tx>
          <c:spPr>
            <a:ln w="38100" cap="flat" cmpd="dbl" algn="ctr">
              <a:solidFill>
                <a:schemeClr val="accent4"/>
              </a:solidFill>
              <a:miter lim="800000"/>
            </a:ln>
            <a:effectLst/>
          </c:spPr>
          <c:marker>
            <c:symbol val="square"/>
            <c:size val="7"/>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31.057542276282895</c:v>
                </c:pt>
                <c:pt idx="1">
                  <c:v>31.053625904713304</c:v>
                </c:pt>
                <c:pt idx="2">
                  <c:v>34.749549076417971</c:v>
                </c:pt>
                <c:pt idx="3">
                  <c:v>35.545287972921223</c:v>
                </c:pt>
                <c:pt idx="4">
                  <c:v>37.897343791311066</c:v>
                </c:pt>
                <c:pt idx="5">
                  <c:v>37.036113170951431</c:v>
                </c:pt>
                <c:pt idx="6">
                  <c:v>35.312691599723536</c:v>
                </c:pt>
                <c:pt idx="7">
                  <c:v>33.920753782976895</c:v>
                </c:pt>
                <c:pt idx="8">
                  <c:v>33.089091936913015</c:v>
                </c:pt>
                <c:pt idx="9">
                  <c:v>33.17590781762101</c:v>
                </c:pt>
                <c:pt idx="10">
                  <c:v>33.181134116358031</c:v>
                </c:pt>
                <c:pt idx="11">
                  <c:v>33.445429463170441</c:v>
                </c:pt>
              </c:numCache>
            </c:numRef>
          </c:val>
          <c:smooth val="0"/>
          <c:extLst>
            <c:ext xmlns:c16="http://schemas.microsoft.com/office/drawing/2014/chart" uri="{C3380CC4-5D6E-409C-BE32-E72D297353CC}">
              <c16:uniqueId val="{00000001-40E7-0C4B-9DA4-E1DD034AD57A}"/>
            </c:ext>
          </c:extLst>
        </c:ser>
        <c:dLbls>
          <c:showLegendKey val="0"/>
          <c:showVal val="0"/>
          <c:showCatName val="0"/>
          <c:showSerName val="0"/>
          <c:showPercent val="0"/>
          <c:showBubbleSize val="0"/>
        </c:dLbls>
        <c:marker val="1"/>
        <c:smooth val="0"/>
        <c:axId val="432250175"/>
        <c:axId val="1249839696"/>
      </c:lineChart>
      <c:catAx>
        <c:axId val="432250175"/>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39696"/>
        <c:crosses val="autoZero"/>
        <c:auto val="1"/>
        <c:lblAlgn val="ctr"/>
        <c:lblOffset val="100"/>
        <c:noMultiLvlLbl val="0"/>
      </c:catAx>
      <c:valAx>
        <c:axId val="1249839696"/>
        <c:scaling>
          <c:orientation val="minMax"/>
          <c:max val="42"/>
          <c:min val="28"/>
        </c:scaling>
        <c:delete val="0"/>
        <c:axPos val="l"/>
        <c:majorGridlines>
          <c:spPr>
            <a:ln w="9525" cap="flat" cmpd="sng" algn="ctr">
              <a:solidFill>
                <a:schemeClr val="tx1">
                  <a:lumMod val="15000"/>
                  <a:lumOff val="85000"/>
                  <a:alpha val="32000"/>
                </a:schemeClr>
              </a:solidFill>
              <a:round/>
            </a:ln>
            <a:effectLst/>
          </c:spPr>
        </c:majorGridlines>
        <c:numFmt formatCode="&quot;$&quot;#,##0.00;[Red]\-&quot;$&quot;#,##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50175"/>
        <c:crosses val="autoZero"/>
        <c:crossBetween val="between"/>
        <c:majorUnit val="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Kootha</a:t>
            </a:r>
          </a:p>
        </c:rich>
      </c:tx>
      <c:overlay val="0"/>
      <c:spPr>
        <a:noFill/>
        <a:ln>
          <a:noFill/>
        </a:ln>
        <a:effectLst/>
      </c:spPr>
    </c:title>
    <c:autoTitleDeleted val="0"/>
    <c:plotArea>
      <c:layout/>
      <c:lineChart>
        <c:grouping val="standard"/>
        <c:varyColors val="0"/>
        <c:ser>
          <c:idx val="0"/>
          <c:order val="0"/>
          <c:tx>
            <c:v>Actual</c:v>
          </c:tx>
          <c:spPr>
            <a:ln w="38100" cap="flat" cmpd="dbl" algn="ctr">
              <a:solidFill>
                <a:schemeClr val="accent6"/>
              </a:solidFill>
              <a:miter lim="800000"/>
            </a:ln>
            <a:effectLst/>
          </c:spPr>
          <c:marker>
            <c:symbol val="square"/>
            <c:size val="7"/>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18.742832723231448</c:v>
                </c:pt>
                <c:pt idx="1">
                  <c:v>21.93266058189171</c:v>
                </c:pt>
                <c:pt idx="2">
                  <c:v>21.282009505963206</c:v>
                </c:pt>
                <c:pt idx="3">
                  <c:v>20.504969032897609</c:v>
                </c:pt>
                <c:pt idx="4">
                  <c:v>22.386145702756234</c:v>
                </c:pt>
                <c:pt idx="5">
                  <c:v>21.722428671760404</c:v>
                </c:pt>
                <c:pt idx="6">
                  <c:v>21.949977632251699</c:v>
                </c:pt>
                <c:pt idx="7">
                  <c:v>22.082220953941096</c:v>
                </c:pt>
                <c:pt idx="8">
                  <c:v>21.707559358647668</c:v>
                </c:pt>
                <c:pt idx="9">
                  <c:v>21.675000030497188</c:v>
                </c:pt>
                <c:pt idx="10">
                  <c:v>21.783646940063736</c:v>
                </c:pt>
                <c:pt idx="11">
                  <c:v>22.425636564688531</c:v>
                </c:pt>
              </c:numCache>
            </c:numRef>
          </c:val>
          <c:smooth val="0"/>
          <c:extLst>
            <c:ext xmlns:c16="http://schemas.microsoft.com/office/drawing/2014/chart" uri="{C3380CC4-5D6E-409C-BE32-E72D297353CC}">
              <c16:uniqueId val="{00000003-71FC-7B48-BA7E-909DF68D1234}"/>
            </c:ext>
          </c:extLst>
        </c:ser>
        <c:ser>
          <c:idx val="1"/>
          <c:order val="1"/>
          <c:tx>
            <c:v>Budget</c:v>
          </c:tx>
          <c:spPr>
            <a:ln w="38100" cap="flat" cmpd="dbl" algn="ctr">
              <a:solidFill>
                <a:schemeClr val="accent4"/>
              </a:solidFill>
              <a:miter lim="800000"/>
            </a:ln>
            <a:effectLst/>
          </c:spPr>
          <c:marker>
            <c:symbol val="square"/>
            <c:size val="7"/>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17.04699940862529</c:v>
                </c:pt>
                <c:pt idx="1">
                  <c:v>16.466945877140009</c:v>
                </c:pt>
                <c:pt idx="2">
                  <c:v>20.015383122840465</c:v>
                </c:pt>
                <c:pt idx="3">
                  <c:v>19.873962365159006</c:v>
                </c:pt>
                <c:pt idx="4">
                  <c:v>21.754413439694211</c:v>
                </c:pt>
                <c:pt idx="5">
                  <c:v>21.110142247150776</c:v>
                </c:pt>
                <c:pt idx="6">
                  <c:v>20.768764686635688</c:v>
                </c:pt>
                <c:pt idx="7">
                  <c:v>21.095282503707242</c:v>
                </c:pt>
                <c:pt idx="8">
                  <c:v>20.86876622525099</c:v>
                </c:pt>
                <c:pt idx="9">
                  <c:v>20.852818437942567</c:v>
                </c:pt>
                <c:pt idx="10">
                  <c:v>20.838262408469316</c:v>
                </c:pt>
                <c:pt idx="11">
                  <c:v>21.24873453016847</c:v>
                </c:pt>
              </c:numCache>
            </c:numRef>
          </c:val>
          <c:smooth val="0"/>
          <c:extLst>
            <c:ext xmlns:c16="http://schemas.microsoft.com/office/drawing/2014/chart" uri="{C3380CC4-5D6E-409C-BE32-E72D297353CC}">
              <c16:uniqueId val="{00000005-71FC-7B48-BA7E-909DF68D1234}"/>
            </c:ext>
          </c:extLst>
        </c:ser>
        <c:dLbls>
          <c:showLegendKey val="0"/>
          <c:showVal val="0"/>
          <c:showCatName val="0"/>
          <c:showSerName val="0"/>
          <c:showPercent val="0"/>
          <c:showBubbleSize val="0"/>
        </c:dLbls>
        <c:marker val="1"/>
        <c:smooth val="0"/>
        <c:axId val="432250175"/>
        <c:axId val="1249839696"/>
      </c:lineChart>
      <c:catAx>
        <c:axId val="432250175"/>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39696"/>
        <c:crosses val="autoZero"/>
        <c:auto val="1"/>
        <c:lblAlgn val="ctr"/>
        <c:lblOffset val="100"/>
        <c:noMultiLvlLbl val="0"/>
      </c:catAx>
      <c:valAx>
        <c:axId val="1249839696"/>
        <c:scaling>
          <c:orientation val="minMax"/>
          <c:max val="28"/>
          <c:min val="10"/>
        </c:scaling>
        <c:delete val="0"/>
        <c:axPos val="l"/>
        <c:majorGridlines>
          <c:spPr>
            <a:ln w="9525" cap="flat" cmpd="sng" algn="ctr">
              <a:solidFill>
                <a:schemeClr val="tx1">
                  <a:lumMod val="15000"/>
                  <a:lumOff val="85000"/>
                  <a:alpha val="32000"/>
                </a:schemeClr>
              </a:solidFill>
              <a:round/>
            </a:ln>
            <a:effectLst/>
          </c:spPr>
        </c:majorGridlines>
        <c:numFmt formatCode="&quot;$&quot;#,##0.00;[Red]\-&quot;$&quot;#,##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50175"/>
        <c:crosses val="autoZero"/>
        <c:crossBetween val="between"/>
        <c:majorUnit val="2"/>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accent3"/>
      </a:solidFill>
    </a:ln>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SURJEK</a:t>
            </a:r>
          </a:p>
        </c:rich>
      </c:tx>
      <c:overlay val="0"/>
      <c:spPr>
        <a:noFill/>
        <a:ln>
          <a:noFill/>
        </a:ln>
        <a:effectLst/>
      </c:spPr>
    </c:title>
    <c:autoTitleDeleted val="0"/>
    <c:plotArea>
      <c:layout/>
      <c:lineChart>
        <c:grouping val="standard"/>
        <c:varyColors val="0"/>
        <c:ser>
          <c:idx val="0"/>
          <c:order val="0"/>
          <c:tx>
            <c:v>Actual</c:v>
          </c:tx>
          <c:spPr>
            <a:ln w="38100" cap="flat" cmpd="dbl" algn="ctr">
              <a:solidFill>
                <a:schemeClr val="accent6"/>
              </a:solidFill>
              <a:miter lim="800000"/>
            </a:ln>
            <a:effectLst/>
          </c:spPr>
          <c:marker>
            <c:symbol val="square"/>
            <c:size val="7"/>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"$"#,##0.00_);[Red]\("$"#,##0.00\)</c:formatCode>
                <c:ptCount val="12"/>
                <c:pt idx="0">
                  <c:v>57.45487966848652</c:v>
                </c:pt>
                <c:pt idx="1">
                  <c:v>61.392023003463358</c:v>
                </c:pt>
                <c:pt idx="2">
                  <c:v>62.882151555739604</c:v>
                </c:pt>
                <c:pt idx="3">
                  <c:v>63.089544217023779</c:v>
                </c:pt>
                <c:pt idx="4">
                  <c:v>68.065265722846576</c:v>
                </c:pt>
                <c:pt idx="5">
                  <c:v>64.052901793585065</c:v>
                </c:pt>
                <c:pt idx="6">
                  <c:v>59.851811831963715</c:v>
                </c:pt>
                <c:pt idx="7">
                  <c:v>56.785797439154138</c:v>
                </c:pt>
                <c:pt idx="8">
                  <c:v>52.587434391814817</c:v>
                </c:pt>
                <c:pt idx="9">
                  <c:v>51.1409989583574</c:v>
                </c:pt>
                <c:pt idx="10">
                  <c:v>50.508128639335695</c:v>
                </c:pt>
                <c:pt idx="11">
                  <c:v>48.12989502414775</c:v>
                </c:pt>
              </c:numCache>
            </c:numRef>
          </c:val>
          <c:smooth val="0"/>
          <c:extLst>
            <c:ext xmlns:c16="http://schemas.microsoft.com/office/drawing/2014/chart" uri="{C3380CC4-5D6E-409C-BE32-E72D297353CC}">
              <c16:uniqueId val="{00000003-809C-9F42-8CC4-0A9D2E42446F}"/>
            </c:ext>
          </c:extLst>
        </c:ser>
        <c:ser>
          <c:idx val="1"/>
          <c:order val="1"/>
          <c:tx>
            <c:v>Budget</c:v>
          </c:tx>
          <c:spPr>
            <a:ln w="38100" cap="flat" cmpd="dbl" algn="ctr">
              <a:solidFill>
                <a:schemeClr val="accent4"/>
              </a:solidFill>
              <a:miter lim="800000"/>
            </a:ln>
            <a:effectLst/>
          </c:spPr>
          <c:marker>
            <c:symbol val="square"/>
            <c:size val="7"/>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50.974842269269757</c:v>
                </c:pt>
                <c:pt idx="1">
                  <c:v>50.352293319054418</c:v>
                </c:pt>
                <c:pt idx="2">
                  <c:v>57.084362022136041</c:v>
                </c:pt>
                <c:pt idx="3">
                  <c:v>58.172800560238009</c:v>
                </c:pt>
                <c:pt idx="4">
                  <c:v>59.905734944371162</c:v>
                </c:pt>
                <c:pt idx="5">
                  <c:v>58.674878561797556</c:v>
                </c:pt>
                <c:pt idx="6">
                  <c:v>55.458562811382656</c:v>
                </c:pt>
                <c:pt idx="7">
                  <c:v>51.826261147156508</c:v>
                </c:pt>
                <c:pt idx="8">
                  <c:v>49.152453643491768</c:v>
                </c:pt>
                <c:pt idx="9">
                  <c:v>48.209628014707789</c:v>
                </c:pt>
                <c:pt idx="10">
                  <c:v>47.103924844248105</c:v>
                </c:pt>
                <c:pt idx="11">
                  <c:v>46.721094688145094</c:v>
                </c:pt>
              </c:numCache>
            </c:numRef>
          </c:val>
          <c:smooth val="0"/>
          <c:extLst>
            <c:ext xmlns:c16="http://schemas.microsoft.com/office/drawing/2014/chart" uri="{C3380CC4-5D6E-409C-BE32-E72D297353CC}">
              <c16:uniqueId val="{00000005-809C-9F42-8CC4-0A9D2E42446F}"/>
            </c:ext>
          </c:extLst>
        </c:ser>
        <c:dLbls>
          <c:showLegendKey val="0"/>
          <c:showVal val="0"/>
          <c:showCatName val="0"/>
          <c:showSerName val="0"/>
          <c:showPercent val="0"/>
          <c:showBubbleSize val="0"/>
        </c:dLbls>
        <c:marker val="1"/>
        <c:smooth val="0"/>
        <c:axId val="432250175"/>
        <c:axId val="1249839696"/>
      </c:lineChart>
      <c:catAx>
        <c:axId val="432250175"/>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39696"/>
        <c:crosses val="autoZero"/>
        <c:auto val="1"/>
        <c:lblAlgn val="ctr"/>
        <c:lblOffset val="100"/>
        <c:noMultiLvlLbl val="0"/>
      </c:catAx>
      <c:valAx>
        <c:axId val="1249839696"/>
        <c:scaling>
          <c:orientation val="minMax"/>
          <c:max val="70"/>
          <c:min val="44"/>
        </c:scaling>
        <c:delete val="0"/>
        <c:axPos val="l"/>
        <c:majorGridlines>
          <c:spPr>
            <a:ln w="9525" cap="flat" cmpd="sng" algn="ctr">
              <a:solidFill>
                <a:schemeClr val="tx1">
                  <a:lumMod val="15000"/>
                  <a:lumOff val="85000"/>
                  <a:alpha val="32000"/>
                </a:schemeClr>
              </a:solidFill>
              <a:round/>
            </a:ln>
            <a:effectLst/>
          </c:spPr>
        </c:majorGridlines>
        <c:numFmt formatCode="&quot;$&quot;#,##0.00_);[Red]\(&quot;$&quot;#,##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50175"/>
        <c:crosses val="autoZero"/>
        <c:crossBetween val="between"/>
        <c:majorUnit val="2"/>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JUTIK</a:t>
            </a:r>
          </a:p>
        </c:rich>
      </c:tx>
      <c:overlay val="0"/>
      <c:spPr>
        <a:noFill/>
        <a:ln>
          <a:noFill/>
        </a:ln>
        <a:effectLst/>
      </c:spPr>
    </c:title>
    <c:autoTitleDeleted val="0"/>
    <c:plotArea>
      <c:layout/>
      <c:lineChart>
        <c:grouping val="standard"/>
        <c:varyColors val="0"/>
        <c:ser>
          <c:idx val="0"/>
          <c:order val="0"/>
          <c:tx>
            <c:v>Actual</c:v>
          </c:tx>
          <c:spPr>
            <a:ln w="38100" cap="flat" cmpd="dbl" algn="ctr">
              <a:solidFill>
                <a:schemeClr val="accent6"/>
              </a:solidFill>
              <a:miter lim="800000"/>
            </a:ln>
            <a:effectLst/>
          </c:spPr>
          <c:marker>
            <c:symbol val="square"/>
            <c:size val="7"/>
            <c:spPr>
              <a:solidFill>
                <a:schemeClr val="accent1"/>
              </a:solidFill>
              <a:ln w="9525" cap="flat" cmpd="sng" algn="ctr">
                <a:solidFill>
                  <a:schemeClr val="accent1"/>
                </a:solidFill>
                <a:round/>
              </a:ln>
              <a:effectLst/>
            </c:spPr>
          </c:marker>
          <c:dLbls>
            <c:dLbl>
              <c:idx val="3"/>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E27-514F-850D-E3E4204456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21.108831850686485</c:v>
                </c:pt>
                <c:pt idx="1">
                  <c:v>20.730006681609698</c:v>
                </c:pt>
                <c:pt idx="2">
                  <c:v>22.904867459938107</c:v>
                </c:pt>
                <c:pt idx="3">
                  <c:v>23.797484985969422</c:v>
                </c:pt>
                <c:pt idx="4">
                  <c:v>22.932462422344717</c:v>
                </c:pt>
                <c:pt idx="5">
                  <c:v>22.599512536833672</c:v>
                </c:pt>
                <c:pt idx="6">
                  <c:v>21.891972455245735</c:v>
                </c:pt>
                <c:pt idx="7">
                  <c:v>20.902520234693288</c:v>
                </c:pt>
                <c:pt idx="8">
                  <c:v>21.268804321764094</c:v>
                </c:pt>
                <c:pt idx="9">
                  <c:v>21.207781719260886</c:v>
                </c:pt>
                <c:pt idx="10">
                  <c:v>21.45513754910586</c:v>
                </c:pt>
                <c:pt idx="11">
                  <c:v>22.243839787271916</c:v>
                </c:pt>
              </c:numCache>
            </c:numRef>
          </c:val>
          <c:smooth val="0"/>
          <c:extLst>
            <c:ext xmlns:c16="http://schemas.microsoft.com/office/drawing/2014/chart" uri="{C3380CC4-5D6E-409C-BE32-E72D297353CC}">
              <c16:uniqueId val="{00000003-CE27-514F-850D-E3E42044561E}"/>
            </c:ext>
          </c:extLst>
        </c:ser>
        <c:ser>
          <c:idx val="1"/>
          <c:order val="1"/>
          <c:tx>
            <c:v>Budget</c:v>
          </c:tx>
          <c:spPr>
            <a:ln w="38100" cap="flat" cmpd="dbl" algn="ctr">
              <a:solidFill>
                <a:schemeClr val="accent4"/>
              </a:solidFill>
              <a:miter lim="800000"/>
            </a:ln>
            <a:effectLst/>
          </c:spPr>
          <c:marker>
            <c:symbol val="square"/>
            <c:size val="7"/>
            <c:spPr>
              <a:solidFill>
                <a:schemeClr val="accent2"/>
              </a:solidFill>
              <a:ln w="9525" cap="flat" cmpd="sng" algn="ctr">
                <a:solidFill>
                  <a:schemeClr val="accent2"/>
                </a:solidFill>
                <a:round/>
              </a:ln>
              <a:effectLst/>
            </c:spPr>
          </c:marker>
          <c:dLbls>
            <c:dLbl>
              <c:idx val="3"/>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E27-514F-850D-E3E4204456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23.317805303319844</c:v>
                </c:pt>
                <c:pt idx="1">
                  <c:v>23.737093045964045</c:v>
                </c:pt>
                <c:pt idx="2">
                  <c:v>24.198023444754615</c:v>
                </c:pt>
                <c:pt idx="3">
                  <c:v>22.79129462472935</c:v>
                </c:pt>
                <c:pt idx="4">
                  <c:v>24.534325890396293</c:v>
                </c:pt>
                <c:pt idx="5">
                  <c:v>23.584802589056018</c:v>
                </c:pt>
                <c:pt idx="6">
                  <c:v>22.672418171877979</c:v>
                </c:pt>
                <c:pt idx="7">
                  <c:v>21.80395696809768</c:v>
                </c:pt>
                <c:pt idx="8">
                  <c:v>21.71649004462385</c:v>
                </c:pt>
                <c:pt idx="9">
                  <c:v>22.876100999680062</c:v>
                </c:pt>
                <c:pt idx="10">
                  <c:v>23.916952059045812</c:v>
                </c:pt>
                <c:pt idx="11">
                  <c:v>24.554780261657829</c:v>
                </c:pt>
              </c:numCache>
            </c:numRef>
          </c:val>
          <c:smooth val="0"/>
          <c:extLst>
            <c:ext xmlns:c16="http://schemas.microsoft.com/office/drawing/2014/chart" uri="{C3380CC4-5D6E-409C-BE32-E72D297353CC}">
              <c16:uniqueId val="{00000005-CE27-514F-850D-E3E42044561E}"/>
            </c:ext>
          </c:extLst>
        </c:ser>
        <c:dLbls>
          <c:showLegendKey val="0"/>
          <c:showVal val="0"/>
          <c:showCatName val="0"/>
          <c:showSerName val="0"/>
          <c:showPercent val="0"/>
          <c:showBubbleSize val="0"/>
        </c:dLbls>
        <c:marker val="1"/>
        <c:smooth val="0"/>
        <c:axId val="432250175"/>
        <c:axId val="1249839696"/>
      </c:lineChart>
      <c:catAx>
        <c:axId val="432250175"/>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39696"/>
        <c:crosses val="autoZero"/>
        <c:auto val="1"/>
        <c:lblAlgn val="ctr"/>
        <c:lblOffset val="100"/>
        <c:noMultiLvlLbl val="0"/>
      </c:catAx>
      <c:valAx>
        <c:axId val="1249839696"/>
        <c:scaling>
          <c:orientation val="minMax"/>
          <c:max val="30"/>
          <c:min val="18"/>
        </c:scaling>
        <c:delete val="0"/>
        <c:axPos val="l"/>
        <c:majorGridlines>
          <c:spPr>
            <a:ln w="9525" cap="flat" cmpd="sng" algn="ctr">
              <a:solidFill>
                <a:schemeClr val="tx1">
                  <a:lumMod val="15000"/>
                  <a:lumOff val="85000"/>
                  <a:alpha val="32000"/>
                </a:schemeClr>
              </a:solidFill>
              <a:round/>
            </a:ln>
            <a:effectLst/>
          </c:spPr>
        </c:majorGridlines>
        <c:numFmt formatCode="&quot;$&quot;#,##0.00;[Red]\-&quot;$&quot;#,##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50175"/>
        <c:crosses val="autoZero"/>
        <c:crossBetween val="between"/>
        <c:majorUnit val="2"/>
        <c:minorUnit val="0.70000000000000007"/>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Kootha</a:t>
            </a:r>
          </a:p>
        </c:rich>
      </c:tx>
      <c:overlay val="0"/>
      <c:spPr>
        <a:noFill/>
        <a:ln>
          <a:noFill/>
        </a:ln>
        <a:effectLst/>
      </c:spPr>
    </c:title>
    <c:autoTitleDeleted val="0"/>
    <c:plotArea>
      <c:layout/>
      <c:barChart>
        <c:barDir val="col"/>
        <c:grouping val="stacked"/>
        <c:varyColors val="0"/>
        <c:ser>
          <c:idx val="0"/>
          <c:order val="0"/>
          <c:tx>
            <c:v>Actual</c:v>
          </c:tx>
          <c:spPr>
            <a:solidFill>
              <a:schemeClr val="accent6"/>
            </a:solidFill>
            <a:ln w="9525" cap="flat" cmpd="dbl" algn="ctr">
              <a:solidFill>
                <a:schemeClr val="accent6"/>
              </a:solidFill>
              <a:miter lim="800000"/>
            </a:ln>
            <a:effectLst/>
          </c:spPr>
          <c:invertIfNegative val="0"/>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Produce'!$C$8:$N$8</c:f>
              <c:numCache>
                <c:formatCode>"$"#,##0.00;[Red]\-"$"#,##0.00</c:formatCode>
                <c:ptCount val="12"/>
                <c:pt idx="0">
                  <c:v>3355241.0299999896</c:v>
                </c:pt>
                <c:pt idx="1">
                  <c:v>4635971.09</c:v>
                </c:pt>
                <c:pt idx="2">
                  <c:v>3629534.96999999</c:v>
                </c:pt>
                <c:pt idx="3">
                  <c:v>3445023.51</c:v>
                </c:pt>
                <c:pt idx="4">
                  <c:v>3537886.1</c:v>
                </c:pt>
                <c:pt idx="5">
                  <c:v>3402717.4</c:v>
                </c:pt>
                <c:pt idx="6">
                  <c:v>4274662.879999999</c:v>
                </c:pt>
                <c:pt idx="7">
                  <c:v>3598813.38</c:v>
                </c:pt>
                <c:pt idx="8">
                  <c:v>3590616.16</c:v>
                </c:pt>
                <c:pt idx="9">
                  <c:v>3598415.73</c:v>
                </c:pt>
                <c:pt idx="10">
                  <c:v>3821108.75</c:v>
                </c:pt>
                <c:pt idx="11">
                  <c:v>4356345.83</c:v>
                </c:pt>
              </c:numCache>
            </c:numRef>
          </c:val>
          <c:extLst>
            <c:ext xmlns:c16="http://schemas.microsoft.com/office/drawing/2014/chart" uri="{C3380CC4-5D6E-409C-BE32-E72D297353CC}">
              <c16:uniqueId val="{00000000-DAC1-694E-8CA5-F110D464FF69}"/>
            </c:ext>
          </c:extLst>
        </c:ser>
        <c:ser>
          <c:idx val="1"/>
          <c:order val="1"/>
          <c:tx>
            <c:v>Budget</c:v>
          </c:tx>
          <c:spPr>
            <a:ln w="9525" cap="flat" cmpd="dbl" algn="ctr">
              <a:solidFill>
                <a:schemeClr val="accent4"/>
              </a:solidFill>
              <a:miter lim="800000"/>
            </a:ln>
            <a:effectLst/>
          </c:spPr>
          <c:invertIfNegative val="0"/>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Produce'!$C$42:$N$42</c:f>
              <c:numCache>
                <c:formatCode>"$"#,##0.00;[Red]\-"$"#,##0.00</c:formatCode>
                <c:ptCount val="12"/>
                <c:pt idx="0">
                  <c:v>2870946.71</c:v>
                </c:pt>
                <c:pt idx="1">
                  <c:v>2893964.8600000003</c:v>
                </c:pt>
                <c:pt idx="2">
                  <c:v>4946553.25</c:v>
                </c:pt>
                <c:pt idx="3">
                  <c:v>3649852.2800000003</c:v>
                </c:pt>
                <c:pt idx="4">
                  <c:v>3390311.38</c:v>
                </c:pt>
                <c:pt idx="5">
                  <c:v>3296135.35</c:v>
                </c:pt>
                <c:pt idx="6">
                  <c:v>3371678.94</c:v>
                </c:pt>
                <c:pt idx="7">
                  <c:v>3486089.18</c:v>
                </c:pt>
                <c:pt idx="8">
                  <c:v>3420874.4299999997</c:v>
                </c:pt>
                <c:pt idx="9">
                  <c:v>3482686.52</c:v>
                </c:pt>
                <c:pt idx="10">
                  <c:v>3359577.0700000003</c:v>
                </c:pt>
                <c:pt idx="11">
                  <c:v>3881716.73</c:v>
                </c:pt>
              </c:numCache>
            </c:numRef>
          </c:val>
          <c:extLst>
            <c:ext xmlns:c16="http://schemas.microsoft.com/office/drawing/2014/chart" uri="{C3380CC4-5D6E-409C-BE32-E72D297353CC}">
              <c16:uniqueId val="{00000001-DAC1-694E-8CA5-F110D464FF69}"/>
            </c:ext>
          </c:extLst>
        </c:ser>
        <c:dLbls>
          <c:showLegendKey val="0"/>
          <c:showVal val="0"/>
          <c:showCatName val="0"/>
          <c:showSerName val="0"/>
          <c:showPercent val="0"/>
          <c:showBubbleSize val="0"/>
        </c:dLbls>
        <c:gapWidth val="150"/>
        <c:overlap val="100"/>
        <c:axId val="432250175"/>
        <c:axId val="1249839696"/>
      </c:barChart>
      <c:catAx>
        <c:axId val="432250175"/>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39696"/>
        <c:crosses val="autoZero"/>
        <c:auto val="1"/>
        <c:lblAlgn val="ctr"/>
        <c:lblOffset val="100"/>
        <c:noMultiLvlLbl val="0"/>
      </c:catAx>
      <c:valAx>
        <c:axId val="1249839696"/>
        <c:scaling>
          <c:orientation val="minMax"/>
          <c:max val="9000000"/>
          <c:min val="2500000"/>
        </c:scaling>
        <c:delete val="0"/>
        <c:axPos val="l"/>
        <c:majorGridlines>
          <c:spPr>
            <a:ln w="9525" cap="flat" cmpd="sng" algn="ctr">
              <a:solidFill>
                <a:schemeClr val="tx1">
                  <a:lumMod val="15000"/>
                  <a:lumOff val="85000"/>
                  <a:alpha val="32000"/>
                </a:schemeClr>
              </a:solidFill>
              <a:round/>
            </a:ln>
            <a:effectLst/>
          </c:spPr>
        </c:majorGridlines>
        <c:numFmt formatCode="&quot;$&quot;#,##0.00;[Red]\-&quot;$&quot;#,##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50175"/>
        <c:crosses val="autoZero"/>
        <c:crossBetween val="between"/>
        <c:majorUnit val="500000"/>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accent3"/>
      </a:solidFill>
    </a:ln>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Overall </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stacked"/>
        <c:varyColors val="0"/>
        <c:ser>
          <c:idx val="0"/>
          <c:order val="0"/>
          <c:tx>
            <c:v>Actual</c:v>
          </c:tx>
          <c:spPr>
            <a:solidFill>
              <a:schemeClr val="accent6"/>
            </a:solidFill>
            <a:ln>
              <a:solidFill>
                <a:schemeClr val="accent6"/>
              </a:solidFill>
            </a:ln>
            <a:effectLst/>
          </c:spPr>
          <c:invertIfNegative val="0"/>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Produce'!$C$32:$N$32</c:f>
              <c:numCache>
                <c:formatCode>"$"#,##0.00;[Red]\-"$"#,##0.00</c:formatCode>
                <c:ptCount val="12"/>
                <c:pt idx="0">
                  <c:v>19933122.77999999</c:v>
                </c:pt>
                <c:pt idx="1">
                  <c:v>22503896.370000001</c:v>
                </c:pt>
                <c:pt idx="2">
                  <c:v>23089363.00999999</c:v>
                </c:pt>
                <c:pt idx="3">
                  <c:v>26762248.57</c:v>
                </c:pt>
                <c:pt idx="4">
                  <c:v>27680853.149999999</c:v>
                </c:pt>
                <c:pt idx="5">
                  <c:v>16659692.230000002</c:v>
                </c:pt>
                <c:pt idx="6">
                  <c:v>17060488.77</c:v>
                </c:pt>
                <c:pt idx="7">
                  <c:v>17650757.789999999</c:v>
                </c:pt>
                <c:pt idx="8">
                  <c:v>17735456.25</c:v>
                </c:pt>
                <c:pt idx="9">
                  <c:v>16787821.260000002</c:v>
                </c:pt>
                <c:pt idx="10">
                  <c:v>19532917.230000004</c:v>
                </c:pt>
                <c:pt idx="11">
                  <c:v>15873220.780000001</c:v>
                </c:pt>
              </c:numCache>
            </c:numRef>
          </c:val>
          <c:extLst>
            <c:ext xmlns:c16="http://schemas.microsoft.com/office/drawing/2014/chart" uri="{C3380CC4-5D6E-409C-BE32-E72D297353CC}">
              <c16:uniqueId val="{00000000-DACA-1C41-9E85-FCBFB8337C38}"/>
            </c:ext>
          </c:extLst>
        </c:ser>
        <c:ser>
          <c:idx val="1"/>
          <c:order val="1"/>
          <c:tx>
            <c:v>Budget</c:v>
          </c:tx>
          <c:spPr>
            <a:solidFill>
              <a:schemeClr val="accent2"/>
            </a:solidFill>
            <a:ln>
              <a:solidFill>
                <a:schemeClr val="accent4"/>
              </a:solidFill>
            </a:ln>
            <a:effectLst/>
          </c:spPr>
          <c:invertIfNegative val="0"/>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Produce'!$C$66:$N$66</c:f>
              <c:numCache>
                <c:formatCode>"$"#,##0.00;[Red]\-"$"#,##0.00</c:formatCode>
                <c:ptCount val="12"/>
                <c:pt idx="0">
                  <c:v>18333234.599999998</c:v>
                </c:pt>
                <c:pt idx="1">
                  <c:v>18175809.440000001</c:v>
                </c:pt>
                <c:pt idx="2">
                  <c:v>24520840.240000002</c:v>
                </c:pt>
                <c:pt idx="3">
                  <c:v>24546501.299999997</c:v>
                </c:pt>
                <c:pt idx="4">
                  <c:v>26304420.650000002</c:v>
                </c:pt>
                <c:pt idx="5">
                  <c:v>17038222.419999998</c:v>
                </c:pt>
                <c:pt idx="6">
                  <c:v>15566958.25</c:v>
                </c:pt>
                <c:pt idx="7">
                  <c:v>15139947.07</c:v>
                </c:pt>
                <c:pt idx="8">
                  <c:v>16394331.83</c:v>
                </c:pt>
                <c:pt idx="9">
                  <c:v>18260204.530000001</c:v>
                </c:pt>
                <c:pt idx="10">
                  <c:v>18516572.860000003</c:v>
                </c:pt>
                <c:pt idx="11">
                  <c:v>20655581.139999997</c:v>
                </c:pt>
              </c:numCache>
            </c:numRef>
          </c:val>
          <c:extLst>
            <c:ext xmlns:c16="http://schemas.microsoft.com/office/drawing/2014/chart" uri="{C3380CC4-5D6E-409C-BE32-E72D297353CC}">
              <c16:uniqueId val="{00000001-DACA-1C41-9E85-FCBFB8337C38}"/>
            </c:ext>
          </c:extLst>
        </c:ser>
        <c:dLbls>
          <c:showLegendKey val="0"/>
          <c:showVal val="0"/>
          <c:showCatName val="0"/>
          <c:showSerName val="0"/>
          <c:showPercent val="0"/>
          <c:showBubbleSize val="0"/>
        </c:dLbls>
        <c:gapWidth val="150"/>
        <c:overlap val="100"/>
        <c:axId val="432250175"/>
        <c:axId val="1249839696"/>
      </c:barChart>
      <c:catAx>
        <c:axId val="432250175"/>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39696"/>
        <c:crosses val="autoZero"/>
        <c:auto val="1"/>
        <c:lblAlgn val="ctr"/>
        <c:lblOffset val="100"/>
        <c:noMultiLvlLbl val="0"/>
      </c:catAx>
      <c:valAx>
        <c:axId val="1249839696"/>
        <c:scaling>
          <c:orientation val="minMax"/>
          <c:max val="55000000"/>
          <c:min val="10000000"/>
        </c:scaling>
        <c:delete val="0"/>
        <c:axPos val="l"/>
        <c:majorGridlines>
          <c:spPr>
            <a:ln w="9525" cap="flat" cmpd="sng" algn="ctr">
              <a:solidFill>
                <a:schemeClr val="tx1">
                  <a:lumMod val="15000"/>
                  <a:lumOff val="85000"/>
                  <a:alpha val="32000"/>
                </a:schemeClr>
              </a:solidFill>
              <a:round/>
            </a:ln>
            <a:effectLst/>
          </c:spPr>
        </c:majorGridlines>
        <c:numFmt formatCode="&quot;$&quot;#,##0.00;[Red]\-&quot;$&quot;#,##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50175"/>
        <c:crosses val="autoZero"/>
        <c:crossBetween val="between"/>
        <c:majorUnit val="5000000"/>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SURJEK</a:t>
            </a:r>
          </a:p>
        </c:rich>
      </c:tx>
      <c:overlay val="0"/>
      <c:spPr>
        <a:noFill/>
        <a:ln>
          <a:noFill/>
        </a:ln>
        <a:effectLst/>
      </c:spPr>
    </c:title>
    <c:autoTitleDeleted val="0"/>
    <c:plotArea>
      <c:layout/>
      <c:barChart>
        <c:barDir val="col"/>
        <c:grouping val="stacked"/>
        <c:varyColors val="0"/>
        <c:ser>
          <c:idx val="0"/>
          <c:order val="0"/>
          <c:tx>
            <c:v>Actual</c:v>
          </c:tx>
          <c:spPr>
            <a:solidFill>
              <a:schemeClr val="accent6"/>
            </a:solidFill>
            <a:ln w="9525" cap="flat" cmpd="dbl" algn="ctr">
              <a:solidFill>
                <a:schemeClr val="accent6"/>
              </a:solidFill>
              <a:miter lim="800000"/>
            </a:ln>
            <a:effectLst/>
          </c:spPr>
          <c:invertIfNegative val="0"/>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Produce'!$C$16:$N$16</c:f>
              <c:numCache>
                <c:formatCode>"$"#,##0.00;[Red]\-"$"#,##0.00</c:formatCode>
                <c:ptCount val="12"/>
                <c:pt idx="0">
                  <c:v>11422413.93</c:v>
                </c:pt>
                <c:pt idx="1">
                  <c:v>13760706</c:v>
                </c:pt>
                <c:pt idx="2">
                  <c:v>13907840.720000001</c:v>
                </c:pt>
                <c:pt idx="3">
                  <c:v>18647198.620000001</c:v>
                </c:pt>
                <c:pt idx="4">
                  <c:v>20171698.659999996</c:v>
                </c:pt>
                <c:pt idx="5">
                  <c:v>10312374.780000001</c:v>
                </c:pt>
                <c:pt idx="6">
                  <c:v>9642006.7300000004</c:v>
                </c:pt>
                <c:pt idx="7">
                  <c:v>11352257.67</c:v>
                </c:pt>
                <c:pt idx="8">
                  <c:v>10349340.02</c:v>
                </c:pt>
                <c:pt idx="9">
                  <c:v>11122716.970000001</c:v>
                </c:pt>
                <c:pt idx="10">
                  <c:v>13043106.200000001</c:v>
                </c:pt>
                <c:pt idx="11">
                  <c:v>6755372.5199999996</c:v>
                </c:pt>
              </c:numCache>
            </c:numRef>
          </c:val>
          <c:extLst>
            <c:ext xmlns:c16="http://schemas.microsoft.com/office/drawing/2014/chart" uri="{C3380CC4-5D6E-409C-BE32-E72D297353CC}">
              <c16:uniqueId val="{00000000-8689-CD4A-9FA9-AD049130BA3B}"/>
            </c:ext>
          </c:extLst>
        </c:ser>
        <c:ser>
          <c:idx val="1"/>
          <c:order val="1"/>
          <c:tx>
            <c:v>Budget</c:v>
          </c:tx>
          <c:spPr>
            <a:ln w="9525" cap="flat" cmpd="dbl" algn="ctr">
              <a:solidFill>
                <a:schemeClr val="accent4"/>
              </a:solidFill>
              <a:miter lim="800000"/>
            </a:ln>
            <a:effectLst/>
          </c:spPr>
          <c:invertIfNegative val="0"/>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Produce'!$C$50:$N$50</c:f>
              <c:numCache>
                <c:formatCode>"$"#,##0.00;[Red]\-"$"#,##0.00</c:formatCode>
                <c:ptCount val="12"/>
                <c:pt idx="0">
                  <c:v>10156042.75</c:v>
                </c:pt>
                <c:pt idx="1">
                  <c:v>10507931.76</c:v>
                </c:pt>
                <c:pt idx="2">
                  <c:v>14876453.26</c:v>
                </c:pt>
                <c:pt idx="3">
                  <c:v>17913936.32</c:v>
                </c:pt>
                <c:pt idx="4">
                  <c:v>16602328.669999998</c:v>
                </c:pt>
                <c:pt idx="5">
                  <c:v>11716587.91</c:v>
                </c:pt>
                <c:pt idx="6">
                  <c:v>8737662.6500000004</c:v>
                </c:pt>
                <c:pt idx="7">
                  <c:v>8769854.0099999998</c:v>
                </c:pt>
                <c:pt idx="8">
                  <c:v>10564946.010000002</c:v>
                </c:pt>
                <c:pt idx="9">
                  <c:v>10222269.529999999</c:v>
                </c:pt>
                <c:pt idx="10">
                  <c:v>10608268.550000001</c:v>
                </c:pt>
                <c:pt idx="11">
                  <c:v>12229507.550000001</c:v>
                </c:pt>
              </c:numCache>
            </c:numRef>
          </c:val>
          <c:extLst>
            <c:ext xmlns:c16="http://schemas.microsoft.com/office/drawing/2014/chart" uri="{C3380CC4-5D6E-409C-BE32-E72D297353CC}">
              <c16:uniqueId val="{00000001-8689-CD4A-9FA9-AD049130BA3B}"/>
            </c:ext>
          </c:extLst>
        </c:ser>
        <c:dLbls>
          <c:showLegendKey val="0"/>
          <c:showVal val="0"/>
          <c:showCatName val="0"/>
          <c:showSerName val="0"/>
          <c:showPercent val="0"/>
          <c:showBubbleSize val="0"/>
        </c:dLbls>
        <c:gapWidth val="150"/>
        <c:overlap val="100"/>
        <c:axId val="432250175"/>
        <c:axId val="1249839696"/>
      </c:barChart>
      <c:catAx>
        <c:axId val="432250175"/>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39696"/>
        <c:crosses val="autoZero"/>
        <c:auto val="1"/>
        <c:lblAlgn val="ctr"/>
        <c:lblOffset val="100"/>
        <c:noMultiLvlLbl val="0"/>
      </c:catAx>
      <c:valAx>
        <c:axId val="1249839696"/>
        <c:scaling>
          <c:orientation val="minMax"/>
          <c:max val="40000000"/>
          <c:min val="7000000"/>
        </c:scaling>
        <c:delete val="0"/>
        <c:axPos val="l"/>
        <c:majorGridlines>
          <c:spPr>
            <a:ln w="9525" cap="flat" cmpd="sng" algn="ctr">
              <a:solidFill>
                <a:schemeClr val="tx1">
                  <a:lumMod val="15000"/>
                  <a:lumOff val="85000"/>
                  <a:alpha val="32000"/>
                </a:schemeClr>
              </a:solidFill>
              <a:round/>
            </a:ln>
            <a:effectLst/>
          </c:spPr>
        </c:majorGridlines>
        <c:numFmt formatCode="&quot;$&quot;#,##0.00;[Red]\-&quot;$&quot;#,##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50175"/>
        <c:crosses val="autoZero"/>
        <c:crossBetween val="between"/>
        <c:majorUnit val="2500000"/>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JUTIK</a:t>
            </a:r>
          </a:p>
        </c:rich>
      </c:tx>
      <c:overlay val="0"/>
      <c:spPr>
        <a:noFill/>
        <a:ln>
          <a:noFill/>
        </a:ln>
        <a:effectLst/>
      </c:spPr>
    </c:title>
    <c:autoTitleDeleted val="0"/>
    <c:plotArea>
      <c:layout/>
      <c:barChart>
        <c:barDir val="col"/>
        <c:grouping val="stacked"/>
        <c:varyColors val="0"/>
        <c:ser>
          <c:idx val="0"/>
          <c:order val="0"/>
          <c:tx>
            <c:v>Actual</c:v>
          </c:tx>
          <c:spPr>
            <a:solidFill>
              <a:schemeClr val="accent6"/>
            </a:solidFill>
            <a:ln w="9525" cap="flat" cmpd="dbl" algn="ctr">
              <a:solidFill>
                <a:schemeClr val="accent6"/>
              </a:solidFill>
              <a:miter lim="800000"/>
            </a:ln>
            <a:effectLst/>
          </c:spPr>
          <c:invertIfNegative val="0"/>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Produce'!$C$24:$N$24</c:f>
              <c:numCache>
                <c:formatCode>"$"#,##0.00;[Red]\-"$"#,##0.00</c:formatCode>
                <c:ptCount val="12"/>
                <c:pt idx="0">
                  <c:v>5155467.82</c:v>
                </c:pt>
                <c:pt idx="1">
                  <c:v>4107219.28</c:v>
                </c:pt>
                <c:pt idx="2">
                  <c:v>5551987.3199999994</c:v>
                </c:pt>
                <c:pt idx="3">
                  <c:v>4670026.4399999995</c:v>
                </c:pt>
                <c:pt idx="4">
                  <c:v>3971268.39</c:v>
                </c:pt>
                <c:pt idx="5">
                  <c:v>2944600.0500000003</c:v>
                </c:pt>
                <c:pt idx="6">
                  <c:v>3143819.16</c:v>
                </c:pt>
                <c:pt idx="7">
                  <c:v>2699686.7399999998</c:v>
                </c:pt>
                <c:pt idx="8">
                  <c:v>3795500.0700000003</c:v>
                </c:pt>
                <c:pt idx="9">
                  <c:v>2066688.56</c:v>
                </c:pt>
                <c:pt idx="10">
                  <c:v>2668702.2799999993</c:v>
                </c:pt>
                <c:pt idx="11">
                  <c:v>4761502.4300000006</c:v>
                </c:pt>
              </c:numCache>
            </c:numRef>
          </c:val>
          <c:extLst>
            <c:ext xmlns:c16="http://schemas.microsoft.com/office/drawing/2014/chart" uri="{C3380CC4-5D6E-409C-BE32-E72D297353CC}">
              <c16:uniqueId val="{00000001-5311-4D46-89A2-2C570AEE9945}"/>
            </c:ext>
          </c:extLst>
        </c:ser>
        <c:ser>
          <c:idx val="1"/>
          <c:order val="1"/>
          <c:tx>
            <c:v>Budget</c:v>
          </c:tx>
          <c:spPr>
            <a:ln w="9525" cap="flat" cmpd="dbl" algn="ctr">
              <a:solidFill>
                <a:schemeClr val="accent4"/>
              </a:solidFill>
              <a:miter lim="800000"/>
            </a:ln>
            <a:effectLst/>
          </c:spPr>
          <c:invertIfNegative val="0"/>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Produce'!$C$58:$N$58</c:f>
              <c:numCache>
                <c:formatCode>"$"#,##0.00;[Red]\-"$"#,##0.00</c:formatCode>
                <c:ptCount val="12"/>
                <c:pt idx="0">
                  <c:v>5306245.1399999997</c:v>
                </c:pt>
                <c:pt idx="1">
                  <c:v>4773912.8199999994</c:v>
                </c:pt>
                <c:pt idx="2">
                  <c:v>4697833.7299999995</c:v>
                </c:pt>
                <c:pt idx="3">
                  <c:v>2982712.6999999997</c:v>
                </c:pt>
                <c:pt idx="4">
                  <c:v>6311780.6000000006</c:v>
                </c:pt>
                <c:pt idx="5">
                  <c:v>2025499.16</c:v>
                </c:pt>
                <c:pt idx="6">
                  <c:v>3457616.66</c:v>
                </c:pt>
                <c:pt idx="7">
                  <c:v>2884003.88</c:v>
                </c:pt>
                <c:pt idx="8">
                  <c:v>2408511.39</c:v>
                </c:pt>
                <c:pt idx="9">
                  <c:v>4555248.4799999995</c:v>
                </c:pt>
                <c:pt idx="10">
                  <c:v>4548727.24</c:v>
                </c:pt>
                <c:pt idx="11">
                  <c:v>4544356.8599999994</c:v>
                </c:pt>
              </c:numCache>
            </c:numRef>
          </c:val>
          <c:extLst>
            <c:ext xmlns:c16="http://schemas.microsoft.com/office/drawing/2014/chart" uri="{C3380CC4-5D6E-409C-BE32-E72D297353CC}">
              <c16:uniqueId val="{00000003-5311-4D46-89A2-2C570AEE9945}"/>
            </c:ext>
          </c:extLst>
        </c:ser>
        <c:dLbls>
          <c:showLegendKey val="0"/>
          <c:showVal val="0"/>
          <c:showCatName val="0"/>
          <c:showSerName val="0"/>
          <c:showPercent val="0"/>
          <c:showBubbleSize val="0"/>
        </c:dLbls>
        <c:gapWidth val="150"/>
        <c:overlap val="100"/>
        <c:axId val="432250175"/>
        <c:axId val="1249839696"/>
      </c:barChart>
      <c:catAx>
        <c:axId val="432250175"/>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39696"/>
        <c:crosses val="autoZero"/>
        <c:auto val="1"/>
        <c:lblAlgn val="ctr"/>
        <c:lblOffset val="100"/>
        <c:noMultiLvlLbl val="0"/>
      </c:catAx>
      <c:valAx>
        <c:axId val="1249839696"/>
        <c:scaling>
          <c:orientation val="minMax"/>
          <c:max val="11000000"/>
          <c:min val="1500000"/>
        </c:scaling>
        <c:delete val="0"/>
        <c:axPos val="l"/>
        <c:majorGridlines>
          <c:spPr>
            <a:ln w="9525" cap="flat" cmpd="sng" algn="ctr">
              <a:solidFill>
                <a:schemeClr val="tx1">
                  <a:lumMod val="15000"/>
                  <a:lumOff val="85000"/>
                  <a:alpha val="32000"/>
                </a:schemeClr>
              </a:solidFill>
              <a:round/>
            </a:ln>
            <a:effectLst/>
          </c:spPr>
        </c:majorGridlines>
        <c:numFmt formatCode="&quot;$&quot;#,##0.00;[Red]\-&quot;$&quot;#,##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50175"/>
        <c:crosses val="autoZero"/>
        <c:crossBetween val="between"/>
        <c:majorUnit val="750000"/>
        <c:minorUnit val="0.70000000000000007"/>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Kootha Plant EBIT</a:t>
            </a:r>
          </a:p>
        </c:rich>
      </c:tx>
      <c:overlay val="0"/>
      <c:spPr>
        <a:noFill/>
        <a:ln>
          <a:noFill/>
        </a:ln>
        <a:effectLst/>
      </c:spPr>
    </c:title>
    <c:autoTitleDeleted val="0"/>
    <c:plotArea>
      <c:layout/>
      <c:lineChart>
        <c:grouping val="standard"/>
        <c:varyColors val="0"/>
        <c:ser>
          <c:idx val="0"/>
          <c:order val="0"/>
          <c:tx>
            <c:v>Actual</c:v>
          </c:tx>
          <c:spPr>
            <a:ln w="38100" cap="flat" cmpd="dbl" algn="ctr">
              <a:solidFill>
                <a:schemeClr val="accent6"/>
              </a:solidFill>
              <a:miter lim="800000"/>
            </a:ln>
            <a:effectLst/>
          </c:spPr>
          <c:marker>
            <c:symbol val="square"/>
            <c:size val="5"/>
            <c:spPr>
              <a:solidFill>
                <a:schemeClr val="accent1"/>
              </a:solidFill>
              <a:ln w="9525" cap="flat" cmpd="sng" algn="ctr">
                <a:solidFill>
                  <a:schemeClr val="accent1"/>
                </a:solidFill>
                <a:round/>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5050444.6000000108</c:v>
                </c:pt>
                <c:pt idx="1">
                  <c:v>3458379.4399999995</c:v>
                </c:pt>
                <c:pt idx="2">
                  <c:v>3839682.26000001</c:v>
                </c:pt>
                <c:pt idx="3">
                  <c:v>3976825.3</c:v>
                </c:pt>
                <c:pt idx="4">
                  <c:v>4293385.9399999995</c:v>
                </c:pt>
                <c:pt idx="5">
                  <c:v>4234069.25</c:v>
                </c:pt>
                <c:pt idx="6">
                  <c:v>6841506.4900000002</c:v>
                </c:pt>
                <c:pt idx="7">
                  <c:v>6231843.8199999994</c:v>
                </c:pt>
                <c:pt idx="8">
                  <c:v>6794153.2699999996</c:v>
                </c:pt>
                <c:pt idx="9">
                  <c:v>3978411.3600000008</c:v>
                </c:pt>
                <c:pt idx="10">
                  <c:v>3834317.4299999997</c:v>
                </c:pt>
                <c:pt idx="11">
                  <c:v>2995697.51</c:v>
                </c:pt>
              </c:numCache>
            </c:numRef>
          </c:val>
          <c:smooth val="0"/>
          <c:extLst>
            <c:ext xmlns:c16="http://schemas.microsoft.com/office/drawing/2014/chart" uri="{C3380CC4-5D6E-409C-BE32-E72D297353CC}">
              <c16:uniqueId val="{00000005-14A0-5F4A-AAAE-2D23FA2344B8}"/>
            </c:ext>
          </c:extLst>
        </c:ser>
        <c:ser>
          <c:idx val="1"/>
          <c:order val="1"/>
          <c:tx>
            <c:v>Budget</c:v>
          </c:tx>
          <c:spPr>
            <a:ln w="38100" cap="flat" cmpd="dbl" algn="ctr">
              <a:solidFill>
                <a:schemeClr val="accent4"/>
              </a:solidFill>
              <a:miter lim="800000"/>
            </a:ln>
            <a:effectLst/>
          </c:spPr>
          <c:marker>
            <c:symbol val="square"/>
            <c:size val="5"/>
            <c:spPr>
              <a:solidFill>
                <a:schemeClr val="accent2"/>
              </a:solidFill>
              <a:ln w="9525" cap="flat" cmpd="sng" algn="ctr">
                <a:solidFill>
                  <a:schemeClr val="accent2"/>
                </a:solidFill>
                <a:round/>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EBIT!$C$40:$N$40</c:f>
              <c:numCache>
                <c:formatCode>"$"#,##0.00;[Red]\-"$"#,##0.00</c:formatCode>
                <c:ptCount val="12"/>
                <c:pt idx="0">
                  <c:v>5282428.99</c:v>
                </c:pt>
                <c:pt idx="1">
                  <c:v>3014314.84</c:v>
                </c:pt>
                <c:pt idx="2">
                  <c:v>937282.71</c:v>
                </c:pt>
                <c:pt idx="3">
                  <c:v>695698.95000000019</c:v>
                </c:pt>
                <c:pt idx="4">
                  <c:v>3800344.8500000006</c:v>
                </c:pt>
                <c:pt idx="5">
                  <c:v>4645081.8800000008</c:v>
                </c:pt>
                <c:pt idx="6">
                  <c:v>7033013.290000001</c:v>
                </c:pt>
                <c:pt idx="7">
                  <c:v>6182775.0500000007</c:v>
                </c:pt>
                <c:pt idx="8">
                  <c:v>6958599.8000000007</c:v>
                </c:pt>
                <c:pt idx="9">
                  <c:v>4551309.7100000009</c:v>
                </c:pt>
                <c:pt idx="10">
                  <c:v>4048270.16</c:v>
                </c:pt>
                <c:pt idx="11">
                  <c:v>4074116.5000000005</c:v>
                </c:pt>
              </c:numCache>
            </c:numRef>
          </c:val>
          <c:smooth val="0"/>
          <c:extLst>
            <c:ext xmlns:c16="http://schemas.microsoft.com/office/drawing/2014/chart" uri="{C3380CC4-5D6E-409C-BE32-E72D297353CC}">
              <c16:uniqueId val="{00000007-14A0-5F4A-AAAE-2D23FA2344B8}"/>
            </c:ext>
          </c:extLst>
        </c:ser>
        <c:dLbls>
          <c:showLegendKey val="0"/>
          <c:showVal val="0"/>
          <c:showCatName val="0"/>
          <c:showSerName val="0"/>
          <c:showPercent val="0"/>
          <c:showBubbleSize val="0"/>
        </c:dLbls>
        <c:marker val="1"/>
        <c:smooth val="0"/>
        <c:axId val="432250175"/>
        <c:axId val="1249839696"/>
      </c:lineChart>
      <c:catAx>
        <c:axId val="432250175"/>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39696"/>
        <c:crosses val="autoZero"/>
        <c:auto val="1"/>
        <c:lblAlgn val="ctr"/>
        <c:lblOffset val="100"/>
        <c:noMultiLvlLbl val="0"/>
      </c:catAx>
      <c:valAx>
        <c:axId val="1249839696"/>
        <c:scaling>
          <c:orientation val="minMax"/>
          <c:max val="8000000"/>
          <c:min val="0"/>
        </c:scaling>
        <c:delete val="0"/>
        <c:axPos val="l"/>
        <c:majorGridlines>
          <c:spPr>
            <a:ln w="9525" cap="flat" cmpd="sng" algn="ctr">
              <a:solidFill>
                <a:schemeClr val="tx1">
                  <a:lumMod val="15000"/>
                  <a:lumOff val="85000"/>
                  <a:alpha val="32000"/>
                </a:schemeClr>
              </a:solidFill>
              <a:round/>
            </a:ln>
            <a:effectLst/>
          </c:spPr>
        </c:majorGridlines>
        <c:numFmt formatCode="&quot;$&quot;#,##0.00;[Red]\-&quot;$&quot;#,##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50175"/>
        <c:crosses val="autoZero"/>
        <c:crossBetween val="between"/>
        <c:majorUnit val="1000000"/>
        <c:minorUnit val="400000"/>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accent3"/>
      </a:solidFill>
    </a:ln>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Surjek Plant EBIT</a:t>
            </a:r>
          </a:p>
        </c:rich>
      </c:tx>
      <c:overlay val="0"/>
      <c:spPr>
        <a:noFill/>
        <a:ln>
          <a:noFill/>
        </a:ln>
        <a:effectLst/>
      </c:spPr>
    </c:title>
    <c:autoTitleDeleted val="0"/>
    <c:plotArea>
      <c:layout/>
      <c:lineChart>
        <c:grouping val="standard"/>
        <c:varyColors val="0"/>
        <c:ser>
          <c:idx val="0"/>
          <c:order val="0"/>
          <c:tx>
            <c:v>Actual</c:v>
          </c:tx>
          <c:spPr>
            <a:ln w="38100" cap="flat" cmpd="dbl" algn="ctr">
              <a:solidFill>
                <a:schemeClr val="accent6"/>
              </a:solidFill>
              <a:miter lim="800000"/>
            </a:ln>
            <a:effectLst/>
          </c:spPr>
          <c:marker>
            <c:symbol val="square"/>
            <c:size val="5"/>
            <c:spPr>
              <a:solidFill>
                <a:schemeClr val="accent1"/>
              </a:solidFill>
              <a:ln w="9525" cap="flat" cmpd="sng" algn="ctr">
                <a:solidFill>
                  <a:schemeClr val="accent1"/>
                </a:solidFill>
                <a:round/>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7542994.7699999996</c:v>
                </c:pt>
                <c:pt idx="1">
                  <c:v>2007339.42</c:v>
                </c:pt>
                <c:pt idx="2">
                  <c:v>4357781.41</c:v>
                </c:pt>
                <c:pt idx="3">
                  <c:v>-1327482.6700000055</c:v>
                </c:pt>
                <c:pt idx="4">
                  <c:v>-4467368.6899999958</c:v>
                </c:pt>
                <c:pt idx="5">
                  <c:v>6734853.3199999984</c:v>
                </c:pt>
                <c:pt idx="6">
                  <c:v>15534470.68</c:v>
                </c:pt>
                <c:pt idx="7">
                  <c:v>11502060.09</c:v>
                </c:pt>
                <c:pt idx="8">
                  <c:v>11657393.350000001</c:v>
                </c:pt>
                <c:pt idx="9">
                  <c:v>7147213.4400000013</c:v>
                </c:pt>
                <c:pt idx="10">
                  <c:v>3584267.9000000004</c:v>
                </c:pt>
                <c:pt idx="11">
                  <c:v>11128380.07</c:v>
                </c:pt>
              </c:numCache>
            </c:numRef>
          </c:val>
          <c:smooth val="0"/>
          <c:extLst>
            <c:ext xmlns:c16="http://schemas.microsoft.com/office/drawing/2014/chart" uri="{C3380CC4-5D6E-409C-BE32-E72D297353CC}">
              <c16:uniqueId val="{00000001-78D3-B046-BED1-F46F510A3255}"/>
            </c:ext>
          </c:extLst>
        </c:ser>
        <c:ser>
          <c:idx val="1"/>
          <c:order val="1"/>
          <c:tx>
            <c:v>Budget</c:v>
          </c:tx>
          <c:spPr>
            <a:ln w="38100" cap="flat" cmpd="dbl" algn="ctr">
              <a:solidFill>
                <a:schemeClr val="accent4"/>
              </a:solidFill>
              <a:miter lim="800000"/>
            </a:ln>
            <a:effectLst/>
          </c:spPr>
          <c:marker>
            <c:symbol val="square"/>
            <c:size val="5"/>
            <c:spPr>
              <a:solidFill>
                <a:schemeClr val="accent2"/>
              </a:solidFill>
              <a:ln w="9525" cap="flat" cmpd="sng" algn="ctr">
                <a:solidFill>
                  <a:schemeClr val="accent2"/>
                </a:solidFill>
                <a:round/>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EBIT!$C$48:$N$48</c:f>
              <c:numCache>
                <c:formatCode>"$"#,##0.00;[Red]\-"$"#,##0.00</c:formatCode>
                <c:ptCount val="12"/>
                <c:pt idx="0">
                  <c:v>5734764.2700000014</c:v>
                </c:pt>
                <c:pt idx="1">
                  <c:v>3779140.0200000014</c:v>
                </c:pt>
                <c:pt idx="2">
                  <c:v>-613667.44999999925</c:v>
                </c:pt>
                <c:pt idx="3">
                  <c:v>-5747396.8399999999</c:v>
                </c:pt>
                <c:pt idx="4">
                  <c:v>-3523025.089999998</c:v>
                </c:pt>
                <c:pt idx="5">
                  <c:v>380758.06000000052</c:v>
                </c:pt>
                <c:pt idx="6">
                  <c:v>8082244.7800000031</c:v>
                </c:pt>
                <c:pt idx="7">
                  <c:v>7071588.6400000025</c:v>
                </c:pt>
                <c:pt idx="8">
                  <c:v>4321776.8199999984</c:v>
                </c:pt>
                <c:pt idx="9">
                  <c:v>8171766.6200000029</c:v>
                </c:pt>
                <c:pt idx="10">
                  <c:v>5828325.3200000003</c:v>
                </c:pt>
                <c:pt idx="11">
                  <c:v>6069939.7600000016</c:v>
                </c:pt>
              </c:numCache>
            </c:numRef>
          </c:val>
          <c:smooth val="0"/>
          <c:extLst>
            <c:ext xmlns:c16="http://schemas.microsoft.com/office/drawing/2014/chart" uri="{C3380CC4-5D6E-409C-BE32-E72D297353CC}">
              <c16:uniqueId val="{00000003-78D3-B046-BED1-F46F510A3255}"/>
            </c:ext>
          </c:extLst>
        </c:ser>
        <c:dLbls>
          <c:showLegendKey val="0"/>
          <c:showVal val="0"/>
          <c:showCatName val="0"/>
          <c:showSerName val="0"/>
          <c:showPercent val="0"/>
          <c:showBubbleSize val="0"/>
        </c:dLbls>
        <c:marker val="1"/>
        <c:smooth val="0"/>
        <c:axId val="432250175"/>
        <c:axId val="1249839696"/>
      </c:lineChart>
      <c:catAx>
        <c:axId val="432250175"/>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low"/>
        <c:spPr>
          <a:noFill/>
          <a:ln w="3175" cap="flat" cmpd="sng" algn="ctr">
            <a:solidFill>
              <a:schemeClr val="tx1">
                <a:lumMod val="15000"/>
                <a:lumOff val="85000"/>
              </a:schemeClr>
            </a:solidFill>
            <a:round/>
            <a:tailEnd type="none" w="med" len="lg"/>
          </a:ln>
          <a:effectLst/>
        </c:spPr>
        <c:txPr>
          <a:bodyPr rot="270000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1249839696"/>
        <c:crosses val="autoZero"/>
        <c:auto val="1"/>
        <c:lblAlgn val="ctr"/>
        <c:lblOffset val="100"/>
        <c:noMultiLvlLbl val="0"/>
      </c:catAx>
      <c:valAx>
        <c:axId val="1249839696"/>
        <c:scaling>
          <c:orientation val="minMax"/>
          <c:max val="20000000"/>
          <c:min val="-10000000"/>
        </c:scaling>
        <c:delete val="0"/>
        <c:axPos val="l"/>
        <c:majorGridlines>
          <c:spPr>
            <a:ln w="9525" cap="flat" cmpd="sng" algn="ctr">
              <a:solidFill>
                <a:schemeClr val="tx1">
                  <a:lumMod val="15000"/>
                  <a:lumOff val="85000"/>
                  <a:alpha val="32000"/>
                </a:schemeClr>
              </a:solidFill>
              <a:round/>
            </a:ln>
            <a:effectLst/>
          </c:spPr>
        </c:majorGridlines>
        <c:numFmt formatCode="&quot;$&quot;#,##0.00;[Red]\-&quot;$&quot;#,##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50175"/>
        <c:crosses val="autoZero"/>
        <c:crossBetween val="between"/>
        <c:majorUnit val="5000000"/>
        <c:minorUnit val="400000"/>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accent3"/>
      </a:solidFill>
    </a:ln>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Jutik Plant EBIT</a:t>
            </a:r>
          </a:p>
        </c:rich>
      </c:tx>
      <c:overlay val="0"/>
      <c:spPr>
        <a:noFill/>
        <a:ln>
          <a:noFill/>
        </a:ln>
        <a:effectLst/>
      </c:spPr>
    </c:title>
    <c:autoTitleDeleted val="0"/>
    <c:plotArea>
      <c:layout/>
      <c:lineChart>
        <c:grouping val="standard"/>
        <c:varyColors val="0"/>
        <c:ser>
          <c:idx val="0"/>
          <c:order val="0"/>
          <c:tx>
            <c:v>Actual</c:v>
          </c:tx>
          <c:spPr>
            <a:ln w="38100" cap="flat" cmpd="dbl" algn="ctr">
              <a:solidFill>
                <a:schemeClr val="accent6"/>
              </a:solidFill>
              <a:miter lim="800000"/>
            </a:ln>
            <a:effectLst/>
          </c:spPr>
          <c:marker>
            <c:symbol val="square"/>
            <c:size val="5"/>
            <c:spPr>
              <a:solidFill>
                <a:schemeClr val="accent1"/>
              </a:solidFill>
              <a:ln w="9525" cap="flat" cmpd="sng" algn="ctr">
                <a:solidFill>
                  <a:schemeClr val="accent1"/>
                </a:solidFill>
                <a:round/>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9540867.7800000012</c:v>
                </c:pt>
                <c:pt idx="1">
                  <c:v>12148510.460000001</c:v>
                </c:pt>
                <c:pt idx="2">
                  <c:v>9292017.379999999</c:v>
                </c:pt>
                <c:pt idx="3">
                  <c:v>7961729.160000002</c:v>
                </c:pt>
                <c:pt idx="4">
                  <c:v>10048484.280000001</c:v>
                </c:pt>
                <c:pt idx="5">
                  <c:v>9229991.6099999994</c:v>
                </c:pt>
                <c:pt idx="6">
                  <c:v>14341629.849999998</c:v>
                </c:pt>
                <c:pt idx="7">
                  <c:v>14076053.039999999</c:v>
                </c:pt>
                <c:pt idx="8">
                  <c:v>13128407.379999999</c:v>
                </c:pt>
                <c:pt idx="9">
                  <c:v>15183280.52</c:v>
                </c:pt>
                <c:pt idx="10">
                  <c:v>14424786.729999999</c:v>
                </c:pt>
                <c:pt idx="11">
                  <c:v>13312411.609999999</c:v>
                </c:pt>
              </c:numCache>
            </c:numRef>
          </c:val>
          <c:smooth val="0"/>
          <c:extLst>
            <c:ext xmlns:c16="http://schemas.microsoft.com/office/drawing/2014/chart" uri="{C3380CC4-5D6E-409C-BE32-E72D297353CC}">
              <c16:uniqueId val="{00000001-6C91-8E4A-8BB5-BA23DC017FBC}"/>
            </c:ext>
          </c:extLst>
        </c:ser>
        <c:ser>
          <c:idx val="1"/>
          <c:order val="1"/>
          <c:tx>
            <c:v>Budget</c:v>
          </c:tx>
          <c:spPr>
            <a:ln w="38100" cap="flat" cmpd="dbl" algn="ctr">
              <a:solidFill>
                <a:schemeClr val="accent4"/>
              </a:solidFill>
              <a:miter lim="800000"/>
            </a:ln>
            <a:effectLst/>
          </c:spPr>
          <c:marker>
            <c:symbol val="square"/>
            <c:size val="5"/>
            <c:spPr>
              <a:solidFill>
                <a:schemeClr val="accent2"/>
              </a:solidFill>
              <a:ln w="9525" cap="flat" cmpd="sng" algn="ctr">
                <a:solidFill>
                  <a:schemeClr val="accent2"/>
                </a:solidFill>
                <a:round/>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EBIT!$C$56:$N$56</c:f>
              <c:numCache>
                <c:formatCode>"$"#,##0.00;[Red]\-"$"#,##0.00</c:formatCode>
                <c:ptCount val="12"/>
                <c:pt idx="0">
                  <c:v>12024448.18</c:v>
                </c:pt>
                <c:pt idx="1">
                  <c:v>12146256.5</c:v>
                </c:pt>
                <c:pt idx="2">
                  <c:v>13925476.59</c:v>
                </c:pt>
                <c:pt idx="3">
                  <c:v>13260581.240000002</c:v>
                </c:pt>
                <c:pt idx="4">
                  <c:v>11735911.339999996</c:v>
                </c:pt>
                <c:pt idx="5">
                  <c:v>16373562.779999997</c:v>
                </c:pt>
                <c:pt idx="6">
                  <c:v>16635376.279999997</c:v>
                </c:pt>
                <c:pt idx="7">
                  <c:v>16475142.059999999</c:v>
                </c:pt>
                <c:pt idx="8">
                  <c:v>17799998.09</c:v>
                </c:pt>
                <c:pt idx="9">
                  <c:v>12419480.460000001</c:v>
                </c:pt>
                <c:pt idx="10">
                  <c:v>13873448.699999997</c:v>
                </c:pt>
                <c:pt idx="11">
                  <c:v>14546133.079999998</c:v>
                </c:pt>
              </c:numCache>
            </c:numRef>
          </c:val>
          <c:smooth val="0"/>
          <c:extLst>
            <c:ext xmlns:c16="http://schemas.microsoft.com/office/drawing/2014/chart" uri="{C3380CC4-5D6E-409C-BE32-E72D297353CC}">
              <c16:uniqueId val="{00000003-6C91-8E4A-8BB5-BA23DC017FBC}"/>
            </c:ext>
          </c:extLst>
        </c:ser>
        <c:dLbls>
          <c:showLegendKey val="0"/>
          <c:showVal val="0"/>
          <c:showCatName val="0"/>
          <c:showSerName val="0"/>
          <c:showPercent val="0"/>
          <c:showBubbleSize val="0"/>
        </c:dLbls>
        <c:marker val="1"/>
        <c:smooth val="0"/>
        <c:axId val="432250175"/>
        <c:axId val="1249839696"/>
      </c:lineChart>
      <c:catAx>
        <c:axId val="432250175"/>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39696"/>
        <c:crosses val="autoZero"/>
        <c:auto val="1"/>
        <c:lblAlgn val="ctr"/>
        <c:lblOffset val="100"/>
        <c:noMultiLvlLbl val="0"/>
      </c:catAx>
      <c:valAx>
        <c:axId val="1249839696"/>
        <c:scaling>
          <c:orientation val="minMax"/>
          <c:max val="20000000"/>
          <c:min val="6000000"/>
        </c:scaling>
        <c:delete val="0"/>
        <c:axPos val="l"/>
        <c:majorGridlines>
          <c:spPr>
            <a:ln w="9525" cap="flat" cmpd="sng" algn="ctr">
              <a:solidFill>
                <a:schemeClr val="tx1">
                  <a:lumMod val="15000"/>
                  <a:lumOff val="85000"/>
                  <a:alpha val="32000"/>
                </a:schemeClr>
              </a:solidFill>
              <a:round/>
            </a:ln>
            <a:effectLst/>
          </c:spPr>
        </c:majorGridlines>
        <c:numFmt formatCode="&quot;$&quot;#,##0.00;[Red]\-&quot;$&quot;#,##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50175"/>
        <c:crosses val="autoZero"/>
        <c:crossBetween val="between"/>
        <c:majorUnit val="2000000"/>
        <c:minorUnit val="400000"/>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accent3"/>
      </a:solidFill>
    </a:ln>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Overall EBIT</a:t>
            </a:r>
          </a:p>
        </c:rich>
      </c:tx>
      <c:overlay val="0"/>
      <c:spPr>
        <a:noFill/>
        <a:ln>
          <a:noFill/>
        </a:ln>
        <a:effectLst/>
      </c:spPr>
    </c:title>
    <c:autoTitleDeleted val="0"/>
    <c:plotArea>
      <c:layout/>
      <c:lineChart>
        <c:grouping val="standard"/>
        <c:varyColors val="0"/>
        <c:ser>
          <c:idx val="0"/>
          <c:order val="0"/>
          <c:tx>
            <c:v>Actual</c:v>
          </c:tx>
          <c:spPr>
            <a:ln w="38100" cap="flat" cmpd="dbl" algn="ctr">
              <a:solidFill>
                <a:schemeClr val="accent6"/>
              </a:solidFill>
              <a:miter lim="800000"/>
            </a:ln>
            <a:effectLst/>
          </c:spPr>
          <c:marker>
            <c:symbol val="square"/>
            <c:size val="5"/>
            <c:spPr>
              <a:solidFill>
                <a:schemeClr val="accent1"/>
              </a:solidFill>
              <a:ln w="9525" cap="flat" cmpd="sng" algn="ctr">
                <a:solidFill>
                  <a:schemeClr val="accent1"/>
                </a:solidFill>
                <a:round/>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22134307.15000001</c:v>
                </c:pt>
                <c:pt idx="1">
                  <c:v>17614229.320000004</c:v>
                </c:pt>
                <c:pt idx="2">
                  <c:v>17489481.050000008</c:v>
                </c:pt>
                <c:pt idx="3">
                  <c:v>10611071.789999999</c:v>
                </c:pt>
                <c:pt idx="4">
                  <c:v>9874501.5300000049</c:v>
                </c:pt>
                <c:pt idx="5">
                  <c:v>20198914.179999992</c:v>
                </c:pt>
                <c:pt idx="6">
                  <c:v>36717607.019999996</c:v>
                </c:pt>
                <c:pt idx="7">
                  <c:v>31809956.949999996</c:v>
                </c:pt>
                <c:pt idx="8">
                  <c:v>31579954</c:v>
                </c:pt>
                <c:pt idx="9">
                  <c:v>26308905.32</c:v>
                </c:pt>
                <c:pt idx="10">
                  <c:v>21843372.059999999</c:v>
                </c:pt>
                <c:pt idx="11">
                  <c:v>27436489.189999998</c:v>
                </c:pt>
              </c:numCache>
            </c:numRef>
          </c:val>
          <c:smooth val="0"/>
          <c:extLst>
            <c:ext xmlns:c16="http://schemas.microsoft.com/office/drawing/2014/chart" uri="{C3380CC4-5D6E-409C-BE32-E72D297353CC}">
              <c16:uniqueId val="{00000001-47F6-1847-BDB3-A1E55BCCB33A}"/>
            </c:ext>
          </c:extLst>
        </c:ser>
        <c:ser>
          <c:idx val="1"/>
          <c:order val="1"/>
          <c:tx>
            <c:v>Budget</c:v>
          </c:tx>
          <c:spPr>
            <a:ln w="38100" cap="flat" cmpd="dbl" algn="ctr">
              <a:solidFill>
                <a:schemeClr val="accent4"/>
              </a:solidFill>
              <a:miter lim="800000"/>
            </a:ln>
            <a:effectLst/>
          </c:spPr>
          <c:marker>
            <c:symbol val="square"/>
            <c:size val="5"/>
            <c:spPr>
              <a:solidFill>
                <a:schemeClr val="accent2"/>
              </a:solidFill>
              <a:ln w="9525" cap="flat" cmpd="sng" algn="ctr">
                <a:solidFill>
                  <a:schemeClr val="accent2"/>
                </a:solidFill>
                <a:round/>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EBIT!$C$63:$N$63</c:f>
              <c:numCache>
                <c:formatCode>"$"#,##0.00;[Red]\-"$"#,##0.00</c:formatCode>
                <c:ptCount val="12"/>
                <c:pt idx="0">
                  <c:v>23041641.440000001</c:v>
                </c:pt>
                <c:pt idx="1">
                  <c:v>18939711.360000003</c:v>
                </c:pt>
                <c:pt idx="2">
                  <c:v>14249091.850000001</c:v>
                </c:pt>
                <c:pt idx="3">
                  <c:v>8208883.3500000015</c:v>
                </c:pt>
                <c:pt idx="4">
                  <c:v>12013231.099999998</c:v>
                </c:pt>
                <c:pt idx="5">
                  <c:v>21399402.720000003</c:v>
                </c:pt>
                <c:pt idx="6">
                  <c:v>31750634.350000001</c:v>
                </c:pt>
                <c:pt idx="7">
                  <c:v>29729505.75</c:v>
                </c:pt>
                <c:pt idx="8">
                  <c:v>29080374.710000001</c:v>
                </c:pt>
                <c:pt idx="9">
                  <c:v>25142556.789999999</c:v>
                </c:pt>
                <c:pt idx="10">
                  <c:v>23750044.179999996</c:v>
                </c:pt>
                <c:pt idx="11">
                  <c:v>24690189.34</c:v>
                </c:pt>
              </c:numCache>
            </c:numRef>
          </c:val>
          <c:smooth val="0"/>
          <c:extLst>
            <c:ext xmlns:c16="http://schemas.microsoft.com/office/drawing/2014/chart" uri="{C3380CC4-5D6E-409C-BE32-E72D297353CC}">
              <c16:uniqueId val="{00000003-47F6-1847-BDB3-A1E55BCCB33A}"/>
            </c:ext>
          </c:extLst>
        </c:ser>
        <c:dLbls>
          <c:showLegendKey val="0"/>
          <c:showVal val="0"/>
          <c:showCatName val="0"/>
          <c:showSerName val="0"/>
          <c:showPercent val="0"/>
          <c:showBubbleSize val="0"/>
        </c:dLbls>
        <c:marker val="1"/>
        <c:smooth val="0"/>
        <c:axId val="432250175"/>
        <c:axId val="1249839696"/>
      </c:lineChart>
      <c:catAx>
        <c:axId val="432250175"/>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39696"/>
        <c:crosses val="autoZero"/>
        <c:auto val="1"/>
        <c:lblAlgn val="ctr"/>
        <c:lblOffset val="100"/>
        <c:noMultiLvlLbl val="0"/>
      </c:catAx>
      <c:valAx>
        <c:axId val="1249839696"/>
        <c:scaling>
          <c:orientation val="minMax"/>
          <c:max val="40000000"/>
          <c:min val="4000000"/>
        </c:scaling>
        <c:delete val="0"/>
        <c:axPos val="l"/>
        <c:majorGridlines>
          <c:spPr>
            <a:ln w="9525" cap="flat" cmpd="sng" algn="ctr">
              <a:solidFill>
                <a:schemeClr val="tx1">
                  <a:lumMod val="15000"/>
                  <a:lumOff val="85000"/>
                  <a:alpha val="32000"/>
                </a:schemeClr>
              </a:solidFill>
              <a:round/>
            </a:ln>
            <a:effectLst/>
          </c:spPr>
        </c:majorGridlines>
        <c:numFmt formatCode="&quot;$&quot;#,##0.00;[Red]\-&quot;$&quot;#,##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250175"/>
        <c:crosses val="autoZero"/>
        <c:crossBetween val="between"/>
        <c:majorUnit val="4000000"/>
        <c:minorUnit val="400000"/>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accent3"/>
      </a:solidFill>
    </a:ln>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_xlchart.v1.0</cx:f>
      </cx:numDim>
    </cx:data>
  </cx:chartData>
  <cx:chart>
    <cx:title pos="t" align="ctr" overlay="0">
      <cx:tx>
        <cx:txData>
          <cx:v>EBIT Variance Analysis FY13 vs FY14</cx:v>
        </cx:txData>
      </cx:tx>
      <cx:txPr>
        <a:bodyPr lIns="0" tIns="0" rIns="0" bIns="0"/>
        <a:lstStyle/>
        <a:p>
          <a:pPr lvl="0">
            <a:defRPr b="0">
              <a:solidFill>
                <a:srgbClr val="000000"/>
              </a:solidFill>
              <a:latin typeface="Calibri"/>
            </a:defRPr>
          </a:pPr>
          <a:r>
            <a:t>EBIT Variance Analysis FY13 vs FY14</a:t>
          </a:r>
        </a:p>
      </cx:txPr>
    </cx:title>
    <cx:plotArea>
      <cx:plotAreaRegion>
        <cx:plotSurface>
          <cx:spPr>
            <a:solidFill>
              <a:srgbClr val="FFFFFF"/>
            </a:solidFill>
          </cx:spPr>
        </cx:plotSurface>
        <cx:series layoutId="waterfall" uniqueId="{86821CD0-658C-4988-90E9-0C12ED8D7E80}">
          <cx:dataLabels>
            <cx:visibility seriesName="0" categoryName="0" value="1"/>
          </cx:dataLabels>
          <cx:dataId val="0"/>
          <cx:layoutPr>
            <cx:visibility connectorLines="0"/>
            <cx:subtotals/>
          </cx:layoutPr>
        </cx:series>
      </cx:plotAreaRegion>
      <cx:axis id="0">
        <cx:catScaling/>
        <cx:title>
          <cx:txPr>
            <a:bodyPr lIns="0" tIns="0" rIns="0" bIns="0"/>
            <a:lstStyle/>
            <a:p>
              <a:pPr lvl="0">
                <a:defRPr b="0">
                  <a:solidFill>
                    <a:srgbClr val="000000"/>
                  </a:solidFill>
                  <a:latin typeface="Calibri"/>
                </a:defRPr>
              </a:pPr>
              <a:endParaRPr/>
            </a:p>
          </cx:txPr>
        </cx:title>
        <cx:tickLabels/>
      </cx:axis>
      <cx:axis id="1">
        <cx:valScaling/>
        <cx:title>
          <cx:txPr>
            <a:bodyPr lIns="0" tIns="0" rIns="0" bIns="0"/>
            <a:lstStyle/>
            <a:p>
              <a:pPr lvl="0">
                <a:defRPr b="0">
                  <a:solidFill>
                    <a:srgbClr val="000000"/>
                  </a:solidFill>
                  <a:latin typeface="Calibri"/>
                </a:defRPr>
              </a:pPr>
              <a:endParaRPr/>
            </a:p>
          </cx:txPr>
        </cx:title>
        <cx:majorGridlines>
          <cx:spPr>
            <a:ln>
              <a:solidFill>
                <a:srgbClr val="B7B7B7"/>
              </a:solidFill>
            </a:ln>
          </cx:spPr>
        </cx:majorGridlines>
        <cx:minorGridlines>
          <cx:spPr>
            <a:ln>
              <a:solidFill>
                <a:srgbClr val="CCCCCC">
                  <a:alpha val="0"/>
                </a:srgbClr>
              </a:solidFill>
            </a:ln>
          </cx:spPr>
        </cx:minorGridlines>
        <cx:tickLabels/>
      </cx:axis>
    </cx:plotArea>
    <cx:legend pos="t" align="ctr" overlay="0">
      <cx:txPr>
        <a:bodyPr lIns="0" tIns="0" rIns="0" bIns="0"/>
        <a:lstStyle/>
        <a:p>
          <a:pPr lvl="0">
            <a:defRPr b="0">
              <a:solidFill>
                <a:srgbClr val="000000"/>
              </a:solidFill>
              <a:latin typeface="Calibri"/>
            </a:defRPr>
          </a:pPr>
          <a:endParaRPr b="0">
            <a:solidFill>
              <a:srgbClr val="000000"/>
            </a:solidFill>
            <a:latin typeface="Calibri"/>
          </a:endParaRPr>
        </a:p>
      </cx:txPr>
    </cx:legend>
  </cx:chart>
  <cx:spPr>
    <a:solidFill>
      <a:schemeClr val="lt1"/>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_xlchart.v1.1</cx:f>
      </cx:strDim>
      <cx:numDim type="val">
        <cx:f dir="row">_xlchart.v1.2</cx:f>
      </cx:numDim>
    </cx:data>
  </cx:chartData>
  <cx:chart>
    <cx:title pos="t" align="ctr" overlay="0">
      <cx:tx>
        <cx:txData>
          <cx:v>EBIT 2013 - 2014 Actual</cx:v>
        </cx:txData>
      </cx:tx>
      <cx:txPr>
        <a:bodyPr lIns="0" tIns="0" rIns="0" bIns="0"/>
        <a:lstStyle/>
        <a:p>
          <a:pPr lvl="0">
            <a:defRPr b="0">
              <a:solidFill>
                <a:srgbClr val="000000"/>
              </a:solidFill>
              <a:latin typeface="Calibri"/>
            </a:defRPr>
          </a:pPr>
          <a:r>
            <a:t>EBIT 2013 - 2014 Actual</a:t>
          </a:r>
        </a:p>
      </cx:txPr>
    </cx:title>
    <cx:plotArea>
      <cx:plotAreaRegion>
        <cx:plotSurface>
          <cx:spPr>
            <a:solidFill>
              <a:srgbClr val="FFFFFF"/>
            </a:solidFill>
          </cx:spPr>
        </cx:plotSurface>
        <cx:series layoutId="waterfall" uniqueId="{1D90910B-2F94-F44C-938D-DD23B8004BAE}">
          <cx:dataId val="0"/>
          <cx:layoutPr>
            <cx:subtotals/>
          </cx:layoutPr>
        </cx:series>
      </cx:plotAreaRegion>
      <cx:axis id="0">
        <cx:catScaling/>
        <cx:title>
          <cx:txPr>
            <a:bodyPr lIns="0" tIns="0" rIns="0" bIns="0"/>
            <a:lstStyle/>
            <a:p>
              <a:pPr lvl="0">
                <a:defRPr b="0">
                  <a:solidFill>
                    <a:srgbClr val="000000"/>
                  </a:solidFill>
                  <a:latin typeface="Calibri"/>
                </a:defRPr>
              </a:pPr>
              <a:endParaRPr/>
            </a:p>
          </cx:txPr>
        </cx:title>
        <cx:tickLabels/>
      </cx:axis>
      <cx:axis id="1">
        <cx:valScaling/>
        <cx:title>
          <cx:txPr>
            <a:bodyPr lIns="0" tIns="0" rIns="0" bIns="0"/>
            <a:lstStyle/>
            <a:p>
              <a:pPr lvl="0">
                <a:defRPr b="0">
                  <a:solidFill>
                    <a:srgbClr val="000000"/>
                  </a:solidFill>
                  <a:latin typeface="Calibri"/>
                </a:defRPr>
              </a:pPr>
              <a:endParaRPr/>
            </a:p>
          </cx:txPr>
        </cx:title>
        <cx:majorGridlines>
          <cx:spPr>
            <a:ln>
              <a:solidFill>
                <a:srgbClr val="B7B7B7"/>
              </a:solidFill>
            </a:ln>
          </cx:spPr>
        </cx:majorGridlines>
        <cx:minorGridlines>
          <cx:spPr>
            <a:ln>
              <a:solidFill>
                <a:srgbClr val="CCCCCC">
                  <a:alpha val="0"/>
                </a:srgbClr>
              </a:solidFill>
            </a:ln>
          </cx:spPr>
        </cx:minorGridlines>
        <cx:tickLabels/>
      </cx:axis>
    </cx:plotArea>
    <cx:legend pos="t" align="ctr" overlay="0">
      <cx:txPr>
        <a:bodyPr lIns="0" tIns="0" rIns="0" bIns="0"/>
        <a:lstStyle/>
        <a:p>
          <a:pPr lvl="0">
            <a:defRPr b="0">
              <a:solidFill>
                <a:srgbClr val="000000"/>
              </a:solidFill>
              <a:latin typeface="Calibri"/>
            </a:defRPr>
          </a:pPr>
          <a:endParaRPr b="0">
            <a:solidFill>
              <a:srgbClr val="000000"/>
            </a:solidFill>
            <a:latin typeface="Calibri"/>
          </a:endParaRPr>
        </a:p>
      </cx:txPr>
    </cx:legend>
  </cx:chart>
  <cx:spPr>
    <a:solidFill>
      <a:schemeClr val="lt1"/>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cs:colorStyle>
</file>

<file path=xl/charts/style1.xml><?xml version="1.0" encoding="utf-8"?>
<cs:chartStyle xmlns:cs="http://schemas.microsoft.com/office/drawing/2012/chartStyle" xmlns:a="http://schemas.openxmlformats.org/drawingml/2006/main" id="395">
  <cs:axisTitle>
    <cs:lnRef idx="0"/>
    <cs:fillRef idx="0"/>
    <cs:effectRef idx="0"/>
    <cs:fontRef idx="minor"/>
  </cs:axisTitle>
  <cs:categoryAxis>
    <cs:lnRef idx="0"/>
    <cs:fillRef idx="0"/>
    <cs:effectRef idx="0"/>
    <cs:fontRef idx="minor"/>
  </cs:categoryAxis>
  <cs:chartArea>
    <cs:lnRef idx="0"/>
    <cs:fillRef idx="0"/>
    <cs:effectRef idx="0"/>
    <cs:fontRef idx="minor"/>
    <cs:spPr>
      <a:solidFill>
        <a:schemeClr val="lt1"/>
      </a:solidFill>
      <a:ln w="9525" cap="flat" cmpd="sng" algn="ctr">
        <a:solidFill>
          <a:srgbClr val="000000"/>
        </a:solidFill>
      </a:ln>
    </cs:spPr>
  </cs:chartArea>
  <cs:dataLabel>
    <cs:lnRef idx="0"/>
    <cs:fillRef idx="0"/>
    <cs:effectRef idx="0"/>
    <cs:fontRef idx="minor"/>
  </cs:dataLabel>
  <cs:dataLabelCallout>
    <cs:lnRef idx="0"/>
    <cs:fillRef idx="0"/>
    <cs:effectRef idx="0"/>
    <cs:fontRef idx="minor"/>
  </cs:dataLabelCallout>
  <cs:dataPoint>
    <cs:lnRef idx="0"/>
    <cs:fillRef idx="0">
      <cs:styleClr val="isAuto"/>
    </cs:fillRef>
    <cs:effectRef idx="0"/>
    <cs:fontRef idx="minor"/>
    <cs:spPr>
      <a:solidFill>
        <a:schemeClr val="phClr"/>
      </a:solidFill>
    </cs:spPr>
  </cs:dataPoint>
  <cs:dataPoint3D>
    <cs:lnRef idx="0"/>
    <cs:fillRef idx="0"/>
    <cs:effectRef idx="0"/>
    <cs:fontRef idx="minor"/>
  </cs:dataPoint3D>
  <cs:dataPointLine>
    <cs:lnRef idx="0"/>
    <cs:fillRef idx="0"/>
    <cs:effectRef idx="0"/>
    <cs:fontRef idx="minor"/>
  </cs:dataPointLine>
  <cs:dataPointMarker>
    <cs:lnRef idx="0"/>
    <cs:fillRef idx="0"/>
    <cs:effectRef idx="0"/>
    <cs:fontRef idx="minor"/>
  </cs:dataPointMarker>
  <cs:dataPointWireframe>
    <cs:lnRef idx="0"/>
    <cs:fillRef idx="0"/>
    <cs:effectRef idx="0"/>
    <cs:fontRef idx="minor"/>
  </cs:dataPointWireframe>
  <cs:dataTable>
    <cs:lnRef idx="0"/>
    <cs:fillRef idx="0"/>
    <cs:effectRef idx="0"/>
    <cs:fontRef idx="minor"/>
  </cs:dataTable>
  <cs:downBar>
    <cs:lnRef idx="0"/>
    <cs:fillRef idx="0"/>
    <cs:effectRef idx="0"/>
    <cs:fontRef idx="minor"/>
  </cs:downBar>
  <cs:dropLine>
    <cs:lnRef idx="0"/>
    <cs:fillRef idx="0"/>
    <cs:effectRef idx="0"/>
    <cs:fontRef idx="minor"/>
  </cs:dropLine>
  <cs:errorBar>
    <cs:lnRef idx="0"/>
    <cs:fillRef idx="0"/>
    <cs:effectRef idx="0"/>
    <cs:fontRef idx="minor"/>
  </cs:errorBar>
  <cs:floor>
    <cs:lnRef idx="0"/>
    <cs:fillRef idx="0"/>
    <cs:effectRef idx="0"/>
    <cs:fontRef idx="minor"/>
  </cs:floor>
  <cs:gridlineMajor>
    <cs:lnRef idx="0"/>
    <cs:fillRef idx="0"/>
    <cs:effectRef idx="0"/>
    <cs:fontRef idx="minor"/>
  </cs:gridlineMajor>
  <cs:gridlineMinor>
    <cs:lnRef idx="0"/>
    <cs:fillRef idx="0"/>
    <cs:effectRef idx="0"/>
    <cs:fontRef idx="minor"/>
  </cs:gridlineMinor>
  <cs:hiLoLine>
    <cs:lnRef idx="0"/>
    <cs:fillRef idx="0"/>
    <cs:effectRef idx="0"/>
    <cs:fontRef idx="minor"/>
  </cs:hiLoLine>
  <cs:leaderLine>
    <cs:lnRef idx="0"/>
    <cs:fillRef idx="0"/>
    <cs:effectRef idx="0"/>
    <cs:fontRef idx="minor"/>
  </cs:leaderLine>
  <cs:legend>
    <cs:lnRef idx="0"/>
    <cs:fillRef idx="0"/>
    <cs:effectRef idx="0"/>
    <cs:fontRef idx="minor"/>
  </cs:legend>
  <cs:plotArea>
    <cs:lnRef idx="0"/>
    <cs:fillRef idx="0"/>
    <cs:effectRef idx="0"/>
    <cs:fontRef idx="minor"/>
  </cs:plotArea>
  <cs:plotArea3D>
    <cs:lnRef idx="0"/>
    <cs:fillRef idx="0"/>
    <cs:effectRef idx="0"/>
    <cs:fontRef idx="minor"/>
  </cs:plotArea3D>
  <cs:seriesAxis>
    <cs:lnRef idx="0"/>
    <cs:fillRef idx="0"/>
    <cs:effectRef idx="0"/>
    <cs:fontRef idx="minor"/>
  </cs:seriesAxis>
  <cs:seriesLine>
    <cs:lnRef idx="0"/>
    <cs:fillRef idx="0"/>
    <cs:effectRef idx="0"/>
    <cs:fontRef idx="minor"/>
  </cs:seriesLine>
  <cs:title>
    <cs:lnRef idx="0"/>
    <cs:fillRef idx="0"/>
    <cs:effectRef idx="0"/>
    <cs:fontRef idx="minor"/>
  </cs:title>
  <cs:trendline>
    <cs:lnRef idx="0"/>
    <cs:fillRef idx="0"/>
    <cs:effectRef idx="0"/>
    <cs:fontRef idx="minor"/>
  </cs:trendline>
  <cs:trendlineLabel>
    <cs:lnRef idx="0"/>
    <cs:fillRef idx="0"/>
    <cs:effectRef idx="0"/>
    <cs:fontRef idx="minor"/>
  </cs:trendlineLabel>
  <cs:upBar>
    <cs:lnRef idx="0"/>
    <cs:fillRef idx="0"/>
    <cs:effectRef idx="0"/>
    <cs:fontRef idx="minor"/>
  </cs:upBar>
  <cs:valueAxis>
    <cs:lnRef idx="0"/>
    <cs:fillRef idx="0"/>
    <cs:effectRef idx="0"/>
    <cs:fontRef idx="minor"/>
  </cs:valueAxis>
  <cs:wall>
    <cs:lnRef idx="0"/>
    <cs:fillRef idx="0"/>
    <cs:effectRef idx="0"/>
    <cs:fontRef idx="mino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95">
  <cs:axisTitle>
    <cs:lnRef idx="0"/>
    <cs:fillRef idx="0"/>
    <cs:effectRef idx="0"/>
    <cs:fontRef idx="minor"/>
  </cs:axisTitle>
  <cs:categoryAxis>
    <cs:lnRef idx="0"/>
    <cs:fillRef idx="0"/>
    <cs:effectRef idx="0"/>
    <cs:fontRef idx="minor"/>
  </cs:categoryAxis>
  <cs:chartArea>
    <cs:lnRef idx="0"/>
    <cs:fillRef idx="0"/>
    <cs:effectRef idx="0"/>
    <cs:fontRef idx="minor"/>
    <cs:spPr>
      <a:solidFill>
        <a:schemeClr val="lt1"/>
      </a:solidFill>
      <a:ln w="9525" cap="flat" cmpd="sng" algn="ctr">
        <a:solidFill>
          <a:srgbClr val="000000"/>
        </a:solidFill>
      </a:ln>
    </cs:spPr>
  </cs:chartArea>
  <cs:dataLabel>
    <cs:lnRef idx="0"/>
    <cs:fillRef idx="0"/>
    <cs:effectRef idx="0"/>
    <cs:fontRef idx="minor"/>
  </cs:dataLabel>
  <cs:dataLabelCallout>
    <cs:lnRef idx="0"/>
    <cs:fillRef idx="0"/>
    <cs:effectRef idx="0"/>
    <cs:fontRef idx="minor"/>
  </cs:dataLabelCallout>
  <cs:dataPoint>
    <cs:lnRef idx="0"/>
    <cs:fillRef idx="0">
      <cs:styleClr val="isAuto"/>
    </cs:fillRef>
    <cs:effectRef idx="0"/>
    <cs:fontRef idx="minor"/>
    <cs:spPr>
      <a:solidFill>
        <a:schemeClr val="phClr"/>
      </a:solidFill>
    </cs:spPr>
  </cs:dataPoint>
  <cs:dataPoint3D>
    <cs:lnRef idx="0"/>
    <cs:fillRef idx="0"/>
    <cs:effectRef idx="0"/>
    <cs:fontRef idx="minor"/>
  </cs:dataPoint3D>
  <cs:dataPointLine>
    <cs:lnRef idx="0"/>
    <cs:fillRef idx="0"/>
    <cs:effectRef idx="0"/>
    <cs:fontRef idx="minor"/>
  </cs:dataPointLine>
  <cs:dataPointMarker>
    <cs:lnRef idx="0"/>
    <cs:fillRef idx="0"/>
    <cs:effectRef idx="0"/>
    <cs:fontRef idx="minor"/>
  </cs:dataPointMarker>
  <cs:dataPointWireframe>
    <cs:lnRef idx="0"/>
    <cs:fillRef idx="0"/>
    <cs:effectRef idx="0"/>
    <cs:fontRef idx="minor"/>
  </cs:dataPointWireframe>
  <cs:dataTable>
    <cs:lnRef idx="0"/>
    <cs:fillRef idx="0"/>
    <cs:effectRef idx="0"/>
    <cs:fontRef idx="minor"/>
  </cs:dataTable>
  <cs:downBar>
    <cs:lnRef idx="0"/>
    <cs:fillRef idx="0"/>
    <cs:effectRef idx="0"/>
    <cs:fontRef idx="minor"/>
  </cs:downBar>
  <cs:dropLine>
    <cs:lnRef idx="0"/>
    <cs:fillRef idx="0"/>
    <cs:effectRef idx="0"/>
    <cs:fontRef idx="minor"/>
  </cs:dropLine>
  <cs:errorBar>
    <cs:lnRef idx="0"/>
    <cs:fillRef idx="0"/>
    <cs:effectRef idx="0"/>
    <cs:fontRef idx="minor"/>
  </cs:errorBar>
  <cs:floor>
    <cs:lnRef idx="0"/>
    <cs:fillRef idx="0"/>
    <cs:effectRef idx="0"/>
    <cs:fontRef idx="minor"/>
  </cs:floor>
  <cs:gridlineMajor>
    <cs:lnRef idx="0"/>
    <cs:fillRef idx="0"/>
    <cs:effectRef idx="0"/>
    <cs:fontRef idx="minor"/>
  </cs:gridlineMajor>
  <cs:gridlineMinor>
    <cs:lnRef idx="0"/>
    <cs:fillRef idx="0"/>
    <cs:effectRef idx="0"/>
    <cs:fontRef idx="minor"/>
  </cs:gridlineMinor>
  <cs:hiLoLine>
    <cs:lnRef idx="0"/>
    <cs:fillRef idx="0"/>
    <cs:effectRef idx="0"/>
    <cs:fontRef idx="minor"/>
  </cs:hiLoLine>
  <cs:leaderLine>
    <cs:lnRef idx="0"/>
    <cs:fillRef idx="0"/>
    <cs:effectRef idx="0"/>
    <cs:fontRef idx="minor"/>
  </cs:leaderLine>
  <cs:legend>
    <cs:lnRef idx="0"/>
    <cs:fillRef idx="0"/>
    <cs:effectRef idx="0"/>
    <cs:fontRef idx="minor"/>
  </cs:legend>
  <cs:plotArea>
    <cs:lnRef idx="0"/>
    <cs:fillRef idx="0"/>
    <cs:effectRef idx="0"/>
    <cs:fontRef idx="minor"/>
  </cs:plotArea>
  <cs:plotArea3D>
    <cs:lnRef idx="0"/>
    <cs:fillRef idx="0"/>
    <cs:effectRef idx="0"/>
    <cs:fontRef idx="minor"/>
  </cs:plotArea3D>
  <cs:seriesAxis>
    <cs:lnRef idx="0"/>
    <cs:fillRef idx="0"/>
    <cs:effectRef idx="0"/>
    <cs:fontRef idx="minor"/>
  </cs:seriesAxis>
  <cs:seriesLine>
    <cs:lnRef idx="0"/>
    <cs:fillRef idx="0"/>
    <cs:effectRef idx="0"/>
    <cs:fontRef idx="minor"/>
  </cs:seriesLine>
  <cs:title>
    <cs:lnRef idx="0"/>
    <cs:fillRef idx="0"/>
    <cs:effectRef idx="0"/>
    <cs:fontRef idx="minor"/>
  </cs:title>
  <cs:trendline>
    <cs:lnRef idx="0"/>
    <cs:fillRef idx="0"/>
    <cs:effectRef idx="0"/>
    <cs:fontRef idx="minor"/>
  </cs:trendline>
  <cs:trendlineLabel>
    <cs:lnRef idx="0"/>
    <cs:fillRef idx="0"/>
    <cs:effectRef idx="0"/>
    <cs:fontRef idx="minor"/>
  </cs:trendlineLabel>
  <cs:upBar>
    <cs:lnRef idx="0"/>
    <cs:fillRef idx="0"/>
    <cs:effectRef idx="0"/>
    <cs:fontRef idx="minor"/>
  </cs:upBar>
  <cs:valueAxis>
    <cs:lnRef idx="0"/>
    <cs:fillRef idx="0"/>
    <cs:effectRef idx="0"/>
    <cs:fontRef idx="minor"/>
  </cs:valueAxis>
  <cs:wall>
    <cs:lnRef idx="0"/>
    <cs:fillRef idx="0"/>
    <cs:effectRef idx="0"/>
    <cs:fontRef idx="mino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microsoft.com/office/2014/relationships/chartEx" Target="../charts/chartEx2.xml"/><Relationship Id="rId5" Type="http://schemas.openxmlformats.org/officeDocument/2006/relationships/chart" Target="../charts/chart18.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oneCellAnchor>
    <xdr:from>
      <xdr:col>0</xdr:col>
      <xdr:colOff>0</xdr:colOff>
      <xdr:row>14</xdr:row>
      <xdr:rowOff>0</xdr:rowOff>
    </xdr:from>
    <xdr:ext cx="9696450" cy="5676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17</xdr:col>
      <xdr:colOff>0</xdr:colOff>
      <xdr:row>14</xdr:row>
      <xdr:rowOff>0</xdr:rowOff>
    </xdr:from>
    <xdr:ext cx="9648825" cy="55816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57150</xdr:colOff>
      <xdr:row>124</xdr:row>
      <xdr:rowOff>85725</xdr:rowOff>
    </xdr:from>
    <xdr:ext cx="12287250" cy="3943350"/>
    <mc:AlternateContent xmlns:mc="http://schemas.openxmlformats.org/markup-compatibility/2006">
      <mc:Choice xmlns:cx1="http://schemas.microsoft.com/office/drawing/2015/9/8/chartex" Requires="cx1">
        <xdr:graphicFrame macro="">
          <xdr:nvGraphicFramePr>
            <xdr:cNvPr id="112219702" name="Chart 1">
              <a:extLst>
                <a:ext uri="{FF2B5EF4-FFF2-40B4-BE49-F238E27FC236}">
                  <a16:creationId xmlns:a16="http://schemas.microsoft.com/office/drawing/2014/main" id="{00000000-0008-0000-0400-00003656B0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150" y="26946225"/>
              <a:ext cx="12287250" cy="3943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fLocksWithSheet="0"/>
  </xdr:oneCellAnchor>
  <xdr:twoCellAnchor>
    <xdr:from>
      <xdr:col>15</xdr:col>
      <xdr:colOff>645085</xdr:colOff>
      <xdr:row>8</xdr:row>
      <xdr:rowOff>69476</xdr:rowOff>
    </xdr:from>
    <xdr:to>
      <xdr:col>23</xdr:col>
      <xdr:colOff>775073</xdr:colOff>
      <xdr:row>23</xdr:row>
      <xdr:rowOff>9339</xdr:rowOff>
    </xdr:to>
    <xdr:graphicFrame macro="">
      <xdr:nvGraphicFramePr>
        <xdr:cNvPr id="18" name="Chart 8">
          <a:extLst>
            <a:ext uri="{FF2B5EF4-FFF2-40B4-BE49-F238E27FC236}">
              <a16:creationId xmlns:a16="http://schemas.microsoft.com/office/drawing/2014/main" id="{90EA8A2C-4481-DE43-98F5-02D107F5C575}"/>
            </a:ext>
            <a:ext uri="{147F2762-F138-4A5C-976F-8EAC2B608ADB}">
              <a16:predDERef xmlns:a16="http://schemas.microsoft.com/office/drawing/2014/main" pred="{E80C974D-5953-F94E-825F-A9FE370241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1182370</xdr:colOff>
      <xdr:row>53</xdr:row>
      <xdr:rowOff>1905</xdr:rowOff>
    </xdr:from>
    <xdr:to>
      <xdr:col>13</xdr:col>
      <xdr:colOff>340360</xdr:colOff>
      <xdr:row>65</xdr:row>
      <xdr:rowOff>2205355</xdr:rowOff>
    </xdr:to>
    <xdr:graphicFrame macro="">
      <xdr:nvGraphicFramePr>
        <xdr:cNvPr id="17" name="Chart 10">
          <a:extLst>
            <a:ext uri="{FF2B5EF4-FFF2-40B4-BE49-F238E27FC236}">
              <a16:creationId xmlns:a16="http://schemas.microsoft.com/office/drawing/2014/main" id="{90564A35-90F7-CF48-B5A9-112F08D6F8F9}"/>
            </a:ext>
            <a:ext uri="{147F2762-F138-4A5C-976F-8EAC2B608ADB}">
              <a16:predDERef xmlns:a16="http://schemas.microsoft.com/office/drawing/2014/main" pred="{90EA8A2C-4481-DE43-98F5-02D107F5C5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649535</xdr:colOff>
      <xdr:row>158</xdr:row>
      <xdr:rowOff>76972</xdr:rowOff>
    </xdr:from>
    <xdr:to>
      <xdr:col>2</xdr:col>
      <xdr:colOff>1234748</xdr:colOff>
      <xdr:row>179</xdr:row>
      <xdr:rowOff>141696</xdr:rowOff>
    </xdr:to>
    <xdr:graphicFrame macro="">
      <xdr:nvGraphicFramePr>
        <xdr:cNvPr id="20" name="Chart 19">
          <a:extLst>
            <a:ext uri="{FF2B5EF4-FFF2-40B4-BE49-F238E27FC236}">
              <a16:creationId xmlns:a16="http://schemas.microsoft.com/office/drawing/2014/main" id="{DA223895-9319-7546-A72A-57A54F9F2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1879600</xdr:colOff>
      <xdr:row>158</xdr:row>
      <xdr:rowOff>101600</xdr:rowOff>
    </xdr:from>
    <xdr:to>
      <xdr:col>5</xdr:col>
      <xdr:colOff>420113</xdr:colOff>
      <xdr:row>180</xdr:row>
      <xdr:rowOff>13924</xdr:rowOff>
    </xdr:to>
    <xdr:graphicFrame macro="">
      <xdr:nvGraphicFramePr>
        <xdr:cNvPr id="7" name="Chart 6">
          <a:extLst>
            <a:ext uri="{FF2B5EF4-FFF2-40B4-BE49-F238E27FC236}">
              <a16:creationId xmlns:a16="http://schemas.microsoft.com/office/drawing/2014/main" id="{3B529293-E96C-EC46-9357-8588291D1B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1892300</xdr:colOff>
      <xdr:row>184</xdr:row>
      <xdr:rowOff>63500</xdr:rowOff>
    </xdr:from>
    <xdr:to>
      <xdr:col>5</xdr:col>
      <xdr:colOff>432813</xdr:colOff>
      <xdr:row>205</xdr:row>
      <xdr:rowOff>128224</xdr:rowOff>
    </xdr:to>
    <xdr:graphicFrame macro="">
      <xdr:nvGraphicFramePr>
        <xdr:cNvPr id="9" name="Chart 8">
          <a:extLst>
            <a:ext uri="{FF2B5EF4-FFF2-40B4-BE49-F238E27FC236}">
              <a16:creationId xmlns:a16="http://schemas.microsoft.com/office/drawing/2014/main" id="{A79757E5-4126-404F-A192-D4A9CC4FA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622300</xdr:colOff>
      <xdr:row>184</xdr:row>
      <xdr:rowOff>101600</xdr:rowOff>
    </xdr:from>
    <xdr:to>
      <xdr:col>2</xdr:col>
      <xdr:colOff>1207513</xdr:colOff>
      <xdr:row>206</xdr:row>
      <xdr:rowOff>13924</xdr:rowOff>
    </xdr:to>
    <xdr:graphicFrame macro="">
      <xdr:nvGraphicFramePr>
        <xdr:cNvPr id="10" name="Chart 9">
          <a:extLst>
            <a:ext uri="{FF2B5EF4-FFF2-40B4-BE49-F238E27FC236}">
              <a16:creationId xmlns:a16="http://schemas.microsoft.com/office/drawing/2014/main" id="{FB3118DD-9025-FC4A-BC1E-411B403E55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2932657</xdr:colOff>
      <xdr:row>78</xdr:row>
      <xdr:rowOff>22944</xdr:rowOff>
    </xdr:from>
    <xdr:to>
      <xdr:col>8</xdr:col>
      <xdr:colOff>691446</xdr:colOff>
      <xdr:row>106</xdr:row>
      <xdr:rowOff>127000</xdr:rowOff>
    </xdr:to>
    <xdr:graphicFrame macro="">
      <xdr:nvGraphicFramePr>
        <xdr:cNvPr id="2" name="Chart 1">
          <a:extLst>
            <a:ext uri="{FF2B5EF4-FFF2-40B4-BE49-F238E27FC236}">
              <a16:creationId xmlns:a16="http://schemas.microsoft.com/office/drawing/2014/main" id="{8F6A7D5E-B6BF-5041-8C02-EA312F611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324554</xdr:colOff>
      <xdr:row>78</xdr:row>
      <xdr:rowOff>25400</xdr:rowOff>
    </xdr:from>
    <xdr:to>
      <xdr:col>1</xdr:col>
      <xdr:colOff>2751667</xdr:colOff>
      <xdr:row>106</xdr:row>
      <xdr:rowOff>127000</xdr:rowOff>
    </xdr:to>
    <xdr:graphicFrame macro="">
      <xdr:nvGraphicFramePr>
        <xdr:cNvPr id="4" name="Chart 3">
          <a:extLst>
            <a:ext uri="{FF2B5EF4-FFF2-40B4-BE49-F238E27FC236}">
              <a16:creationId xmlns:a16="http://schemas.microsoft.com/office/drawing/2014/main" id="{A33DAC08-CD05-D845-ADB6-C39CD5A2F9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359832</xdr:colOff>
      <xdr:row>108</xdr:row>
      <xdr:rowOff>25399</xdr:rowOff>
    </xdr:from>
    <xdr:to>
      <xdr:col>1</xdr:col>
      <xdr:colOff>2723444</xdr:colOff>
      <xdr:row>137</xdr:row>
      <xdr:rowOff>84665</xdr:rowOff>
    </xdr:to>
    <xdr:graphicFrame macro="">
      <xdr:nvGraphicFramePr>
        <xdr:cNvPr id="10" name="Chart 9">
          <a:extLst>
            <a:ext uri="{FF2B5EF4-FFF2-40B4-BE49-F238E27FC236}">
              <a16:creationId xmlns:a16="http://schemas.microsoft.com/office/drawing/2014/main" id="{24C2BF9F-525A-C24E-AB7E-40FD95E542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2942618</xdr:colOff>
      <xdr:row>108</xdr:row>
      <xdr:rowOff>26750</xdr:rowOff>
    </xdr:from>
    <xdr:to>
      <xdr:col>8</xdr:col>
      <xdr:colOff>689042</xdr:colOff>
      <xdr:row>137</xdr:row>
      <xdr:rowOff>94574</xdr:rowOff>
    </xdr:to>
    <xdr:graphicFrame macro="">
      <xdr:nvGraphicFramePr>
        <xdr:cNvPr id="11" name="Chart 10">
          <a:extLst>
            <a:ext uri="{FF2B5EF4-FFF2-40B4-BE49-F238E27FC236}">
              <a16:creationId xmlns:a16="http://schemas.microsoft.com/office/drawing/2014/main" id="{6DD08D1B-9A55-764B-BC16-0EEAB13060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0</xdr:colOff>
      <xdr:row>78</xdr:row>
      <xdr:rowOff>0</xdr:rowOff>
    </xdr:from>
    <xdr:to>
      <xdr:col>19</xdr:col>
      <xdr:colOff>255413</xdr:colOff>
      <xdr:row>106</xdr:row>
      <xdr:rowOff>101600</xdr:rowOff>
    </xdr:to>
    <xdr:graphicFrame macro="">
      <xdr:nvGraphicFramePr>
        <xdr:cNvPr id="6" name="Chart 5">
          <a:extLst>
            <a:ext uri="{FF2B5EF4-FFF2-40B4-BE49-F238E27FC236}">
              <a16:creationId xmlns:a16="http://schemas.microsoft.com/office/drawing/2014/main" id="{EA97A878-1710-A544-ACEA-86E1F0FE5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292100</xdr:colOff>
      <xdr:row>78</xdr:row>
      <xdr:rowOff>12700</xdr:rowOff>
    </xdr:from>
    <xdr:to>
      <xdr:col>29</xdr:col>
      <xdr:colOff>298789</xdr:colOff>
      <xdr:row>106</xdr:row>
      <xdr:rowOff>116756</xdr:rowOff>
    </xdr:to>
    <xdr:graphicFrame macro="">
      <xdr:nvGraphicFramePr>
        <xdr:cNvPr id="7" name="Chart 6">
          <a:extLst>
            <a:ext uri="{FF2B5EF4-FFF2-40B4-BE49-F238E27FC236}">
              <a16:creationId xmlns:a16="http://schemas.microsoft.com/office/drawing/2014/main" id="{034B8441-72FB-AD4C-A57D-AE980BC704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0</xdr:colOff>
      <xdr:row>109</xdr:row>
      <xdr:rowOff>0</xdr:rowOff>
    </xdr:from>
    <xdr:to>
      <xdr:col>19</xdr:col>
      <xdr:colOff>191912</xdr:colOff>
      <xdr:row>138</xdr:row>
      <xdr:rowOff>59266</xdr:rowOff>
    </xdr:to>
    <xdr:graphicFrame macro="">
      <xdr:nvGraphicFramePr>
        <xdr:cNvPr id="8" name="Chart 7">
          <a:extLst>
            <a:ext uri="{FF2B5EF4-FFF2-40B4-BE49-F238E27FC236}">
              <a16:creationId xmlns:a16="http://schemas.microsoft.com/office/drawing/2014/main" id="{D5B77280-88CB-6F4C-BC66-C784310EC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304800</xdr:colOff>
      <xdr:row>109</xdr:row>
      <xdr:rowOff>12700</xdr:rowOff>
    </xdr:from>
    <xdr:to>
      <xdr:col>29</xdr:col>
      <xdr:colOff>299124</xdr:colOff>
      <xdr:row>138</xdr:row>
      <xdr:rowOff>80524</xdr:rowOff>
    </xdr:to>
    <xdr:graphicFrame macro="">
      <xdr:nvGraphicFramePr>
        <xdr:cNvPr id="9" name="Chart 8">
          <a:extLst>
            <a:ext uri="{FF2B5EF4-FFF2-40B4-BE49-F238E27FC236}">
              <a16:creationId xmlns:a16="http://schemas.microsoft.com/office/drawing/2014/main" id="{9A2A5830-D26F-C049-92A8-67176B42CC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120650</xdr:colOff>
      <xdr:row>66</xdr:row>
      <xdr:rowOff>133350</xdr:rowOff>
    </xdr:from>
    <xdr:ext cx="15125700" cy="2762250"/>
    <mc:AlternateContent xmlns:mc="http://schemas.openxmlformats.org/markup-compatibility/2006">
      <mc:Choice xmlns:cx1="http://schemas.microsoft.com/office/drawing/2015/9/8/chartex" Requires="cx1">
        <xdr:graphicFrame macro="">
          <xdr:nvGraphicFramePr>
            <xdr:cNvPr id="1912446502" name="Chart 3">
              <a:extLst>
                <a:ext uri="{FF2B5EF4-FFF2-40B4-BE49-F238E27FC236}">
                  <a16:creationId xmlns:a16="http://schemas.microsoft.com/office/drawing/2014/main" id="{00000000-0008-0000-0600-0000269EFD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0650" y="15982950"/>
              <a:ext cx="15125700" cy="2762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fLocksWithSheet="0"/>
  </xdr:oneCellAnchor>
  <xdr:twoCellAnchor>
    <xdr:from>
      <xdr:col>0</xdr:col>
      <xdr:colOff>1066800</xdr:colOff>
      <xdr:row>86</xdr:row>
      <xdr:rowOff>57150</xdr:rowOff>
    </xdr:from>
    <xdr:to>
      <xdr:col>5</xdr:col>
      <xdr:colOff>749300</xdr:colOff>
      <xdr:row>108</xdr:row>
      <xdr:rowOff>127000</xdr:rowOff>
    </xdr:to>
    <xdr:graphicFrame macro="">
      <xdr:nvGraphicFramePr>
        <xdr:cNvPr id="2" name="Chart 1">
          <a:extLst>
            <a:ext uri="{FF2B5EF4-FFF2-40B4-BE49-F238E27FC236}">
              <a16:creationId xmlns:a16="http://schemas.microsoft.com/office/drawing/2014/main" id="{700C881A-1C48-D847-80A9-F22E85915B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1130300</xdr:colOff>
      <xdr:row>86</xdr:row>
      <xdr:rowOff>57150</xdr:rowOff>
    </xdr:from>
    <xdr:to>
      <xdr:col>11</xdr:col>
      <xdr:colOff>825500</xdr:colOff>
      <xdr:row>108</xdr:row>
      <xdr:rowOff>127000</xdr:rowOff>
    </xdr:to>
    <xdr:graphicFrame macro="">
      <xdr:nvGraphicFramePr>
        <xdr:cNvPr id="5" name="Chart 4">
          <a:extLst>
            <a:ext uri="{FF2B5EF4-FFF2-40B4-BE49-F238E27FC236}">
              <a16:creationId xmlns:a16="http://schemas.microsoft.com/office/drawing/2014/main" id="{3B39814C-195E-4640-95C1-C8C0A9BF0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1066800</xdr:colOff>
      <xdr:row>110</xdr:row>
      <xdr:rowOff>82550</xdr:rowOff>
    </xdr:from>
    <xdr:to>
      <xdr:col>5</xdr:col>
      <xdr:colOff>723900</xdr:colOff>
      <xdr:row>133</xdr:row>
      <xdr:rowOff>101600</xdr:rowOff>
    </xdr:to>
    <xdr:graphicFrame macro="">
      <xdr:nvGraphicFramePr>
        <xdr:cNvPr id="6" name="Chart 5">
          <a:extLst>
            <a:ext uri="{FF2B5EF4-FFF2-40B4-BE49-F238E27FC236}">
              <a16:creationId xmlns:a16="http://schemas.microsoft.com/office/drawing/2014/main" id="{41BDEE60-631D-2843-B397-DC372A5FD4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1130300</xdr:colOff>
      <xdr:row>110</xdr:row>
      <xdr:rowOff>82550</xdr:rowOff>
    </xdr:from>
    <xdr:to>
      <xdr:col>11</xdr:col>
      <xdr:colOff>825500</xdr:colOff>
      <xdr:row>133</xdr:row>
      <xdr:rowOff>88900</xdr:rowOff>
    </xdr:to>
    <xdr:graphicFrame macro="">
      <xdr:nvGraphicFramePr>
        <xdr:cNvPr id="7" name="Chart 6">
          <a:extLst>
            <a:ext uri="{FF2B5EF4-FFF2-40B4-BE49-F238E27FC236}">
              <a16:creationId xmlns:a16="http://schemas.microsoft.com/office/drawing/2014/main" id="{EF38019C-63DA-9746-BAC3-3BEECDE6D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Guest User" id="{B53F8E40-4BF2-214E-91EE-7E8A5ADBB1D8}" userId=""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20" dT="2020-06-19T17:18:56.02" personId="{B53F8E40-4BF2-214E-91EE-7E8A5ADBB1D8}" id="{C6D2B4B6-8A72-458A-AF55-45469DBE2FF0}">
    <text>Please avoid using ABS function. Here,sum of 21319 &amp; -76.26 becomes 21395, which shouldnt be the scenario</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H1000"/>
  <sheetViews>
    <sheetView showGridLines="0" topLeftCell="A48" workbookViewId="0"/>
  </sheetViews>
  <sheetFormatPr baseColWidth="10" defaultColWidth="14.5" defaultRowHeight="15" customHeight="1"/>
  <cols>
    <col min="1" max="34" width="8.6640625" customWidth="1"/>
  </cols>
  <sheetData>
    <row r="1" spans="1:34" ht="12.75" customHeight="1">
      <c r="A1" s="1"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12.75" customHeight="1">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12.75" customHeight="1">
      <c r="A3" s="3"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spans="1:34" ht="25.5" customHeight="1">
      <c r="A4" s="3" t="s">
        <v>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spans="1:34" ht="25.5" customHeight="1">
      <c r="A5" s="3" t="s">
        <v>3</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spans="1:34" ht="25.5" customHeight="1">
      <c r="A6" s="1" t="s">
        <v>4</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spans="1:34" ht="12" customHeight="1">
      <c r="A7" s="1"/>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spans="1:34" ht="25.5" customHeight="1">
      <c r="A8" s="131" t="s">
        <v>5</v>
      </c>
      <c r="B8" s="132"/>
      <c r="C8" s="132"/>
      <c r="D8" s="132"/>
      <c r="E8" s="132"/>
      <c r="F8" s="132"/>
      <c r="G8" s="132"/>
      <c r="H8" s="132"/>
      <c r="I8" s="132"/>
      <c r="J8" s="132"/>
      <c r="K8" s="132"/>
      <c r="L8" s="132"/>
      <c r="M8" s="132"/>
      <c r="N8" s="132"/>
      <c r="O8" s="132"/>
      <c r="P8" s="132"/>
      <c r="Q8" s="132"/>
      <c r="R8" s="132"/>
      <c r="S8" s="132"/>
      <c r="T8" s="132"/>
      <c r="U8" s="132"/>
      <c r="V8" s="132"/>
      <c r="W8" s="132"/>
      <c r="X8" s="132"/>
      <c r="Y8" s="132"/>
      <c r="Z8" s="132"/>
      <c r="AA8" s="132"/>
      <c r="AB8" s="132"/>
      <c r="AC8" s="132"/>
      <c r="AD8" s="132"/>
      <c r="AE8" s="132"/>
      <c r="AF8" s="132"/>
      <c r="AG8" s="132"/>
      <c r="AH8" s="132"/>
    </row>
    <row r="9" spans="1:34" ht="64.5" customHeight="1">
      <c r="A9" s="271" t="s">
        <v>6</v>
      </c>
      <c r="B9" s="272"/>
      <c r="C9" s="272"/>
      <c r="D9" s="272"/>
      <c r="E9" s="272"/>
      <c r="F9" s="272"/>
      <c r="G9" s="272"/>
      <c r="H9" s="272"/>
      <c r="I9" s="272"/>
      <c r="J9" s="272"/>
      <c r="K9" s="272"/>
      <c r="L9" s="272"/>
      <c r="M9" s="272"/>
      <c r="N9" s="272"/>
      <c r="O9" s="272"/>
      <c r="P9" s="272"/>
      <c r="Q9" s="272"/>
      <c r="R9" s="272"/>
      <c r="S9" s="272"/>
      <c r="T9" s="272"/>
      <c r="U9" s="272"/>
      <c r="V9" s="133"/>
      <c r="W9" s="133"/>
      <c r="X9" s="133"/>
      <c r="Y9" s="133"/>
      <c r="Z9" s="133"/>
      <c r="AA9" s="133"/>
      <c r="AB9" s="133"/>
      <c r="AC9" s="133"/>
      <c r="AD9" s="133"/>
      <c r="AE9" s="133"/>
      <c r="AF9" s="133"/>
      <c r="AG9" s="133"/>
      <c r="AH9" s="133"/>
    </row>
    <row r="10" spans="1:34" ht="31.5" customHeight="1">
      <c r="A10" s="132" t="s">
        <v>7</v>
      </c>
      <c r="B10" s="132"/>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row>
    <row r="11" spans="1:34"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ht="12.75" customHeight="1">
      <c r="A12" s="131" t="s">
        <v>8</v>
      </c>
      <c r="B12" s="131"/>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row>
    <row r="13" spans="1:34" ht="12.75" customHeight="1">
      <c r="A13" s="1" t="s">
        <v>9</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ht="12.75" customHeight="1">
      <c r="A14" s="1" t="s">
        <v>10</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34"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34"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spans="1:34"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ht="12.75" customHeight="1">
      <c r="A52" s="131" t="s">
        <v>11</v>
      </c>
      <c r="B52" s="132"/>
      <c r="C52" s="132"/>
      <c r="D52" s="132"/>
      <c r="E52" s="132"/>
      <c r="F52" s="132"/>
      <c r="G52" s="132"/>
      <c r="H52" s="132"/>
      <c r="I52" s="132"/>
      <c r="J52" s="13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row>
    <row r="53" spans="1:34" ht="12.75" customHeight="1">
      <c r="A53" s="3" t="s">
        <v>12</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1:34" ht="12.75" customHeight="1">
      <c r="A54" s="3" t="s">
        <v>13</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ht="12.75" customHeight="1">
      <c r="A56" s="131" t="s">
        <v>14</v>
      </c>
      <c r="B56" s="132"/>
      <c r="C56" s="132"/>
      <c r="D56" s="132"/>
      <c r="E56" s="132"/>
      <c r="F56" s="132"/>
      <c r="G56" s="132"/>
      <c r="H56" s="132"/>
      <c r="I56" s="132"/>
      <c r="J56" s="13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row>
    <row r="57" spans="1:34" ht="12.75" customHeight="1">
      <c r="A57" s="3" t="s">
        <v>15</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ht="12.75" customHeight="1">
      <c r="A58" s="3" t="s">
        <v>16</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spans="1:34" ht="12.75" customHeight="1">
      <c r="A60" s="132" t="s">
        <v>17</v>
      </c>
      <c r="B60" s="132"/>
      <c r="C60" s="132"/>
      <c r="D60" s="132"/>
      <c r="E60" s="132"/>
      <c r="F60" s="132"/>
      <c r="G60" s="132"/>
      <c r="H60" s="132"/>
      <c r="I60" s="132"/>
      <c r="J60" s="132"/>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row>
    <row r="61" spans="1:34" ht="12.75" customHeight="1">
      <c r="A61" s="20" t="s">
        <v>18</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spans="1:34" ht="12.75" customHeight="1">
      <c r="A62" s="3" t="s">
        <v>19</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ht="12.75" customHeight="1">
      <c r="A63" s="3" t="s">
        <v>20</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1:34" ht="12.75" customHeight="1">
      <c r="A64" s="3" t="s">
        <v>21</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spans="1:34"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1:34"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spans="1:3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spans="1:3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spans="1:34"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spans="1:34"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spans="1:34"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spans="1:34"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spans="1:34"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spans="1:34"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spans="1:3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spans="1:34"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spans="1:34"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spans="1:34"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1:34"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spans="1:34"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1:3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1:34"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1:34"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spans="1:34"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spans="1:34"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spans="1:34"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spans="1:34"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spans="1:34"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1:34"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1:34"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1:34"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1:34"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1:3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1:34"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1:34"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1:34"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1:34"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1:34"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1:34"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1:34"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1:34"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1:3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1:34"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1:34"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1:34"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1:3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1:34"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1:34"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1:34"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1:34"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1:34"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1:3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1:34"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4"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1:34"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1:34"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1:34"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1:34"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1:34"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1:34"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1:34"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1: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1:34"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1:34"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1:34"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1:34"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1:3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1:34"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1:34"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1:34"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1:34"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1:34"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1:34"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1:34"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1:34"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1:34"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1:34"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1:34"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1:34"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1:34"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1:34"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1:34"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1:34"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1:3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1:34"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1:34"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1:34"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1:34"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1:34"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1:34"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1:34"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1:34"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1:34"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1:3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1:34"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1:34"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1:34"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1:34"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1:34"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1:34"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1:34"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1:34"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1:34"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1:3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1:34"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1:34"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1:34"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1:34"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1:34"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1:34"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1:34"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1:34"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1:34"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1: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1:34"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1:34"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1:34"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1:34"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1:34"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1:34"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1:34"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1:34"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1:34"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1:3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1:34"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1:34"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1:34"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1:34"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1:34"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1:34"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1:34"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1:34"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1:34"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1:3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1:34"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1:34"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1:34"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1:34"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1:34"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1:34"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1:34"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1:34"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1:34"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1:3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1:34"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1:34"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1:34"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1:34"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1:34"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1:34"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1:34"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1:34"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1:34"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1:3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1:34"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1:34"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1:34"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1:34"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1:34"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1:34"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1:34"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1:34"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1:34"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1:3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1:34"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1:34"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1:34"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1:34"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1:34"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1:34"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1:34"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1:3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1:34"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1:34"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1:34"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1:34"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1:34"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1:34"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1:34"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1:34"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1:34"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1:3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1:34"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1:34"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1:34"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1:34"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1:34"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1:34"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1:34"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1:34"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1:34"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1:3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1:34"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1:34"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1:34"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1:34"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1:34"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1:34"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1:34"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1:34"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1:34"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1:3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1:34"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1:34"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1:34"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1:34"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1:34"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1:34"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1:34"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1:34"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1:34"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1: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1:34"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1:34"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1:34"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1:34"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1:34"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1:34"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1:34"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1:34"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1:34"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1:3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1:34"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1:34"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1:34"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1:34"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1:34"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1:34"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1:34"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1:34"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1:34"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1:3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1:34"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1:34"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1:34"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1:34"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1:34"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1:34"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1:34"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1:34"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1:34"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1:3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1:34"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1:34"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1:34"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1:34"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1:34"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1:34"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1:34"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1:34"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1:34"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1:3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1:34"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1:34"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1:34"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1:34"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1:34"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1:34"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1:34"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1:34"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1:34"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1:3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1:34"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1:34"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1:34"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1:34"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1:34"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1:34"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1:34"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1:34"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1:34"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1:3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1:34"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1:34"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1:34"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1:34"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1:34"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1:34"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1:34"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1:34"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1:34"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1:3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1:34"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1:34"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1:34"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1:34"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1:34"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1:34"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1:34"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1:34"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1:34"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1:3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1:34"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1:34"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1:34"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1:34"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1:34"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1:34"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1:34"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1:34"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1:34"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1:3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1:34"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1:34"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1:34"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1:34"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1:34"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1:34"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1:34"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1:34"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1:34"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1: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1:34"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1:34"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1:34"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1:34"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1:34"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1:34"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1:34"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1:34"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1:34"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1:3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1:34"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1:34"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1:34"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1:34"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1:34"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1:34"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1:3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1:34"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1:34"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1:34"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1:34"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1:34"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1:34"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1:34"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1:34"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1:34"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1:3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1:34"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1:34"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1:34"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1:34"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1:34"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1:34"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1:34"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1:34"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1:34"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1:3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1:34"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1:34"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1:34"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1:34"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1:34"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1:34"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1:34"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1:34"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1:34"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1:3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1:34"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1:34"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1:34"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1:34"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1:34"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1:34"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1:34"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1:34"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1:34"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1:3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1:34"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1:34"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1:34"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1:34"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1:34"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1:34"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1:34"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1:34"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1:34"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1:3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1:34"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1:34"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1:34"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1:34"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1:34"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1:34"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1:34"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1:34"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1:34"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1:3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1:34"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1:34"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1:34"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1:34"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1:34"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1:34"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1:3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1:34"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1:34"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1:34"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1:34"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1:34"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1:34"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1:34"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1:34"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1:34"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1: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1:34"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1:34"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1:34"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1:34"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1:34"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1:34"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1:34"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1:34"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1:34"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1:3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1:34"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1:34"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1:34"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1:34"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1:34"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1:34"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1:34"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1:34"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1:34"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1:3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1:34"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1:34"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1:34"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1:34"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1:34"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1:34"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1:34"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1:34"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1:34"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1:3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1:34"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1:34"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1:34"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1:34"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1:34"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1:34"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1:34"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1:34"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1:34"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1:3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1:34"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1:34"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1:34"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1:34"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1:34"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1:34"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1:34"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1:34"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1:34"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1:3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1:34"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1:34"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1:34"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1:34"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1:34"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1:34"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1:34"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1:34"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1:34"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1:3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1:34"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1:34"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1:34"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1:34"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1:34"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1:34"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1:34"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1:34"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1:34"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1:34"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1:34"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1:34"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1:34"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1:34"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1:34"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1:3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1:34"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1:34"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1:34"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1:34"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1:34"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1:34"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1:34"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1:34"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1:34"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1:3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1:34"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1:34"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1:34"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1:34"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1:34"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1:34"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1:34"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1:34"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1:34"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1: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1:34"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1:34"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1:34"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1:34"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1:34"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1:34"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1:34"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1:34"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1:34"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1:3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1:34"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1:34"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1:34"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1:34"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1:34"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1:34"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1:34"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1:34"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1:34"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1:3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1:34"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1:34"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1:34"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1:34"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1:34"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1:34"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1:34"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1:34"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1:34"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1:3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1:34"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1:34"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1:34"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1:34"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1:34"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1:34"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1:34"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1:34"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1:34"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1:3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1:34"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1:34"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1:34"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1:34"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1:34"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1:34"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1:34"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1:34"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1:34"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1:3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1:34"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1:34"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1:34"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1:34"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1:34"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1:34"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1:34"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1:34"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1:34"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1:3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1:34"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1:34"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1:34"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1:34"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1:34"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1:34"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1:34"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1:34"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1:34"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1:3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1:34"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1:34"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1:34"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1:34"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1:34"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1:34"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1:34"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1:34"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1:34"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1:3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1:34"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1:34"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1:34"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1:34"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1:34"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1:34"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1:34"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1:34"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1:34"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1:3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1:34"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1:34"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1:34"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1:34"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1:34"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1:34"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1:34"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spans="1:34"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spans="1:34"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spans="1: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spans="1:34"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spans="1:34"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spans="1:34"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spans="1:34"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spans="1:34"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spans="1:34"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spans="1:34"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spans="1:34"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spans="1:34"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spans="1:3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spans="1:34"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spans="1:34"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spans="1:34"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spans="1:34"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spans="1:34"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spans="1:34"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spans="1:34"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spans="1:34"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spans="1:34"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spans="1:3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spans="1:34"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spans="1:34"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spans="1:34"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spans="1:34"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spans="1:34"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spans="1:34"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spans="1:34"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spans="1:34"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spans="1:34"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spans="1:3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spans="1:34"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spans="1:34"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spans="1:34"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spans="1:34"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spans="1:34"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spans="1:34"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spans="1:34"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spans="1:34"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spans="1:34"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spans="1:3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spans="1:34"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spans="1:34"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spans="1:34"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spans="1:34"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spans="1:34"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spans="1:34"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spans="1:34"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spans="1:34"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spans="1:34"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spans="1:3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spans="1:34"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spans="1:34"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spans="1:34"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spans="1:34"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spans="1:34"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spans="1:34"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spans="1:34"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spans="1:34"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spans="1:34"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spans="1:3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spans="1:34"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spans="1:34"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spans="1:34"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spans="1:34"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spans="1:34"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spans="1:34"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mergeCells count="1">
    <mergeCell ref="A9:U9"/>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Z1000"/>
  <sheetViews>
    <sheetView showGridLines="0" zoomScale="125" workbookViewId="0">
      <selection activeCell="A5" sqref="A5"/>
    </sheetView>
  </sheetViews>
  <sheetFormatPr baseColWidth="10" defaultColWidth="14.5" defaultRowHeight="15" customHeight="1"/>
  <cols>
    <col min="1" max="1" width="60.33203125" customWidth="1"/>
    <col min="2" max="26" width="8.6640625" customWidth="1"/>
  </cols>
  <sheetData>
    <row r="1" spans="1:26" ht="41.25" customHeight="1">
      <c r="A1" s="131" t="s">
        <v>22</v>
      </c>
      <c r="B1" s="132"/>
      <c r="C1" s="132"/>
      <c r="D1" s="132"/>
      <c r="E1" s="132"/>
      <c r="F1" s="132"/>
      <c r="G1" s="132"/>
      <c r="H1" s="132"/>
      <c r="I1" s="132"/>
      <c r="J1" s="132"/>
      <c r="K1" s="132"/>
      <c r="L1" s="132"/>
      <c r="M1" s="132"/>
      <c r="N1" s="132"/>
      <c r="O1" s="132"/>
      <c r="P1" s="132"/>
      <c r="Q1" s="132"/>
      <c r="R1" s="132"/>
      <c r="S1" s="132"/>
      <c r="T1" s="132"/>
      <c r="U1" s="132"/>
      <c r="V1" s="132"/>
      <c r="W1" s="132"/>
      <c r="X1" s="132"/>
      <c r="Y1" s="132"/>
      <c r="Z1" s="132"/>
    </row>
    <row r="2" spans="1:26" ht="17.25" customHeight="1">
      <c r="A2" s="131" t="s">
        <v>23</v>
      </c>
      <c r="B2" s="132"/>
      <c r="C2" s="132"/>
      <c r="D2" s="132"/>
      <c r="E2" s="132"/>
      <c r="F2" s="132"/>
      <c r="G2" s="132"/>
      <c r="H2" s="132"/>
      <c r="I2" s="132"/>
      <c r="J2" s="132"/>
      <c r="K2" s="132"/>
      <c r="L2" s="132"/>
      <c r="M2" s="132"/>
      <c r="N2" s="132"/>
      <c r="O2" s="132"/>
      <c r="P2" s="132"/>
      <c r="Q2" s="132"/>
      <c r="R2" s="132"/>
      <c r="S2" s="132"/>
      <c r="T2" s="132"/>
      <c r="U2" s="132"/>
      <c r="V2" s="132"/>
      <c r="W2" s="132"/>
      <c r="X2" s="132"/>
      <c r="Y2" s="132"/>
      <c r="Z2" s="132"/>
    </row>
    <row r="3" spans="1:26" ht="17.25" customHeight="1">
      <c r="A3" s="131" t="s">
        <v>24</v>
      </c>
      <c r="B3" s="132" t="s">
        <v>25</v>
      </c>
      <c r="C3" s="132"/>
      <c r="D3" s="132"/>
      <c r="E3" s="132"/>
      <c r="F3" s="132"/>
      <c r="G3" s="132"/>
      <c r="H3" s="132"/>
      <c r="I3" s="132"/>
      <c r="J3" s="132"/>
      <c r="K3" s="132"/>
      <c r="L3" s="132"/>
      <c r="M3" s="132"/>
      <c r="N3" s="132"/>
      <c r="O3" s="132"/>
      <c r="P3" s="132"/>
      <c r="Q3" s="132"/>
      <c r="R3" s="132"/>
      <c r="S3" s="132"/>
      <c r="T3" s="132"/>
      <c r="U3" s="132"/>
      <c r="V3" s="132"/>
      <c r="W3" s="132"/>
      <c r="X3" s="132"/>
      <c r="Y3" s="132"/>
      <c r="Z3" s="132"/>
    </row>
    <row r="4" spans="1:26" ht="17.25" customHeight="1">
      <c r="A4" s="131" t="s">
        <v>26</v>
      </c>
      <c r="B4" s="132" t="s">
        <v>27</v>
      </c>
      <c r="C4" s="132"/>
      <c r="D4" s="132"/>
      <c r="E4" s="132"/>
      <c r="F4" s="132"/>
      <c r="G4" s="132"/>
      <c r="H4" s="132"/>
      <c r="I4" s="132"/>
      <c r="J4" s="132"/>
      <c r="K4" s="132"/>
      <c r="L4" s="132"/>
      <c r="M4" s="132"/>
      <c r="N4" s="132"/>
      <c r="O4" s="132"/>
      <c r="P4" s="132"/>
      <c r="Q4" s="132"/>
      <c r="R4" s="132"/>
      <c r="S4" s="132"/>
      <c r="T4" s="132"/>
      <c r="U4" s="132"/>
      <c r="V4" s="132"/>
      <c r="W4" s="132"/>
      <c r="X4" s="132"/>
      <c r="Y4" s="132"/>
      <c r="Z4" s="132"/>
    </row>
    <row r="5" spans="1:26" ht="17.25" customHeight="1">
      <c r="A5" s="131" t="s">
        <v>28</v>
      </c>
      <c r="B5" s="132" t="s">
        <v>29</v>
      </c>
      <c r="C5" s="132"/>
      <c r="D5" s="132"/>
      <c r="E5" s="132"/>
      <c r="F5" s="132"/>
      <c r="G5" s="132"/>
      <c r="H5" s="132"/>
      <c r="I5" s="132"/>
      <c r="J5" s="132"/>
      <c r="K5" s="132"/>
      <c r="L5" s="132"/>
      <c r="M5" s="132"/>
      <c r="N5" s="132"/>
      <c r="O5" s="132"/>
      <c r="P5" s="132"/>
      <c r="Q5" s="132"/>
      <c r="R5" s="132"/>
      <c r="S5" s="132"/>
      <c r="T5" s="132"/>
      <c r="U5" s="132"/>
      <c r="V5" s="132"/>
      <c r="W5" s="132"/>
      <c r="X5" s="132"/>
      <c r="Y5" s="132"/>
      <c r="Z5" s="132"/>
    </row>
    <row r="6" spans="1:26" ht="17.25" customHeight="1">
      <c r="A6" s="131" t="s">
        <v>30</v>
      </c>
      <c r="B6" s="132" t="s">
        <v>31</v>
      </c>
      <c r="C6" s="132"/>
      <c r="D6" s="132"/>
      <c r="E6" s="132"/>
      <c r="F6" s="132"/>
      <c r="G6" s="132"/>
      <c r="H6" s="132"/>
      <c r="I6" s="132"/>
      <c r="J6" s="132"/>
      <c r="K6" s="132"/>
      <c r="L6" s="132"/>
      <c r="M6" s="132"/>
      <c r="N6" s="132"/>
      <c r="O6" s="132"/>
      <c r="P6" s="132"/>
      <c r="Q6" s="132"/>
      <c r="R6" s="132"/>
      <c r="S6" s="132"/>
      <c r="T6" s="132"/>
      <c r="U6" s="132"/>
      <c r="V6" s="132"/>
      <c r="W6" s="132"/>
      <c r="X6" s="132"/>
      <c r="Y6" s="132"/>
      <c r="Z6" s="132"/>
    </row>
    <row r="7" spans="1:26" ht="17.25" customHeight="1">
      <c r="A7" s="131" t="s">
        <v>32</v>
      </c>
      <c r="B7" s="132" t="s">
        <v>33</v>
      </c>
      <c r="C7" s="132"/>
      <c r="D7" s="132"/>
      <c r="E7" s="132"/>
      <c r="F7" s="132"/>
      <c r="G7" s="132"/>
      <c r="H7" s="132"/>
      <c r="I7" s="132"/>
      <c r="J7" s="132"/>
      <c r="K7" s="132"/>
      <c r="L7" s="132"/>
      <c r="M7" s="132"/>
      <c r="N7" s="132"/>
      <c r="O7" s="132"/>
      <c r="P7" s="132"/>
      <c r="Q7" s="132"/>
      <c r="R7" s="132"/>
      <c r="S7" s="132"/>
      <c r="T7" s="132"/>
      <c r="U7" s="132"/>
      <c r="V7" s="132"/>
      <c r="W7" s="132"/>
      <c r="X7" s="132"/>
      <c r="Y7" s="132"/>
      <c r="Z7" s="132"/>
    </row>
    <row r="8" spans="1:26" ht="17.25" customHeight="1">
      <c r="A8" s="131" t="s">
        <v>34</v>
      </c>
      <c r="B8" s="132" t="s">
        <v>35</v>
      </c>
      <c r="C8" s="132"/>
      <c r="D8" s="132"/>
      <c r="E8" s="132"/>
      <c r="F8" s="132"/>
      <c r="G8" s="132"/>
      <c r="H8" s="132"/>
      <c r="I8" s="132"/>
      <c r="J8" s="132"/>
      <c r="K8" s="132"/>
      <c r="L8" s="132"/>
      <c r="M8" s="132"/>
      <c r="N8" s="132"/>
      <c r="O8" s="132"/>
      <c r="P8" s="132"/>
      <c r="Q8" s="132"/>
      <c r="R8" s="132"/>
      <c r="S8" s="132"/>
      <c r="T8" s="132"/>
      <c r="U8" s="132"/>
      <c r="V8" s="132"/>
      <c r="W8" s="132"/>
      <c r="X8" s="132"/>
      <c r="Y8" s="132"/>
      <c r="Z8" s="132"/>
    </row>
    <row r="9" spans="1:26" ht="17.25" customHeight="1">
      <c r="A9" s="3"/>
      <c r="B9" s="3"/>
      <c r="C9" s="3"/>
      <c r="D9" s="3"/>
      <c r="E9" s="3"/>
      <c r="F9" s="3"/>
      <c r="G9" s="3"/>
      <c r="H9" s="3"/>
      <c r="I9" s="3"/>
      <c r="J9" s="3"/>
      <c r="K9" s="3"/>
      <c r="L9" s="3"/>
      <c r="M9" s="3"/>
      <c r="N9" s="3"/>
      <c r="O9" s="3"/>
      <c r="P9" s="3"/>
      <c r="Q9" s="3"/>
      <c r="R9" s="3"/>
      <c r="S9" s="3"/>
      <c r="T9" s="3"/>
      <c r="U9" s="3"/>
      <c r="V9" s="3"/>
      <c r="W9" s="3"/>
      <c r="X9" s="3"/>
      <c r="Y9" s="3"/>
      <c r="Z9" s="3"/>
    </row>
    <row r="10" spans="1:26" ht="17.25" customHeight="1">
      <c r="A10" s="18"/>
      <c r="B10" s="3"/>
      <c r="C10" s="3"/>
      <c r="D10" s="3"/>
      <c r="E10" s="3"/>
      <c r="F10" s="3"/>
      <c r="G10" s="3"/>
      <c r="H10" s="3"/>
      <c r="I10" s="3"/>
      <c r="J10" s="3"/>
      <c r="K10" s="3"/>
      <c r="L10" s="3"/>
      <c r="M10" s="3"/>
      <c r="N10" s="3"/>
      <c r="O10" s="3"/>
      <c r="P10" s="3"/>
      <c r="Q10" s="3"/>
      <c r="R10" s="3"/>
      <c r="S10" s="3"/>
      <c r="T10" s="3"/>
      <c r="U10" s="3"/>
      <c r="V10" s="3"/>
      <c r="W10" s="3"/>
      <c r="X10" s="3"/>
      <c r="Y10" s="3"/>
      <c r="Z10" s="3"/>
    </row>
    <row r="11" spans="1:26" ht="17.25" customHeight="1">
      <c r="A11" s="18"/>
      <c r="B11" s="3"/>
      <c r="C11" s="3"/>
      <c r="D11" s="3"/>
      <c r="E11" s="3"/>
      <c r="F11" s="3"/>
      <c r="G11" s="3"/>
      <c r="H11" s="3"/>
      <c r="I11" s="3"/>
      <c r="J11" s="3"/>
      <c r="K11" s="3"/>
      <c r="L11" s="3"/>
      <c r="M11" s="3"/>
      <c r="N11" s="3"/>
      <c r="O11" s="3"/>
      <c r="P11" s="3"/>
      <c r="Q11" s="3"/>
      <c r="R11" s="3"/>
      <c r="S11" s="3"/>
      <c r="T11" s="3"/>
      <c r="U11" s="3"/>
      <c r="V11" s="3"/>
      <c r="W11" s="3"/>
      <c r="X11" s="3"/>
      <c r="Y11" s="3"/>
      <c r="Z11" s="3"/>
    </row>
    <row r="12" spans="1:26" ht="17.25" customHeight="1">
      <c r="A12" s="18"/>
      <c r="B12" s="3"/>
      <c r="C12" s="3"/>
      <c r="D12" s="3"/>
      <c r="E12" s="3"/>
      <c r="F12" s="3"/>
      <c r="G12" s="3"/>
      <c r="H12" s="3"/>
      <c r="I12" s="3"/>
      <c r="J12" s="3"/>
      <c r="K12" s="3"/>
      <c r="L12" s="3"/>
      <c r="M12" s="3"/>
      <c r="N12" s="3"/>
      <c r="O12" s="3"/>
      <c r="P12" s="3"/>
      <c r="Q12" s="3"/>
      <c r="R12" s="3"/>
      <c r="S12" s="3"/>
      <c r="T12" s="3"/>
      <c r="U12" s="3"/>
      <c r="V12" s="3"/>
      <c r="W12" s="3"/>
      <c r="X12" s="3"/>
      <c r="Y12" s="3"/>
      <c r="Z12" s="3"/>
    </row>
    <row r="13" spans="1:26" ht="17.25" customHeight="1">
      <c r="A13" s="18"/>
      <c r="B13" s="3"/>
      <c r="C13" s="3"/>
      <c r="D13" s="3"/>
      <c r="E13" s="3"/>
      <c r="F13" s="3"/>
      <c r="G13" s="3"/>
      <c r="H13" s="3"/>
      <c r="I13" s="3"/>
      <c r="J13" s="3"/>
      <c r="K13" s="3"/>
      <c r="L13" s="3"/>
      <c r="M13" s="3"/>
      <c r="N13" s="3"/>
      <c r="O13" s="3"/>
      <c r="P13" s="3"/>
      <c r="Q13" s="3"/>
      <c r="R13" s="3"/>
      <c r="S13" s="3"/>
      <c r="T13" s="3"/>
      <c r="U13" s="3"/>
      <c r="V13" s="3"/>
      <c r="W13" s="3"/>
      <c r="X13" s="3"/>
      <c r="Y13" s="3"/>
      <c r="Z13" s="3"/>
    </row>
    <row r="14" spans="1:26" ht="17.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7.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7.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7.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7.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7.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7.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7.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7.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7.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7.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7.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7.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7.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7.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7.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7.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7.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7.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7.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7.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7.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7.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7.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7.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7.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7.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7.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7.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7.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7.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7.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7.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7.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7.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7.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7.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7.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7.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7.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7.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7.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7.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7.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7.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7.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7.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7.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7.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7.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7.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7.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7.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7.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7.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7.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7.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7.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7.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7.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7.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7.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7.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7.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7.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7.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7.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7.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7.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7.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7.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7.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7.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7.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7.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7.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7.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7.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7.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7.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7.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7.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7.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7.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7.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7.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7.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7.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7.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7.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7.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7.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7.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7.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7.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7.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7.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7.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7.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7.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7.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7.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7.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7.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7.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7.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7.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7.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7.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7.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7.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7.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7.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7.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7.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7.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7.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7.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7.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7.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7.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7.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7.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7.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7.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7.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7.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7.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7.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7.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7.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7.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7.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7.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7.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7.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7.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7.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7.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7.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7.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7.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7.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7.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7.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7.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7.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7.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7.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7.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7.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7.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7.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7.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7.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7.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7.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7.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7.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7.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7.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7.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7.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7.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7.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7.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7.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7.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7.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7.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7.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7.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7.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7.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7.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7.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7.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7.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7.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7.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7.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7.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7.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7.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7.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7.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7.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7.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7.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7.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7.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7.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7.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7.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7.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7.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7.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7.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7.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7.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7.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7.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7.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7.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7.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7.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7.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7.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7.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7.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7.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7.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7.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7.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7.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7.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7.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7.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7.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7.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7.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7.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7.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7.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7.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7.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7.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7.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7.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7.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7.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7.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7.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7.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7.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7.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7.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7.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7.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7.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7.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7.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7.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7.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7.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7.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7.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7.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7.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7.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7.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7.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7.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7.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7.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7.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7.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7.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7.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7.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7.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7.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7.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7.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7.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7.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7.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7.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7.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7.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7.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7.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7.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7.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7.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7.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7.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7.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7.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7.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7.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7.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7.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7.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7.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7.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7.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7.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7.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7.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7.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7.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7.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7.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7.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7.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7.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7.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7.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7.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7.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7.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7.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7.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7.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7.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7.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7.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7.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7.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7.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7.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7.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7.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7.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7.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7.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7.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7.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7.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7.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7.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7.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7.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7.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7.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7.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7.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7.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7.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7.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7.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7.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7.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7.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7.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7.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7.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7.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7.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7.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7.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7.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7.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7.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7.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7.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7.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7.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7.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7.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7.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7.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7.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7.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7.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7.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7.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7.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7.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7.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7.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7.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7.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7.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7.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7.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7.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7.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7.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7.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7.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7.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7.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7.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7.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7.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7.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7.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7.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7.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7.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7.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7.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7.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7.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7.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7.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7.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7.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7.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7.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7.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7.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7.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7.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7.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7.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7.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7.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7.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7.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7.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7.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7.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7.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7.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7.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7.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7.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7.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7.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7.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7.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7.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7.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7.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7.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7.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7.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7.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7.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7.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7.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7.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7.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7.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7.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7.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7.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7.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7.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7.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7.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7.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7.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7.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7.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7.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7.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7.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7.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7.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7.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7.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7.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7.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7.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7.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7.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7.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7.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7.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7.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7.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7.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7.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7.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7.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7.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7.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7.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7.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7.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7.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7.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7.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7.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7.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7.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7.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7.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7.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7.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7.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7.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7.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7.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7.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7.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7.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7.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7.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7.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7.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7.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7.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7.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7.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7.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7.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7.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7.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7.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7.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7.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7.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7.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7.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7.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7.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7.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7.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7.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7.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7.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7.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7.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7.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7.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7.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7.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7.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7.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7.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7.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7.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7.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7.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7.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7.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7.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7.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7.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7.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7.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7.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7.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7.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7.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7.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7.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7.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7.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7.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7.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7.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7.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7.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7.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7.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7.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7.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7.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7.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7.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7.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7.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7.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7.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7.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7.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7.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7.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7.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7.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7.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7.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7.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7.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7.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7.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7.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7.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7.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7.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7.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7.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7.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7.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7.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7.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7.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7.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7.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7.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7.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7.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7.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7.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7.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7.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7.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7.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7.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7.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7.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7.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7.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7.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7.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7.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7.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7.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7.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7.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7.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7.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7.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7.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7.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7.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7.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7.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7.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7.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7.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7.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7.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7.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7.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7.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7.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7.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7.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7.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7.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7.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7.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7.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7.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7.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7.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7.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7.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7.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7.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7.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7.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7.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7.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7.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7.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7.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7.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7.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7.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7.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7.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7.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7.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7.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7.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7.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7.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7.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7.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7.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7.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7.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7.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7.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7.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7.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7.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7.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7.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7.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7.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7.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7.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7.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7.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7.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7.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7.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7.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7.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7.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7.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7.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7.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7.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7.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7.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7.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7.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7.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7.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7.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7.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7.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7.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7.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7.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7.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7.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7.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7.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7.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7.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7.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7.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7.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7.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7.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7.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7.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7.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7.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7.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7.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7.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7.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7.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7.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7.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7.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7.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7.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7.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7.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7.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7.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7.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7.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7.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7.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7.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7.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7.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7.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7.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7.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7.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7.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7.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7.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7.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7.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7.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7.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7.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7.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7.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7.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7.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7.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7.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7.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7.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7.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7.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7.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7.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7.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7.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7.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7.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7.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7.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7.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7.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7.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7.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7.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7.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7.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7.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7.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7.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7.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7.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7.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7.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7.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7.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7.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7.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7.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7.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7.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7.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7.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7.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7.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7.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7.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7.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7.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7.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7.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7.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7.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7.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7.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7.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7.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7.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7.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7.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7.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7.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7.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7.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7.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7.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7.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7.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7.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7.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7.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7.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7.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7.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7.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7.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7.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7.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7.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7.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7.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7.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7.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7.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7.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7.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7.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7.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7.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7.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7.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7.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7.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7.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7.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7.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7.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7.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7.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7.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7.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7.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7.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7.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7.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7.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7.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7.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7.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7.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7.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7.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7.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7.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7.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7.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7.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7.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7.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7.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7.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7.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7.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7.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7.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7.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7.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7.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7.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7.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7.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7.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7.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7.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7.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7.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7.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7.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7.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7.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7.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7.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7.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7.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7.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7.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7.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7.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7.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7.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7.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7.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7.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7.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7.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7.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7.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7.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7.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7.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7.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7.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7.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7.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7.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7.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7.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7.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7.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7.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7.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7.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7.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7.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7.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7.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7.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7.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7.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7.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7.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7.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7.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7.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7.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7.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7.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7.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7.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7.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7.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7.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7.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7.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7.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7.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7.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7.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7.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7.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7.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7.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7.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7.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7.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7.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7.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7.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7.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7.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7.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7.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7.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7.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7.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7.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7.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7.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7.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7.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7.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7.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7.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7.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7.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7.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7.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7.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7.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7.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7.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7.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7.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7.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7.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7.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7.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7.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7.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7.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7.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7.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7.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7.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7.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7.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7.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7.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7.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7.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7.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7.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7.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7.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7.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7.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Z1000"/>
  <sheetViews>
    <sheetView zoomScale="90" zoomScaleNormal="111" workbookViewId="0">
      <pane xSplit="4" ySplit="6" topLeftCell="I51" activePane="bottomRight" state="frozen"/>
      <selection pane="topRight" activeCell="E1" sqref="E1"/>
      <selection pane="bottomLeft" activeCell="A7" sqref="A7"/>
      <selection pane="bottomRight" activeCell="G73" sqref="G73"/>
    </sheetView>
  </sheetViews>
  <sheetFormatPr baseColWidth="10" defaultColWidth="14.5" defaultRowHeight="15" customHeight="1"/>
  <cols>
    <col min="1" max="1" width="25.6640625" customWidth="1"/>
    <col min="2" max="2" width="24.6640625" customWidth="1"/>
    <col min="3" max="3" width="27.5" customWidth="1"/>
    <col min="4" max="4" width="36.1640625" customWidth="1"/>
    <col min="5" max="16" width="17.33203125" customWidth="1"/>
    <col min="17" max="17" width="15.1640625" bestFit="1" customWidth="1"/>
    <col min="18" max="18" width="13.1640625" bestFit="1" customWidth="1"/>
    <col min="19" max="25" width="9.1640625" customWidth="1"/>
  </cols>
  <sheetData>
    <row r="1" spans="1:26" ht="12" customHeight="1">
      <c r="A1" s="2" t="s">
        <v>36</v>
      </c>
      <c r="B1" s="4"/>
      <c r="C1" s="4"/>
      <c r="D1" s="4"/>
      <c r="E1" s="4"/>
      <c r="F1" s="4"/>
      <c r="G1" s="4"/>
      <c r="H1" s="4"/>
      <c r="I1" s="4"/>
      <c r="J1" s="4"/>
      <c r="K1" s="4"/>
      <c r="L1" s="4"/>
      <c r="M1" s="4"/>
      <c r="N1" s="4"/>
      <c r="O1" s="4"/>
      <c r="P1" s="4"/>
      <c r="Q1" s="4"/>
      <c r="R1" s="4"/>
      <c r="S1" s="4"/>
      <c r="T1" s="4"/>
      <c r="U1" s="4"/>
      <c r="V1" s="4"/>
      <c r="W1" s="4"/>
      <c r="X1" s="4"/>
      <c r="Y1" s="4"/>
    </row>
    <row r="2" spans="1:26" ht="12" customHeight="1">
      <c r="A2" s="4"/>
      <c r="B2" s="4"/>
      <c r="C2" s="4"/>
      <c r="D2" s="4"/>
      <c r="E2" s="4"/>
      <c r="F2" s="4"/>
      <c r="G2" s="4"/>
      <c r="H2" s="4"/>
      <c r="I2" s="4"/>
      <c r="J2" s="4"/>
      <c r="K2" s="4"/>
      <c r="L2" s="4"/>
      <c r="M2" s="4"/>
      <c r="N2" s="4"/>
      <c r="O2" s="4"/>
      <c r="P2" s="4"/>
      <c r="Q2" s="4"/>
      <c r="R2" s="4"/>
      <c r="S2" s="4"/>
      <c r="T2" s="4"/>
      <c r="U2" s="4"/>
      <c r="V2" s="4"/>
      <c r="W2" s="4"/>
      <c r="X2" s="4"/>
      <c r="Y2" s="4"/>
    </row>
    <row r="3" spans="1:26" ht="12" customHeight="1">
      <c r="A3" s="131" t="s">
        <v>37</v>
      </c>
      <c r="B3" s="131"/>
      <c r="C3" s="132"/>
      <c r="D3" s="132"/>
      <c r="E3" s="132"/>
      <c r="F3" s="132"/>
      <c r="G3" s="132"/>
      <c r="H3" s="132"/>
      <c r="I3" s="132"/>
      <c r="J3" s="132"/>
      <c r="K3" s="132"/>
      <c r="L3" s="132"/>
      <c r="M3" s="132"/>
      <c r="N3" s="132"/>
      <c r="O3" s="132"/>
      <c r="P3" s="132"/>
      <c r="Q3" s="132"/>
      <c r="R3" s="132"/>
      <c r="S3" s="132"/>
      <c r="T3" s="132"/>
      <c r="U3" s="132"/>
      <c r="V3" s="132"/>
      <c r="W3" s="132"/>
      <c r="X3" s="132"/>
      <c r="Y3" s="132"/>
      <c r="Z3" s="134"/>
    </row>
    <row r="4" spans="1:26" ht="12" customHeight="1">
      <c r="A4" s="131" t="s">
        <v>38</v>
      </c>
      <c r="B4" s="135"/>
      <c r="C4" s="136"/>
      <c r="D4" s="135"/>
      <c r="E4" s="135"/>
      <c r="F4" s="135"/>
      <c r="G4" s="135"/>
      <c r="H4" s="135"/>
      <c r="I4" s="135"/>
      <c r="J4" s="135"/>
      <c r="K4" s="135"/>
      <c r="L4" s="135"/>
      <c r="M4" s="135"/>
      <c r="N4" s="135"/>
      <c r="O4" s="135"/>
      <c r="P4" s="135"/>
      <c r="Q4" s="137"/>
      <c r="R4" s="137"/>
      <c r="S4" s="137"/>
      <c r="T4" s="137"/>
      <c r="U4" s="137"/>
      <c r="V4" s="137"/>
      <c r="W4" s="137"/>
      <c r="X4" s="137"/>
      <c r="Y4" s="137"/>
      <c r="Z4" s="138"/>
    </row>
    <row r="5" spans="1:26" ht="12" customHeight="1">
      <c r="A5" s="5"/>
      <c r="B5" s="6"/>
      <c r="C5" s="7"/>
      <c r="D5" s="8"/>
      <c r="E5" s="9">
        <v>41456</v>
      </c>
      <c r="F5" s="9">
        <v>41487</v>
      </c>
      <c r="G5" s="9">
        <v>41518</v>
      </c>
      <c r="H5" s="9">
        <v>41548</v>
      </c>
      <c r="I5" s="9">
        <v>41579</v>
      </c>
      <c r="J5" s="9">
        <v>41609</v>
      </c>
      <c r="K5" s="9">
        <v>41640</v>
      </c>
      <c r="L5" s="9">
        <v>41671</v>
      </c>
      <c r="M5" s="9">
        <v>41699</v>
      </c>
      <c r="N5" s="9">
        <v>41730</v>
      </c>
      <c r="O5" s="9">
        <v>41760</v>
      </c>
      <c r="P5" s="9">
        <v>41791</v>
      </c>
      <c r="Q5" s="132"/>
      <c r="R5" s="132"/>
      <c r="S5" s="132"/>
      <c r="T5" s="132"/>
      <c r="U5" s="132"/>
      <c r="V5" s="132"/>
      <c r="W5" s="132"/>
      <c r="X5" s="132"/>
      <c r="Y5" s="132"/>
      <c r="Z5" s="134"/>
    </row>
    <row r="6" spans="1:26" ht="12" customHeight="1">
      <c r="A6" s="10" t="s">
        <v>39</v>
      </c>
      <c r="B6" s="139" t="s">
        <v>40</v>
      </c>
      <c r="C6" s="11" t="s">
        <v>41</v>
      </c>
      <c r="D6" s="12" t="s">
        <v>42</v>
      </c>
      <c r="E6" s="13" t="s">
        <v>43</v>
      </c>
      <c r="F6" s="13" t="s">
        <v>44</v>
      </c>
      <c r="G6" s="13" t="s">
        <v>45</v>
      </c>
      <c r="H6" s="13" t="s">
        <v>46</v>
      </c>
      <c r="I6" s="13" t="s">
        <v>47</v>
      </c>
      <c r="J6" s="13" t="s">
        <v>48</v>
      </c>
      <c r="K6" s="13" t="s">
        <v>49</v>
      </c>
      <c r="L6" s="13" t="s">
        <v>50</v>
      </c>
      <c r="M6" s="13" t="s">
        <v>51</v>
      </c>
      <c r="N6" s="13" t="s">
        <v>52</v>
      </c>
      <c r="O6" s="13" t="s">
        <v>53</v>
      </c>
      <c r="P6" s="13" t="s">
        <v>54</v>
      </c>
      <c r="Q6" s="132"/>
      <c r="R6" s="132"/>
      <c r="S6" s="132"/>
      <c r="T6" s="132"/>
      <c r="U6" s="132"/>
      <c r="V6" s="132"/>
      <c r="W6" s="132"/>
      <c r="X6" s="132"/>
      <c r="Y6" s="132"/>
      <c r="Z6" s="134"/>
    </row>
    <row r="7" spans="1:26" ht="12" customHeight="1">
      <c r="A7" s="14" t="s">
        <v>55</v>
      </c>
      <c r="B7" s="140" t="s">
        <v>56</v>
      </c>
      <c r="C7" s="206" t="s">
        <v>57</v>
      </c>
      <c r="D7" s="14" t="s">
        <v>58</v>
      </c>
      <c r="E7" s="16">
        <v>-4328</v>
      </c>
      <c r="F7" s="16">
        <v>-3990.29</v>
      </c>
      <c r="G7" s="16">
        <v>-3990.62</v>
      </c>
      <c r="H7" s="16">
        <v>-3839.45</v>
      </c>
      <c r="I7" s="16">
        <v>-3817.86</v>
      </c>
      <c r="J7" s="16">
        <v>-4111.9799999999996</v>
      </c>
      <c r="K7" s="16">
        <v>-4484.66</v>
      </c>
      <c r="L7" s="16">
        <v>-4222.71</v>
      </c>
      <c r="M7" s="16">
        <v>-4838.3</v>
      </c>
      <c r="N7" s="16">
        <v>-3259.32</v>
      </c>
      <c r="O7" s="16">
        <v>0</v>
      </c>
      <c r="P7" s="16">
        <v>-2125.7199999999998</v>
      </c>
      <c r="Q7" s="4"/>
      <c r="R7" s="4"/>
      <c r="S7" s="4"/>
      <c r="T7" s="4"/>
      <c r="U7" s="4"/>
      <c r="V7" s="4"/>
      <c r="W7" s="4"/>
      <c r="X7" s="4"/>
      <c r="Y7" s="4"/>
      <c r="Z7" s="17"/>
    </row>
    <row r="8" spans="1:26" ht="12" customHeight="1">
      <c r="A8" s="212" t="s">
        <v>55</v>
      </c>
      <c r="B8" s="213" t="s">
        <v>59</v>
      </c>
      <c r="C8" s="214" t="s">
        <v>57</v>
      </c>
      <c r="D8" s="215" t="s">
        <v>59</v>
      </c>
      <c r="E8" s="216">
        <f>SUM(E7)</f>
        <v>-4328</v>
      </c>
      <c r="F8" s="216">
        <f t="shared" ref="F8:P8" si="0">SUM(F7)</f>
        <v>-3990.29</v>
      </c>
      <c r="G8" s="216">
        <f t="shared" si="0"/>
        <v>-3990.62</v>
      </c>
      <c r="H8" s="216">
        <f t="shared" si="0"/>
        <v>-3839.45</v>
      </c>
      <c r="I8" s="216">
        <f t="shared" si="0"/>
        <v>-3817.86</v>
      </c>
      <c r="J8" s="216">
        <f t="shared" si="0"/>
        <v>-4111.9799999999996</v>
      </c>
      <c r="K8" s="216">
        <f t="shared" si="0"/>
        <v>-4484.66</v>
      </c>
      <c r="L8" s="216">
        <f t="shared" si="0"/>
        <v>-4222.71</v>
      </c>
      <c r="M8" s="216">
        <f t="shared" si="0"/>
        <v>-4838.3</v>
      </c>
      <c r="N8" s="216">
        <f t="shared" si="0"/>
        <v>-3259.32</v>
      </c>
      <c r="O8" s="216">
        <f t="shared" si="0"/>
        <v>0</v>
      </c>
      <c r="P8" s="216">
        <f t="shared" si="0"/>
        <v>-2125.7199999999998</v>
      </c>
      <c r="Q8" s="2"/>
      <c r="R8" s="2"/>
      <c r="S8" s="2"/>
      <c r="T8" s="2"/>
      <c r="U8" s="2"/>
      <c r="V8" s="2"/>
      <c r="W8" s="2"/>
      <c r="X8" s="2"/>
      <c r="Y8" s="2"/>
      <c r="Z8" s="19"/>
    </row>
    <row r="9" spans="1:26" ht="12" customHeight="1">
      <c r="A9" s="14" t="s">
        <v>55</v>
      </c>
      <c r="B9" s="140" t="s">
        <v>56</v>
      </c>
      <c r="C9" s="15" t="s">
        <v>60</v>
      </c>
      <c r="D9" s="208" t="s">
        <v>61</v>
      </c>
      <c r="E9" s="16">
        <v>0</v>
      </c>
      <c r="F9" s="16">
        <v>0</v>
      </c>
      <c r="G9" s="16">
        <v>-2735</v>
      </c>
      <c r="H9" s="16">
        <v>0</v>
      </c>
      <c r="I9" s="16">
        <v>0</v>
      </c>
      <c r="J9" s="16">
        <v>0</v>
      </c>
      <c r="K9" s="16">
        <v>0</v>
      </c>
      <c r="L9" s="16">
        <v>0</v>
      </c>
      <c r="M9" s="16">
        <v>0</v>
      </c>
      <c r="N9" s="16">
        <v>0</v>
      </c>
      <c r="O9" s="16">
        <v>0</v>
      </c>
      <c r="P9" s="16">
        <v>0</v>
      </c>
      <c r="Q9" s="4"/>
      <c r="R9" s="4"/>
      <c r="S9" s="4"/>
      <c r="T9" s="4"/>
      <c r="U9" s="4"/>
      <c r="V9" s="4"/>
      <c r="W9" s="4"/>
      <c r="X9" s="4"/>
      <c r="Y9" s="4"/>
      <c r="Z9" s="17"/>
    </row>
    <row r="10" spans="1:26" ht="12" customHeight="1">
      <c r="A10" s="14" t="s">
        <v>55</v>
      </c>
      <c r="B10" s="140" t="s">
        <v>56</v>
      </c>
      <c r="C10" s="15" t="s">
        <v>60</v>
      </c>
      <c r="D10" s="208" t="s">
        <v>62</v>
      </c>
      <c r="E10" s="16">
        <v>-1918</v>
      </c>
      <c r="F10" s="16">
        <v>-1970.98</v>
      </c>
      <c r="G10" s="16">
        <v>-2430.4699999999998</v>
      </c>
      <c r="H10" s="16">
        <v>-1660.32</v>
      </c>
      <c r="I10" s="16">
        <v>-3419.82</v>
      </c>
      <c r="J10" s="16">
        <v>-1996.6</v>
      </c>
      <c r="K10" s="16">
        <v>-1660.59</v>
      </c>
      <c r="L10" s="16">
        <v>124.35</v>
      </c>
      <c r="M10" s="16">
        <v>-5481.39</v>
      </c>
      <c r="N10" s="16">
        <v>-6336.58</v>
      </c>
      <c r="O10" s="16">
        <v>2700</v>
      </c>
      <c r="P10" s="16">
        <v>-30</v>
      </c>
      <c r="Q10" s="4"/>
      <c r="R10" s="4"/>
      <c r="S10" s="4"/>
      <c r="T10" s="4"/>
      <c r="U10" s="4"/>
      <c r="V10" s="4"/>
      <c r="W10" s="4"/>
      <c r="X10" s="4"/>
      <c r="Y10" s="4"/>
      <c r="Z10" s="17"/>
    </row>
    <row r="11" spans="1:26" ht="12" customHeight="1">
      <c r="A11" s="14" t="s">
        <v>55</v>
      </c>
      <c r="B11" s="140" t="s">
        <v>56</v>
      </c>
      <c r="C11" s="15" t="s">
        <v>60</v>
      </c>
      <c r="D11" s="14" t="s">
        <v>63</v>
      </c>
      <c r="E11" s="252">
        <v>-33635</v>
      </c>
      <c r="F11" s="16">
        <v>-33635</v>
      </c>
      <c r="G11" s="16">
        <v>-32984</v>
      </c>
      <c r="H11" s="16">
        <v>-33845</v>
      </c>
      <c r="I11" s="16">
        <v>-34503</v>
      </c>
      <c r="J11" s="16">
        <v>-32536</v>
      </c>
      <c r="K11" s="16">
        <v>-35084.25</v>
      </c>
      <c r="L11" s="16">
        <v>-32434</v>
      </c>
      <c r="M11" s="16">
        <v>-33973.199999999997</v>
      </c>
      <c r="N11" s="16">
        <v>-34069</v>
      </c>
      <c r="O11" s="16">
        <v>-32760</v>
      </c>
      <c r="P11" s="16">
        <v>-32612</v>
      </c>
      <c r="Q11" s="4"/>
      <c r="R11" s="4"/>
      <c r="S11" s="4"/>
      <c r="T11" s="4"/>
      <c r="U11" s="4"/>
      <c r="V11" s="4"/>
      <c r="W11" s="4"/>
      <c r="X11" s="4"/>
      <c r="Y11" s="4"/>
      <c r="Z11" s="17"/>
    </row>
    <row r="12" spans="1:26" ht="12" customHeight="1">
      <c r="A12" s="224" t="s">
        <v>55</v>
      </c>
      <c r="B12" s="224" t="s">
        <v>59</v>
      </c>
      <c r="C12" s="224" t="s">
        <v>60</v>
      </c>
      <c r="D12" s="225" t="s">
        <v>59</v>
      </c>
      <c r="E12" s="253">
        <f>SUM(E9:E11)</f>
        <v>-35553</v>
      </c>
      <c r="F12" s="253">
        <f t="shared" ref="F12:P12" si="1">SUM(F9:F11)</f>
        <v>-35605.980000000003</v>
      </c>
      <c r="G12" s="253">
        <f t="shared" si="1"/>
        <v>-38149.47</v>
      </c>
      <c r="H12" s="253">
        <f t="shared" si="1"/>
        <v>-35505.32</v>
      </c>
      <c r="I12" s="253">
        <f t="shared" si="1"/>
        <v>-37922.82</v>
      </c>
      <c r="J12" s="253">
        <f t="shared" si="1"/>
        <v>-34532.6</v>
      </c>
      <c r="K12" s="253">
        <f t="shared" si="1"/>
        <v>-36744.839999999997</v>
      </c>
      <c r="L12" s="253">
        <f t="shared" si="1"/>
        <v>-32309.65</v>
      </c>
      <c r="M12" s="253">
        <f t="shared" si="1"/>
        <v>-39454.589999999997</v>
      </c>
      <c r="N12" s="253">
        <f t="shared" si="1"/>
        <v>-40405.58</v>
      </c>
      <c r="O12" s="253">
        <f t="shared" si="1"/>
        <v>-30060</v>
      </c>
      <c r="P12" s="253">
        <f t="shared" si="1"/>
        <v>-32642</v>
      </c>
      <c r="Q12" s="223"/>
      <c r="R12" s="223"/>
      <c r="S12" s="223"/>
      <c r="T12" s="223"/>
      <c r="U12" s="223"/>
      <c r="V12" s="223"/>
      <c r="W12" s="223"/>
      <c r="X12" s="223"/>
      <c r="Y12" s="223"/>
      <c r="Z12" s="222"/>
    </row>
    <row r="13" spans="1:26" ht="12" customHeight="1">
      <c r="A13" s="14" t="s">
        <v>55</v>
      </c>
      <c r="B13" s="140" t="s">
        <v>56</v>
      </c>
      <c r="C13" s="206" t="s">
        <v>161</v>
      </c>
      <c r="D13" s="14" t="s">
        <v>58</v>
      </c>
      <c r="E13" s="16">
        <v>-8420508.8399999999</v>
      </c>
      <c r="F13" s="16">
        <v>-8110263.4299999997</v>
      </c>
      <c r="G13" s="16">
        <v>-7489561.2000000002</v>
      </c>
      <c r="H13" s="16">
        <v>-7434427.04</v>
      </c>
      <c r="I13" s="16">
        <v>-7850416.3600000003</v>
      </c>
      <c r="J13" s="16">
        <v>-7660703.0700000003</v>
      </c>
      <c r="K13" s="16">
        <v>-11136928.869999999</v>
      </c>
      <c r="L13" s="16">
        <v>-9858066.8399999999</v>
      </c>
      <c r="M13" s="16">
        <v>-10389763.539999999</v>
      </c>
      <c r="N13" s="16">
        <v>-7591438.1900000004</v>
      </c>
      <c r="O13" s="16">
        <v>-7680670.1799999997</v>
      </c>
      <c r="P13" s="16">
        <v>-7380623.6200000001</v>
      </c>
      <c r="Q13" s="4"/>
      <c r="R13" s="4"/>
      <c r="S13" s="4"/>
      <c r="T13" s="4"/>
      <c r="U13" s="4"/>
      <c r="V13" s="4"/>
      <c r="W13" s="4"/>
      <c r="X13" s="4"/>
      <c r="Y13" s="4"/>
      <c r="Z13" s="17"/>
    </row>
    <row r="14" spans="1:26" ht="12" customHeight="1">
      <c r="A14" s="212" t="s">
        <v>55</v>
      </c>
      <c r="B14" s="213" t="s">
        <v>59</v>
      </c>
      <c r="C14" s="217" t="s">
        <v>161</v>
      </c>
      <c r="D14" s="215" t="s">
        <v>59</v>
      </c>
      <c r="E14" s="218">
        <f>SUM(E13)</f>
        <v>-8420508.8399999999</v>
      </c>
      <c r="F14" s="218">
        <f t="shared" ref="F14:P14" si="2">SUM(F13)</f>
        <v>-8110263.4299999997</v>
      </c>
      <c r="G14" s="218">
        <f t="shared" si="2"/>
        <v>-7489561.2000000002</v>
      </c>
      <c r="H14" s="218">
        <f t="shared" si="2"/>
        <v>-7434427.04</v>
      </c>
      <c r="I14" s="218">
        <f t="shared" si="2"/>
        <v>-7850416.3600000003</v>
      </c>
      <c r="J14" s="218">
        <f t="shared" si="2"/>
        <v>-7660703.0700000003</v>
      </c>
      <c r="K14" s="218">
        <f t="shared" si="2"/>
        <v>-11136928.869999999</v>
      </c>
      <c r="L14" s="218">
        <f t="shared" si="2"/>
        <v>-9858066.8399999999</v>
      </c>
      <c r="M14" s="218">
        <f t="shared" si="2"/>
        <v>-10389763.539999999</v>
      </c>
      <c r="N14" s="218">
        <f t="shared" si="2"/>
        <v>-7591438.1900000004</v>
      </c>
      <c r="O14" s="218">
        <f t="shared" si="2"/>
        <v>-7680670.1799999997</v>
      </c>
      <c r="P14" s="218">
        <f t="shared" si="2"/>
        <v>-7380623.6200000001</v>
      </c>
      <c r="Q14" s="2"/>
      <c r="R14" s="2"/>
      <c r="S14" s="2"/>
      <c r="T14" s="2"/>
      <c r="U14" s="2"/>
      <c r="V14" s="2"/>
      <c r="W14" s="2"/>
      <c r="X14" s="2"/>
      <c r="Y14" s="2"/>
      <c r="Z14" s="19"/>
    </row>
    <row r="15" spans="1:26" ht="12" customHeight="1">
      <c r="A15" s="14" t="s">
        <v>55</v>
      </c>
      <c r="B15" s="140" t="s">
        <v>65</v>
      </c>
      <c r="C15" s="206" t="s">
        <v>66</v>
      </c>
      <c r="D15" s="208" t="s">
        <v>62</v>
      </c>
      <c r="E15" s="16">
        <v>35500.949999999997</v>
      </c>
      <c r="F15" s="16">
        <v>24210.95</v>
      </c>
      <c r="G15" s="16">
        <v>41241.32</v>
      </c>
      <c r="H15" s="16">
        <v>26123</v>
      </c>
      <c r="I15" s="16">
        <v>32233</v>
      </c>
      <c r="J15" s="16">
        <v>31527</v>
      </c>
      <c r="K15" s="16">
        <v>32471</v>
      </c>
      <c r="L15" s="16">
        <v>35288</v>
      </c>
      <c r="M15" s="16">
        <v>27349</v>
      </c>
      <c r="N15" s="16">
        <v>27343</v>
      </c>
      <c r="O15" s="16">
        <v>28172</v>
      </c>
      <c r="P15" s="16">
        <v>33589</v>
      </c>
      <c r="Q15" s="4"/>
      <c r="R15" s="4"/>
      <c r="S15" s="4"/>
      <c r="T15" s="4"/>
      <c r="U15" s="4"/>
      <c r="V15" s="4"/>
      <c r="W15" s="4"/>
      <c r="X15" s="4"/>
      <c r="Y15" s="4"/>
      <c r="Z15" s="17"/>
    </row>
    <row r="16" spans="1:26" ht="12" customHeight="1">
      <c r="A16" s="212" t="s">
        <v>55</v>
      </c>
      <c r="B16" s="213" t="s">
        <v>59</v>
      </c>
      <c r="C16" s="217" t="s">
        <v>66</v>
      </c>
      <c r="D16" s="215" t="s">
        <v>59</v>
      </c>
      <c r="E16" s="216">
        <v>35500.949999999997</v>
      </c>
      <c r="F16" s="216">
        <f t="shared" ref="F16:P16" si="3">SUM(F15)</f>
        <v>24210.95</v>
      </c>
      <c r="G16" s="216">
        <f t="shared" si="3"/>
        <v>41241.32</v>
      </c>
      <c r="H16" s="216">
        <f t="shared" si="3"/>
        <v>26123</v>
      </c>
      <c r="I16" s="216">
        <f t="shared" si="3"/>
        <v>32233</v>
      </c>
      <c r="J16" s="216">
        <f t="shared" si="3"/>
        <v>31527</v>
      </c>
      <c r="K16" s="216">
        <f t="shared" si="3"/>
        <v>32471</v>
      </c>
      <c r="L16" s="216">
        <f t="shared" si="3"/>
        <v>35288</v>
      </c>
      <c r="M16" s="216">
        <f t="shared" si="3"/>
        <v>27349</v>
      </c>
      <c r="N16" s="216">
        <f t="shared" si="3"/>
        <v>27343</v>
      </c>
      <c r="O16" s="216">
        <f t="shared" si="3"/>
        <v>28172</v>
      </c>
      <c r="P16" s="216">
        <f t="shared" si="3"/>
        <v>33589</v>
      </c>
      <c r="Q16" s="2"/>
      <c r="R16" s="2"/>
      <c r="S16" s="2"/>
      <c r="T16" s="2"/>
      <c r="U16" s="2"/>
      <c r="V16" s="2"/>
      <c r="W16" s="2"/>
      <c r="X16" s="2"/>
      <c r="Y16" s="2"/>
      <c r="Z16" s="19"/>
    </row>
    <row r="17" spans="1:26" ht="12" customHeight="1">
      <c r="A17" s="14" t="s">
        <v>55</v>
      </c>
      <c r="B17" s="140" t="s">
        <v>28</v>
      </c>
      <c r="C17" s="15" t="s">
        <v>67</v>
      </c>
      <c r="D17" s="14" t="s">
        <v>68</v>
      </c>
      <c r="E17" s="16">
        <v>0</v>
      </c>
      <c r="F17" s="16">
        <v>0</v>
      </c>
      <c r="G17" s="16">
        <v>0</v>
      </c>
      <c r="H17" s="16">
        <v>0</v>
      </c>
      <c r="I17" s="16">
        <v>0</v>
      </c>
      <c r="J17" s="16">
        <v>0</v>
      </c>
      <c r="K17" s="16">
        <v>0</v>
      </c>
      <c r="L17" s="16">
        <v>0</v>
      </c>
      <c r="M17" s="16">
        <v>0</v>
      </c>
      <c r="N17" s="16">
        <v>0</v>
      </c>
      <c r="O17" s="16">
        <v>0</v>
      </c>
      <c r="P17" s="16">
        <v>0</v>
      </c>
      <c r="Q17" s="4"/>
      <c r="R17" s="4"/>
      <c r="S17" s="4"/>
      <c r="T17" s="4"/>
      <c r="U17" s="4"/>
      <c r="V17" s="4"/>
      <c r="W17" s="4"/>
      <c r="X17" s="4"/>
      <c r="Y17" s="4"/>
      <c r="Z17" s="17"/>
    </row>
    <row r="18" spans="1:26" ht="12" customHeight="1">
      <c r="A18" s="14" t="s">
        <v>55</v>
      </c>
      <c r="B18" s="140" t="s">
        <v>28</v>
      </c>
      <c r="C18" s="15" t="s">
        <v>67</v>
      </c>
      <c r="D18" s="208" t="s">
        <v>61</v>
      </c>
      <c r="E18" s="16">
        <v>19203.259999999998</v>
      </c>
      <c r="F18" s="16">
        <v>31298.22</v>
      </c>
      <c r="G18" s="16">
        <v>21319</v>
      </c>
      <c r="H18" s="16">
        <v>25800</v>
      </c>
      <c r="I18" s="16">
        <v>28652</v>
      </c>
      <c r="J18" s="16">
        <v>31034</v>
      </c>
      <c r="K18" s="16">
        <v>29518</v>
      </c>
      <c r="L18" s="16">
        <v>28654</v>
      </c>
      <c r="M18" s="16">
        <v>21938</v>
      </c>
      <c r="N18" s="16">
        <v>30933</v>
      </c>
      <c r="O18" s="16">
        <v>27132</v>
      </c>
      <c r="P18" s="16">
        <v>29759</v>
      </c>
      <c r="Q18" s="4"/>
      <c r="R18" s="4"/>
      <c r="S18" s="4"/>
      <c r="T18" s="4"/>
      <c r="U18" s="4"/>
      <c r="V18" s="4"/>
      <c r="W18" s="4"/>
      <c r="X18" s="4"/>
      <c r="Y18" s="4"/>
      <c r="Z18" s="17"/>
    </row>
    <row r="19" spans="1:26" ht="12" customHeight="1">
      <c r="A19" s="14" t="s">
        <v>55</v>
      </c>
      <c r="B19" s="140" t="s">
        <v>28</v>
      </c>
      <c r="C19" s="15" t="s">
        <v>67</v>
      </c>
      <c r="D19" s="14" t="s">
        <v>62</v>
      </c>
      <c r="E19" s="16">
        <v>0</v>
      </c>
      <c r="F19" s="16">
        <v>0</v>
      </c>
      <c r="G19" s="16">
        <v>-76.260000000000005</v>
      </c>
      <c r="H19" s="16">
        <v>0</v>
      </c>
      <c r="I19" s="16">
        <v>0</v>
      </c>
      <c r="J19" s="16">
        <v>0</v>
      </c>
      <c r="K19" s="16">
        <v>0</v>
      </c>
      <c r="L19" s="16">
        <v>0</v>
      </c>
      <c r="M19" s="16">
        <v>0</v>
      </c>
      <c r="N19" s="16">
        <v>0</v>
      </c>
      <c r="O19" s="16">
        <v>0</v>
      </c>
      <c r="P19" s="16">
        <v>0</v>
      </c>
      <c r="Q19" s="4"/>
      <c r="R19" s="4"/>
      <c r="S19" s="4"/>
      <c r="T19" s="4"/>
      <c r="U19" s="4"/>
      <c r="V19" s="4"/>
      <c r="W19" s="4"/>
      <c r="X19" s="4"/>
      <c r="Y19" s="4"/>
      <c r="Z19" s="17"/>
    </row>
    <row r="20" spans="1:26" ht="12" customHeight="1">
      <c r="A20" s="212" t="s">
        <v>55</v>
      </c>
      <c r="B20" s="213" t="s">
        <v>59</v>
      </c>
      <c r="C20" s="217" t="s">
        <v>67</v>
      </c>
      <c r="D20" s="215" t="s">
        <v>59</v>
      </c>
      <c r="E20" s="216">
        <f>SUM(E18:E19)</f>
        <v>19203.259999999998</v>
      </c>
      <c r="F20" s="216">
        <f>SUM(F18:F19)</f>
        <v>31298.22</v>
      </c>
      <c r="G20" s="216">
        <f>SUM(G18:G19)</f>
        <v>21242.74</v>
      </c>
      <c r="H20" s="216">
        <f t="shared" ref="H20:P20" si="4">SUM(H18:H19)</f>
        <v>25800</v>
      </c>
      <c r="I20" s="216">
        <f t="shared" si="4"/>
        <v>28652</v>
      </c>
      <c r="J20" s="216">
        <f t="shared" si="4"/>
        <v>31034</v>
      </c>
      <c r="K20" s="216">
        <f t="shared" si="4"/>
        <v>29518</v>
      </c>
      <c r="L20" s="216">
        <f t="shared" si="4"/>
        <v>28654</v>
      </c>
      <c r="M20" s="216">
        <f t="shared" si="4"/>
        <v>21938</v>
      </c>
      <c r="N20" s="216">
        <f t="shared" si="4"/>
        <v>30933</v>
      </c>
      <c r="O20" s="216">
        <f t="shared" si="4"/>
        <v>27132</v>
      </c>
      <c r="P20" s="216">
        <f t="shared" si="4"/>
        <v>29759</v>
      </c>
      <c r="Q20" s="2"/>
      <c r="R20" s="2"/>
      <c r="S20" s="2"/>
      <c r="T20" s="2"/>
      <c r="U20" s="2"/>
      <c r="V20" s="2"/>
      <c r="W20" s="2"/>
      <c r="X20" s="2"/>
      <c r="Y20" s="2"/>
      <c r="Z20" s="19"/>
    </row>
    <row r="21" spans="1:26" ht="12" customHeight="1">
      <c r="A21" s="14" t="s">
        <v>69</v>
      </c>
      <c r="B21" s="140" t="s">
        <v>56</v>
      </c>
      <c r="C21" s="15" t="s">
        <v>60</v>
      </c>
      <c r="D21" s="208" t="s">
        <v>61</v>
      </c>
      <c r="E21" s="16">
        <v>0</v>
      </c>
      <c r="F21" s="16">
        <v>0</v>
      </c>
      <c r="G21" s="16">
        <v>0</v>
      </c>
      <c r="H21" s="16">
        <v>0</v>
      </c>
      <c r="I21" s="16">
        <v>0</v>
      </c>
      <c r="J21" s="16">
        <v>0</v>
      </c>
      <c r="K21" s="16">
        <v>0</v>
      </c>
      <c r="L21" s="16">
        <v>0</v>
      </c>
      <c r="M21" s="16">
        <v>0</v>
      </c>
      <c r="N21" s="16">
        <v>0</v>
      </c>
      <c r="O21" s="16">
        <v>0</v>
      </c>
      <c r="P21" s="16">
        <v>0</v>
      </c>
      <c r="Q21" s="4"/>
      <c r="R21" s="4"/>
      <c r="S21" s="4"/>
      <c r="T21" s="4"/>
      <c r="U21" s="4"/>
      <c r="V21" s="4"/>
      <c r="W21" s="4"/>
      <c r="X21" s="4"/>
      <c r="Y21" s="4"/>
      <c r="Z21" s="17"/>
    </row>
    <row r="22" spans="1:26" ht="12" customHeight="1">
      <c r="A22" s="14" t="s">
        <v>69</v>
      </c>
      <c r="B22" s="140" t="s">
        <v>56</v>
      </c>
      <c r="C22" s="15" t="s">
        <v>60</v>
      </c>
      <c r="D22" s="14" t="s">
        <v>63</v>
      </c>
      <c r="E22" s="16">
        <v>-640622.77</v>
      </c>
      <c r="F22" s="16">
        <v>-636288.53</v>
      </c>
      <c r="G22" s="16">
        <v>-705659.8</v>
      </c>
      <c r="H22" s="16">
        <v>-696657.68</v>
      </c>
      <c r="I22" s="16">
        <v>-716583.82</v>
      </c>
      <c r="J22" s="16">
        <v>-700597.39</v>
      </c>
      <c r="K22" s="16">
        <v>-702298.61</v>
      </c>
      <c r="L22" s="16">
        <v>-1161008.51</v>
      </c>
      <c r="M22" s="16">
        <v>-709243.73</v>
      </c>
      <c r="N22" s="16">
        <v>-559267.37</v>
      </c>
      <c r="O22" s="16">
        <v>-852086.9</v>
      </c>
      <c r="P22" s="16">
        <v>-522421.59</v>
      </c>
      <c r="Q22" s="4"/>
      <c r="R22" s="4"/>
      <c r="S22" s="4"/>
      <c r="T22" s="4"/>
      <c r="U22" s="4"/>
      <c r="V22" s="4"/>
      <c r="W22" s="4"/>
      <c r="X22" s="4"/>
      <c r="Y22" s="4"/>
      <c r="Z22" s="17"/>
    </row>
    <row r="23" spans="1:26" ht="12" customHeight="1">
      <c r="A23" s="212" t="s">
        <v>69</v>
      </c>
      <c r="B23" s="213" t="s">
        <v>59</v>
      </c>
      <c r="C23" s="217" t="s">
        <v>60</v>
      </c>
      <c r="D23" s="215" t="s">
        <v>59</v>
      </c>
      <c r="E23" s="216">
        <f>SUM(E$21:E$22)</f>
        <v>-640622.77</v>
      </c>
      <c r="F23" s="216">
        <f t="shared" ref="F23:P23" si="5">SUM(F$21:F$22)</f>
        <v>-636288.53</v>
      </c>
      <c r="G23" s="216">
        <f t="shared" si="5"/>
        <v>-705659.8</v>
      </c>
      <c r="H23" s="216">
        <f t="shared" si="5"/>
        <v>-696657.68</v>
      </c>
      <c r="I23" s="216">
        <f t="shared" si="5"/>
        <v>-716583.82</v>
      </c>
      <c r="J23" s="216">
        <f t="shared" si="5"/>
        <v>-700597.39</v>
      </c>
      <c r="K23" s="216">
        <f t="shared" si="5"/>
        <v>-702298.61</v>
      </c>
      <c r="L23" s="216">
        <f t="shared" si="5"/>
        <v>-1161008.51</v>
      </c>
      <c r="M23" s="216">
        <f t="shared" si="5"/>
        <v>-709243.73</v>
      </c>
      <c r="N23" s="216">
        <f t="shared" si="5"/>
        <v>-559267.37</v>
      </c>
      <c r="O23" s="216">
        <f t="shared" si="5"/>
        <v>-852086.9</v>
      </c>
      <c r="P23" s="216">
        <f t="shared" si="5"/>
        <v>-522421.59</v>
      </c>
      <c r="Q23" s="2"/>
      <c r="R23" s="2"/>
      <c r="S23" s="2"/>
      <c r="T23" s="2"/>
      <c r="U23" s="2"/>
      <c r="V23" s="2"/>
      <c r="W23" s="2"/>
      <c r="X23" s="2"/>
      <c r="Y23" s="2"/>
      <c r="Z23" s="19"/>
    </row>
    <row r="24" spans="1:26" ht="12" customHeight="1">
      <c r="A24" s="14" t="s">
        <v>69</v>
      </c>
      <c r="B24" s="140" t="s">
        <v>56</v>
      </c>
      <c r="C24" s="15" t="s">
        <v>64</v>
      </c>
      <c r="D24" s="14" t="s">
        <v>58</v>
      </c>
      <c r="E24" s="16">
        <v>-19253389.969999999</v>
      </c>
      <c r="F24" s="16">
        <v>-16227016.039999999</v>
      </c>
      <c r="G24" s="16">
        <v>-17928777.91</v>
      </c>
      <c r="H24" s="16">
        <v>-16835148.079999998</v>
      </c>
      <c r="I24" s="16">
        <v>-15369889.779999999</v>
      </c>
      <c r="J24" s="16">
        <v>-17292177.359999999</v>
      </c>
      <c r="K24" s="16">
        <v>-24837841.800000001</v>
      </c>
      <c r="L24" s="16">
        <v>-22534389.699999999</v>
      </c>
      <c r="M24" s="16">
        <v>-21827423.09</v>
      </c>
      <c r="N24" s="16">
        <v>-18076038.940000001</v>
      </c>
      <c r="O24" s="16">
        <v>-16252553.880000001</v>
      </c>
      <c r="P24" s="16">
        <v>-17960185.859999999</v>
      </c>
      <c r="Q24" s="4"/>
      <c r="R24" s="4"/>
      <c r="S24" s="4"/>
      <c r="T24" s="4"/>
      <c r="U24" s="4"/>
      <c r="V24" s="4"/>
      <c r="W24" s="4"/>
      <c r="X24" s="4"/>
      <c r="Y24" s="4"/>
      <c r="Z24" s="17"/>
    </row>
    <row r="25" spans="1:26" ht="12" customHeight="1">
      <c r="A25" s="212" t="s">
        <v>69</v>
      </c>
      <c r="B25" s="213" t="s">
        <v>59</v>
      </c>
      <c r="C25" s="217" t="s">
        <v>64</v>
      </c>
      <c r="D25" s="215" t="s">
        <v>59</v>
      </c>
      <c r="E25" s="218">
        <f>SUM(E24)</f>
        <v>-19253389.969999999</v>
      </c>
      <c r="F25" s="218">
        <f t="shared" ref="F25:P25" si="6">SUM(F24)</f>
        <v>-16227016.039999999</v>
      </c>
      <c r="G25" s="218">
        <f t="shared" si="6"/>
        <v>-17928777.91</v>
      </c>
      <c r="H25" s="218">
        <f t="shared" si="6"/>
        <v>-16835148.079999998</v>
      </c>
      <c r="I25" s="218">
        <f t="shared" si="6"/>
        <v>-15369889.779999999</v>
      </c>
      <c r="J25" s="218">
        <f t="shared" si="6"/>
        <v>-17292177.359999999</v>
      </c>
      <c r="K25" s="218">
        <f t="shared" si="6"/>
        <v>-24837841.800000001</v>
      </c>
      <c r="L25" s="218">
        <f t="shared" si="6"/>
        <v>-22534389.699999999</v>
      </c>
      <c r="M25" s="218">
        <f t="shared" si="6"/>
        <v>-21827423.09</v>
      </c>
      <c r="N25" s="218">
        <f t="shared" si="6"/>
        <v>-18076038.940000001</v>
      </c>
      <c r="O25" s="218">
        <f t="shared" si="6"/>
        <v>-16252553.880000001</v>
      </c>
      <c r="P25" s="218">
        <f t="shared" si="6"/>
        <v>-17960185.859999999</v>
      </c>
      <c r="Q25" s="2"/>
      <c r="R25" s="2"/>
      <c r="S25" s="2"/>
      <c r="T25" s="2"/>
      <c r="U25" s="2"/>
      <c r="V25" s="2"/>
      <c r="W25" s="2"/>
      <c r="X25" s="2"/>
      <c r="Y25" s="2"/>
      <c r="Z25" s="19"/>
    </row>
    <row r="26" spans="1:26" ht="12" customHeight="1">
      <c r="A26" s="14" t="s">
        <v>69</v>
      </c>
      <c r="B26" s="140" t="s">
        <v>65</v>
      </c>
      <c r="C26" s="15" t="s">
        <v>66</v>
      </c>
      <c r="D26" s="14" t="s">
        <v>58</v>
      </c>
      <c r="E26" s="16">
        <v>0</v>
      </c>
      <c r="F26" s="16">
        <v>0</v>
      </c>
      <c r="G26" s="16">
        <v>0</v>
      </c>
      <c r="H26" s="16">
        <v>0</v>
      </c>
      <c r="I26" s="16">
        <v>0</v>
      </c>
      <c r="J26" s="16">
        <v>0</v>
      </c>
      <c r="K26" s="16">
        <v>0</v>
      </c>
      <c r="L26" s="16">
        <v>0</v>
      </c>
      <c r="M26" s="16">
        <v>0</v>
      </c>
      <c r="N26" s="16">
        <v>0</v>
      </c>
      <c r="O26" s="16">
        <v>0</v>
      </c>
      <c r="P26" s="16">
        <v>0</v>
      </c>
      <c r="Q26" s="4"/>
      <c r="R26" s="4"/>
      <c r="S26" s="4"/>
      <c r="T26" s="4"/>
      <c r="U26" s="4"/>
      <c r="V26" s="4"/>
      <c r="W26" s="4"/>
      <c r="X26" s="4"/>
      <c r="Y26" s="4"/>
      <c r="Z26" s="17"/>
    </row>
    <row r="27" spans="1:26" ht="12" customHeight="1">
      <c r="A27" s="14" t="s">
        <v>69</v>
      </c>
      <c r="B27" s="140" t="s">
        <v>65</v>
      </c>
      <c r="C27" s="15" t="s">
        <v>66</v>
      </c>
      <c r="D27" s="14" t="s">
        <v>62</v>
      </c>
      <c r="E27" s="16">
        <v>686673.01</v>
      </c>
      <c r="F27" s="16">
        <v>867081.49</v>
      </c>
      <c r="G27" s="16">
        <v>6727.15</v>
      </c>
      <c r="H27" s="16">
        <v>401.530000000006</v>
      </c>
      <c r="I27" s="16">
        <v>144797.4</v>
      </c>
      <c r="J27" s="16">
        <v>652415.07999999996</v>
      </c>
      <c r="K27" s="16">
        <v>27790.66</v>
      </c>
      <c r="L27" s="16">
        <v>507467.89</v>
      </c>
      <c r="M27" s="16">
        <v>241353.12</v>
      </c>
      <c r="N27" s="16">
        <v>95261.1</v>
      </c>
      <c r="O27" s="16">
        <v>197723.18</v>
      </c>
      <c r="P27" s="16">
        <v>175247.34</v>
      </c>
      <c r="Q27" s="4"/>
      <c r="R27" s="4"/>
      <c r="S27" s="4"/>
      <c r="T27" s="4"/>
      <c r="U27" s="4"/>
      <c r="V27" s="4"/>
      <c r="W27" s="4"/>
      <c r="X27" s="4"/>
      <c r="Y27" s="4"/>
      <c r="Z27" s="17"/>
    </row>
    <row r="28" spans="1:26" ht="12" customHeight="1">
      <c r="A28" s="212" t="s">
        <v>69</v>
      </c>
      <c r="B28" s="213" t="s">
        <v>59</v>
      </c>
      <c r="C28" s="217" t="s">
        <v>66</v>
      </c>
      <c r="D28" s="215" t="s">
        <v>59</v>
      </c>
      <c r="E28" s="216">
        <f t="shared" ref="E28:P28" si="7">SUM(E26:E27)</f>
        <v>686673.01</v>
      </c>
      <c r="F28" s="216">
        <f t="shared" si="7"/>
        <v>867081.49</v>
      </c>
      <c r="G28" s="216">
        <f t="shared" si="7"/>
        <v>6727.15</v>
      </c>
      <c r="H28" s="216">
        <f t="shared" si="7"/>
        <v>401.530000000006</v>
      </c>
      <c r="I28" s="216">
        <f t="shared" si="7"/>
        <v>144797.4</v>
      </c>
      <c r="J28" s="216">
        <f t="shared" si="7"/>
        <v>652415.07999999996</v>
      </c>
      <c r="K28" s="216">
        <f t="shared" si="7"/>
        <v>27790.66</v>
      </c>
      <c r="L28" s="216">
        <f t="shared" si="7"/>
        <v>507467.89</v>
      </c>
      <c r="M28" s="216">
        <f t="shared" si="7"/>
        <v>241353.12</v>
      </c>
      <c r="N28" s="216">
        <f t="shared" si="7"/>
        <v>95261.1</v>
      </c>
      <c r="O28" s="216">
        <f t="shared" si="7"/>
        <v>197723.18</v>
      </c>
      <c r="P28" s="216">
        <f t="shared" si="7"/>
        <v>175247.34</v>
      </c>
      <c r="Q28" s="2"/>
      <c r="R28" s="2"/>
      <c r="S28" s="2"/>
      <c r="T28" s="2"/>
      <c r="U28" s="2"/>
      <c r="V28" s="2"/>
      <c r="W28" s="2"/>
      <c r="X28" s="2"/>
      <c r="Y28" s="2"/>
      <c r="Z28" s="19"/>
    </row>
    <row r="29" spans="1:26" ht="12" customHeight="1">
      <c r="A29" s="14" t="s">
        <v>69</v>
      </c>
      <c r="B29" s="140" t="s">
        <v>28</v>
      </c>
      <c r="C29" s="15" t="s">
        <v>67</v>
      </c>
      <c r="D29" s="208" t="s">
        <v>61</v>
      </c>
      <c r="E29" s="16">
        <v>419.97</v>
      </c>
      <c r="F29" s="16">
        <v>1185.1199999999999</v>
      </c>
      <c r="G29" s="16">
        <v>385.22</v>
      </c>
      <c r="H29" s="16">
        <v>-1715.64</v>
      </c>
      <c r="I29" s="16">
        <v>2183.44</v>
      </c>
      <c r="J29" s="16">
        <v>2171.11</v>
      </c>
      <c r="K29" s="16">
        <v>-4629.22</v>
      </c>
      <c r="L29" s="16">
        <v>0</v>
      </c>
      <c r="M29" s="16">
        <v>504.62</v>
      </c>
      <c r="N29" s="16">
        <v>196.37</v>
      </c>
      <c r="O29" s="16">
        <v>0</v>
      </c>
      <c r="P29" s="16">
        <v>438.21</v>
      </c>
      <c r="Q29" s="4"/>
      <c r="R29" s="4"/>
      <c r="S29" s="4"/>
      <c r="T29" s="4"/>
      <c r="U29" s="4"/>
      <c r="V29" s="4"/>
      <c r="W29" s="4"/>
      <c r="X29" s="4"/>
      <c r="Y29" s="4"/>
      <c r="Z29" s="17"/>
    </row>
    <row r="30" spans="1:26" ht="12" customHeight="1">
      <c r="A30" s="14" t="s">
        <v>69</v>
      </c>
      <c r="B30" s="140" t="s">
        <v>28</v>
      </c>
      <c r="C30" s="15" t="s">
        <v>67</v>
      </c>
      <c r="D30" s="14" t="s">
        <v>62</v>
      </c>
      <c r="E30" s="16">
        <v>241319.39</v>
      </c>
      <c r="F30" s="16">
        <v>226992.54</v>
      </c>
      <c r="G30" s="16">
        <v>361607.83</v>
      </c>
      <c r="H30" s="16">
        <v>213619.63</v>
      </c>
      <c r="I30" s="16">
        <v>234778.41</v>
      </c>
      <c r="J30" s="16">
        <v>291204.88</v>
      </c>
      <c r="K30" s="16">
        <v>340663.51</v>
      </c>
      <c r="L30" s="16">
        <v>333661.90999999997</v>
      </c>
      <c r="M30" s="16">
        <v>288075.71000000002</v>
      </c>
      <c r="N30" s="16">
        <v>269918.43</v>
      </c>
      <c r="O30" s="16">
        <v>279490.76</v>
      </c>
      <c r="P30" s="16">
        <v>423169.31</v>
      </c>
      <c r="Q30" s="4"/>
      <c r="R30" s="4"/>
      <c r="S30" s="4"/>
      <c r="T30" s="4"/>
      <c r="U30" s="4"/>
      <c r="V30" s="4"/>
      <c r="W30" s="4"/>
      <c r="X30" s="4"/>
      <c r="Y30" s="4"/>
      <c r="Z30" s="17"/>
    </row>
    <row r="31" spans="1:26" ht="12" customHeight="1">
      <c r="A31" s="14" t="s">
        <v>69</v>
      </c>
      <c r="B31" s="140" t="s">
        <v>28</v>
      </c>
      <c r="C31" s="15" t="s">
        <v>67</v>
      </c>
      <c r="D31" s="14" t="s">
        <v>70</v>
      </c>
      <c r="E31" s="16">
        <v>0</v>
      </c>
      <c r="F31" s="16">
        <v>0</v>
      </c>
      <c r="G31" s="16">
        <v>0</v>
      </c>
      <c r="H31" s="16">
        <v>0</v>
      </c>
      <c r="I31" s="16">
        <v>0</v>
      </c>
      <c r="J31" s="16">
        <v>-629.44000000000005</v>
      </c>
      <c r="K31" s="16">
        <v>0</v>
      </c>
      <c r="L31" s="16">
        <v>629.44000000000005</v>
      </c>
      <c r="M31" s="16">
        <v>0</v>
      </c>
      <c r="N31" s="16">
        <v>0</v>
      </c>
      <c r="O31" s="16">
        <v>0</v>
      </c>
      <c r="P31" s="16">
        <v>0</v>
      </c>
      <c r="Q31" s="4"/>
      <c r="R31" s="4"/>
      <c r="S31" s="4"/>
      <c r="T31" s="4"/>
      <c r="U31" s="4"/>
      <c r="V31" s="4"/>
      <c r="W31" s="4"/>
      <c r="X31" s="4"/>
      <c r="Y31" s="4"/>
      <c r="Z31" s="17"/>
    </row>
    <row r="32" spans="1:26" ht="12" customHeight="1">
      <c r="A32" s="14" t="s">
        <v>69</v>
      </c>
      <c r="B32" s="140" t="s">
        <v>28</v>
      </c>
      <c r="C32" s="15" t="s">
        <v>67</v>
      </c>
      <c r="D32" s="14" t="s">
        <v>63</v>
      </c>
      <c r="E32" s="16">
        <v>191.67</v>
      </c>
      <c r="F32" s="16">
        <v>0</v>
      </c>
      <c r="G32" s="16">
        <v>95.38</v>
      </c>
      <c r="H32" s="16">
        <v>-215.71</v>
      </c>
      <c r="I32" s="16">
        <v>384.38</v>
      </c>
      <c r="J32" s="16">
        <v>385.02</v>
      </c>
      <c r="K32" s="16">
        <v>-161.94999999999999</v>
      </c>
      <c r="L32" s="16">
        <v>-678.79</v>
      </c>
      <c r="M32" s="16">
        <v>0</v>
      </c>
      <c r="N32" s="16">
        <v>0</v>
      </c>
      <c r="O32" s="16">
        <v>52.74</v>
      </c>
      <c r="P32" s="16">
        <v>0</v>
      </c>
      <c r="Q32" s="4"/>
      <c r="R32" s="4"/>
      <c r="S32" s="4"/>
      <c r="T32" s="4"/>
      <c r="U32" s="4"/>
      <c r="V32" s="4"/>
      <c r="W32" s="4"/>
      <c r="X32" s="4"/>
      <c r="Y32" s="4"/>
      <c r="Z32" s="17"/>
    </row>
    <row r="33" spans="1:26" ht="12" customHeight="1">
      <c r="A33" s="212" t="s">
        <v>69</v>
      </c>
      <c r="B33" s="213" t="s">
        <v>59</v>
      </c>
      <c r="C33" s="217" t="s">
        <v>67</v>
      </c>
      <c r="D33" s="215" t="s">
        <v>59</v>
      </c>
      <c r="E33" s="216">
        <f>SUM(E29:E32)</f>
        <v>241931.03000000003</v>
      </c>
      <c r="F33" s="216">
        <f t="shared" ref="F33:P33" si="8">SUM(F29:F32)</f>
        <v>228177.66</v>
      </c>
      <c r="G33" s="216">
        <f t="shared" si="8"/>
        <v>362088.43</v>
      </c>
      <c r="H33" s="216">
        <f t="shared" si="8"/>
        <v>211688.28</v>
      </c>
      <c r="I33" s="216">
        <f t="shared" si="8"/>
        <v>237346.23</v>
      </c>
      <c r="J33" s="216">
        <f t="shared" si="8"/>
        <v>293131.57</v>
      </c>
      <c r="K33" s="216">
        <f t="shared" si="8"/>
        <v>335872.34</v>
      </c>
      <c r="L33" s="216">
        <f t="shared" si="8"/>
        <v>333612.56</v>
      </c>
      <c r="M33" s="216">
        <f t="shared" si="8"/>
        <v>288580.33</v>
      </c>
      <c r="N33" s="216">
        <f t="shared" si="8"/>
        <v>270114.8</v>
      </c>
      <c r="O33" s="216">
        <f t="shared" si="8"/>
        <v>279543.5</v>
      </c>
      <c r="P33" s="216">
        <f t="shared" si="8"/>
        <v>423607.52</v>
      </c>
      <c r="Q33" s="4"/>
      <c r="R33" s="4"/>
      <c r="S33" s="4"/>
      <c r="T33" s="4"/>
      <c r="U33" s="4"/>
      <c r="V33" s="4"/>
      <c r="W33" s="4"/>
      <c r="X33" s="4"/>
      <c r="Y33" s="4"/>
      <c r="Z33" s="17"/>
    </row>
    <row r="34" spans="1:26" ht="12" customHeight="1">
      <c r="A34" s="14" t="s">
        <v>71</v>
      </c>
      <c r="B34" s="141" t="str">
        <f t="array" ref="B34">INDEX($B$7:$C$32,MATCH(C34,$C$7:$C$32,0),1)</f>
        <v>Revenue</v>
      </c>
      <c r="C34" s="15" t="s">
        <v>57</v>
      </c>
      <c r="D34" s="14" t="s">
        <v>58</v>
      </c>
      <c r="E34" s="16">
        <v>-523060.08</v>
      </c>
      <c r="F34" s="16">
        <v>-625712.19999999995</v>
      </c>
      <c r="G34" s="16">
        <v>-1167977.1499999999</v>
      </c>
      <c r="H34" s="16">
        <v>-601018.46</v>
      </c>
      <c r="I34" s="16">
        <v>-704627.26</v>
      </c>
      <c r="J34" s="16">
        <v>-893577.78</v>
      </c>
      <c r="K34" s="16">
        <v>-363753.66</v>
      </c>
      <c r="L34" s="16">
        <v>-9808.77</v>
      </c>
      <c r="M34" s="16">
        <v>-1430059.67</v>
      </c>
      <c r="N34" s="16">
        <v>-682429.47</v>
      </c>
      <c r="O34" s="16">
        <v>-816344.46</v>
      </c>
      <c r="P34" s="16">
        <v>-368690.28</v>
      </c>
      <c r="Q34" s="4"/>
      <c r="R34" s="4"/>
      <c r="S34" s="4"/>
      <c r="T34" s="4"/>
      <c r="U34" s="4"/>
      <c r="V34" s="4"/>
      <c r="W34" s="4"/>
      <c r="X34" s="4"/>
      <c r="Y34" s="4"/>
      <c r="Z34" s="18"/>
    </row>
    <row r="35" spans="1:26" ht="12" customHeight="1">
      <c r="A35" s="212" t="s">
        <v>71</v>
      </c>
      <c r="B35" s="219" t="s">
        <v>59</v>
      </c>
      <c r="C35" s="217" t="s">
        <v>57</v>
      </c>
      <c r="D35" s="215" t="s">
        <v>59</v>
      </c>
      <c r="E35" s="216">
        <f>SUM(E34)</f>
        <v>-523060.08</v>
      </c>
      <c r="F35" s="216">
        <f t="shared" ref="F35:P35" si="9">SUM(F34)</f>
        <v>-625712.19999999995</v>
      </c>
      <c r="G35" s="216">
        <f t="shared" si="9"/>
        <v>-1167977.1499999999</v>
      </c>
      <c r="H35" s="216">
        <f t="shared" si="9"/>
        <v>-601018.46</v>
      </c>
      <c r="I35" s="216">
        <f t="shared" si="9"/>
        <v>-704627.26</v>
      </c>
      <c r="J35" s="216">
        <f t="shared" si="9"/>
        <v>-893577.78</v>
      </c>
      <c r="K35" s="216">
        <f t="shared" si="9"/>
        <v>-363753.66</v>
      </c>
      <c r="L35" s="216">
        <f t="shared" si="9"/>
        <v>-9808.77</v>
      </c>
      <c r="M35" s="216">
        <f t="shared" si="9"/>
        <v>-1430059.67</v>
      </c>
      <c r="N35" s="216">
        <f t="shared" si="9"/>
        <v>-682429.47</v>
      </c>
      <c r="O35" s="216">
        <f t="shared" si="9"/>
        <v>-816344.46</v>
      </c>
      <c r="P35" s="216">
        <f t="shared" si="9"/>
        <v>-368690.28</v>
      </c>
      <c r="Q35" s="4"/>
      <c r="R35" s="4"/>
      <c r="S35" s="4"/>
      <c r="T35" s="4"/>
      <c r="U35" s="4"/>
      <c r="V35" s="4"/>
      <c r="W35" s="4"/>
      <c r="X35" s="4"/>
      <c r="Y35" s="4"/>
      <c r="Z35" s="18"/>
    </row>
    <row r="36" spans="1:26" ht="12" customHeight="1">
      <c r="A36" s="14" t="s">
        <v>71</v>
      </c>
      <c r="B36" s="141" t="str">
        <f>INDEX($B$7:$C$32,MATCH(C36,$C$7:$C$32,0),1)</f>
        <v>Revenue</v>
      </c>
      <c r="C36" s="206" t="s">
        <v>60</v>
      </c>
      <c r="D36" s="208" t="s">
        <v>58</v>
      </c>
      <c r="E36" s="16">
        <v>-43875</v>
      </c>
      <c r="F36" s="16">
        <v>-42965</v>
      </c>
      <c r="G36" s="16">
        <v>-125182.5</v>
      </c>
      <c r="H36" s="16">
        <v>-52587.5</v>
      </c>
      <c r="I36" s="16">
        <v>-62990</v>
      </c>
      <c r="J36" s="16">
        <v>-33740</v>
      </c>
      <c r="K36" s="16">
        <v>-351677.5</v>
      </c>
      <c r="L36" s="16">
        <v>390387.5</v>
      </c>
      <c r="M36" s="16">
        <v>54180</v>
      </c>
      <c r="N36" s="16">
        <v>-61186.66</v>
      </c>
      <c r="O36" s="16">
        <v>-35663.339999999997</v>
      </c>
      <c r="P36" s="16">
        <v>44752.5</v>
      </c>
      <c r="Q36" s="4"/>
      <c r="R36" s="4"/>
      <c r="S36" s="4"/>
      <c r="T36" s="4"/>
      <c r="U36" s="4"/>
      <c r="V36" s="4"/>
      <c r="W36" s="4"/>
      <c r="X36" s="4"/>
      <c r="Y36" s="4"/>
      <c r="Z36" s="18"/>
    </row>
    <row r="37" spans="1:26" ht="12" customHeight="1">
      <c r="A37" s="14" t="s">
        <v>71</v>
      </c>
      <c r="B37" s="141" t="str">
        <f>INDEX($B$7:$C$32,MATCH(C37,$C$7:$C$32,0),1)</f>
        <v>Revenue</v>
      </c>
      <c r="C37" s="15" t="s">
        <v>60</v>
      </c>
      <c r="D37" s="14" t="s">
        <v>61</v>
      </c>
      <c r="E37" s="16">
        <v>-14400</v>
      </c>
      <c r="F37" s="16">
        <v>-2640.08</v>
      </c>
      <c r="G37" s="16">
        <v>-22200</v>
      </c>
      <c r="H37" s="16">
        <v>-9700</v>
      </c>
      <c r="I37" s="16">
        <v>0</v>
      </c>
      <c r="J37" s="16">
        <v>0</v>
      </c>
      <c r="K37" s="16">
        <v>0</v>
      </c>
      <c r="L37" s="16">
        <v>-6900</v>
      </c>
      <c r="M37" s="16">
        <v>-11867.12</v>
      </c>
      <c r="N37" s="16">
        <v>-6600</v>
      </c>
      <c r="O37" s="16">
        <v>-21222.41</v>
      </c>
      <c r="P37" s="16">
        <v>-47356</v>
      </c>
      <c r="Q37" s="4"/>
      <c r="R37" s="4"/>
      <c r="S37" s="4"/>
      <c r="T37" s="4"/>
      <c r="U37" s="4"/>
      <c r="V37" s="4"/>
      <c r="W37" s="4"/>
      <c r="X37" s="4"/>
      <c r="Y37" s="4"/>
      <c r="Z37" s="18"/>
    </row>
    <row r="38" spans="1:26" ht="12" customHeight="1">
      <c r="A38" s="14" t="s">
        <v>71</v>
      </c>
      <c r="B38" s="141" t="str">
        <f>INDEX($B$7:$C$32,MATCH(C38,$C$7:$C$32,0),1)</f>
        <v>Revenue</v>
      </c>
      <c r="C38" s="15" t="s">
        <v>60</v>
      </c>
      <c r="D38" s="14" t="s">
        <v>62</v>
      </c>
      <c r="E38" s="16">
        <v>-112019.04</v>
      </c>
      <c r="F38" s="16">
        <v>-56593.68</v>
      </c>
      <c r="G38" s="16">
        <v>15245.28</v>
      </c>
      <c r="H38" s="16">
        <v>-17989.46</v>
      </c>
      <c r="I38" s="16">
        <v>-39039.839999999997</v>
      </c>
      <c r="J38" s="16">
        <v>-12718.08</v>
      </c>
      <c r="K38" s="16">
        <v>-47213.279999999999</v>
      </c>
      <c r="L38" s="16">
        <v>-82579.679999999993</v>
      </c>
      <c r="M38" s="16">
        <v>-45786.239999999998</v>
      </c>
      <c r="N38" s="16">
        <v>-51798</v>
      </c>
      <c r="O38" s="16">
        <v>-63038.400000000001</v>
      </c>
      <c r="P38" s="16">
        <v>-59287.199999999997</v>
      </c>
      <c r="Q38" s="4"/>
      <c r="R38" s="4"/>
      <c r="S38" s="4"/>
      <c r="T38" s="4"/>
      <c r="U38" s="4"/>
      <c r="V38" s="4"/>
      <c r="W38" s="4"/>
      <c r="X38" s="4"/>
      <c r="Y38" s="4"/>
      <c r="Z38" s="18"/>
    </row>
    <row r="39" spans="1:26" ht="12" customHeight="1">
      <c r="A39" s="14" t="s">
        <v>71</v>
      </c>
      <c r="B39" s="141" t="str">
        <f>INDEX($B$7:$C$32,MATCH(C39,$C$7:$C$32,0),1)</f>
        <v>Revenue</v>
      </c>
      <c r="C39" s="15" t="s">
        <v>60</v>
      </c>
      <c r="D39" s="14" t="s">
        <v>63</v>
      </c>
      <c r="E39" s="16">
        <v>0</v>
      </c>
      <c r="F39" s="16">
        <v>-155.6</v>
      </c>
      <c r="G39" s="16">
        <v>-78.400000000000006</v>
      </c>
      <c r="H39" s="16">
        <v>-14.3</v>
      </c>
      <c r="I39" s="16">
        <v>-14.3</v>
      </c>
      <c r="J39" s="16">
        <v>-14.3</v>
      </c>
      <c r="K39" s="16">
        <v>-14.3</v>
      </c>
      <c r="L39" s="16">
        <v>-9559.76</v>
      </c>
      <c r="M39" s="16">
        <v>-20.74</v>
      </c>
      <c r="N39" s="16">
        <v>-15.01</v>
      </c>
      <c r="O39" s="16">
        <v>-14.3</v>
      </c>
      <c r="P39" s="16">
        <v>-14.81</v>
      </c>
      <c r="Q39" s="4"/>
      <c r="R39" s="4"/>
      <c r="S39" s="4"/>
      <c r="T39" s="4"/>
      <c r="U39" s="4"/>
      <c r="V39" s="4"/>
      <c r="W39" s="4"/>
      <c r="X39" s="4"/>
      <c r="Y39" s="4"/>
      <c r="Z39" s="18"/>
    </row>
    <row r="40" spans="1:26" ht="12" customHeight="1">
      <c r="A40" s="212" t="s">
        <v>71</v>
      </c>
      <c r="B40" s="219" t="s">
        <v>59</v>
      </c>
      <c r="C40" s="217" t="s">
        <v>60</v>
      </c>
      <c r="D40" s="215" t="s">
        <v>59</v>
      </c>
      <c r="E40" s="216">
        <f>SUM(E36:E39)</f>
        <v>-170294.03999999998</v>
      </c>
      <c r="F40" s="216">
        <f t="shared" ref="F40:P40" si="10">SUM(F36:F39)</f>
        <v>-102354.36000000002</v>
      </c>
      <c r="G40" s="216">
        <f t="shared" si="10"/>
        <v>-132215.62</v>
      </c>
      <c r="H40" s="216">
        <f t="shared" si="10"/>
        <v>-80291.259999999995</v>
      </c>
      <c r="I40" s="216">
        <f t="shared" si="10"/>
        <v>-102044.14</v>
      </c>
      <c r="J40" s="216">
        <f t="shared" si="10"/>
        <v>-46472.380000000005</v>
      </c>
      <c r="K40" s="216">
        <f t="shared" si="10"/>
        <v>-398905.08</v>
      </c>
      <c r="L40" s="216">
        <f t="shared" si="10"/>
        <v>291348.06</v>
      </c>
      <c r="M40" s="216">
        <f t="shared" si="10"/>
        <v>-3494.1000000000004</v>
      </c>
      <c r="N40" s="216">
        <f t="shared" si="10"/>
        <v>-119599.67</v>
      </c>
      <c r="O40" s="216">
        <f t="shared" si="10"/>
        <v>-119938.45</v>
      </c>
      <c r="P40" s="216">
        <f t="shared" si="10"/>
        <v>-61905.509999999995</v>
      </c>
      <c r="Q40" s="4"/>
      <c r="R40" s="4"/>
      <c r="S40" s="4"/>
      <c r="T40" s="4"/>
      <c r="U40" s="4"/>
      <c r="V40" s="4"/>
      <c r="W40" s="4"/>
      <c r="X40" s="4"/>
      <c r="Y40" s="4"/>
      <c r="Z40" s="18"/>
    </row>
    <row r="41" spans="1:26" ht="12" customHeight="1">
      <c r="A41" s="14" t="s">
        <v>71</v>
      </c>
      <c r="B41" s="141" t="str">
        <f t="array" ref="B41">INDEX($B$7:$C$32,MATCH(C41,$C$7:$C$32,0),1)</f>
        <v>Revenue</v>
      </c>
      <c r="C41" s="206" t="s">
        <v>161</v>
      </c>
      <c r="D41" s="14" t="s">
        <v>58</v>
      </c>
      <c r="E41" s="16">
        <v>-14129829.77</v>
      </c>
      <c r="F41" s="16">
        <v>-15611382.09</v>
      </c>
      <c r="G41" s="16">
        <v>-13594969.91</v>
      </c>
      <c r="H41" s="16">
        <v>-12017513.630000001</v>
      </c>
      <c r="I41" s="16">
        <v>-13201916.050000001</v>
      </c>
      <c r="J41" s="16">
        <v>-11252368.68</v>
      </c>
      <c r="K41" s="16">
        <v>-17212321.559999999</v>
      </c>
      <c r="L41" s="16">
        <v>-17529825.809999999</v>
      </c>
      <c r="M41" s="16">
        <v>-15724212.93</v>
      </c>
      <c r="N41" s="16">
        <v>-16679290.880000001</v>
      </c>
      <c r="O41" s="16">
        <v>-16429594.83</v>
      </c>
      <c r="P41" s="16">
        <v>-17578135.390000001</v>
      </c>
      <c r="Q41" s="4"/>
      <c r="R41" s="4"/>
      <c r="S41" s="4"/>
      <c r="T41" s="4"/>
      <c r="U41" s="4"/>
      <c r="V41" s="4"/>
      <c r="W41" s="4"/>
      <c r="X41" s="4"/>
      <c r="Y41" s="4"/>
      <c r="Z41" s="18"/>
    </row>
    <row r="42" spans="1:26" ht="12" customHeight="1">
      <c r="A42" s="212" t="s">
        <v>71</v>
      </c>
      <c r="B42" s="219" t="s">
        <v>59</v>
      </c>
      <c r="C42" s="217" t="s">
        <v>161</v>
      </c>
      <c r="D42" s="215" t="s">
        <v>59</v>
      </c>
      <c r="E42" s="216">
        <f>SUM(E41)</f>
        <v>-14129829.77</v>
      </c>
      <c r="F42" s="216">
        <f t="shared" ref="F42:P42" si="11">SUM(F41)</f>
        <v>-15611382.09</v>
      </c>
      <c r="G42" s="216">
        <f t="shared" si="11"/>
        <v>-13594969.91</v>
      </c>
      <c r="H42" s="216">
        <f t="shared" si="11"/>
        <v>-12017513.630000001</v>
      </c>
      <c r="I42" s="216">
        <f t="shared" si="11"/>
        <v>-13201916.050000001</v>
      </c>
      <c r="J42" s="216">
        <f t="shared" si="11"/>
        <v>-11252368.68</v>
      </c>
      <c r="K42" s="216">
        <f t="shared" si="11"/>
        <v>-17212321.559999999</v>
      </c>
      <c r="L42" s="216">
        <f t="shared" si="11"/>
        <v>-17529825.809999999</v>
      </c>
      <c r="M42" s="216">
        <f t="shared" si="11"/>
        <v>-15724212.93</v>
      </c>
      <c r="N42" s="216">
        <f t="shared" si="11"/>
        <v>-16679290.880000001</v>
      </c>
      <c r="O42" s="216">
        <f t="shared" si="11"/>
        <v>-16429594.83</v>
      </c>
      <c r="P42" s="216">
        <f t="shared" si="11"/>
        <v>-17578135.390000001</v>
      </c>
      <c r="Q42" s="4"/>
      <c r="R42" s="4"/>
      <c r="S42" s="4"/>
      <c r="T42" s="4"/>
      <c r="U42" s="4"/>
      <c r="V42" s="4"/>
      <c r="W42" s="4"/>
      <c r="X42" s="4"/>
      <c r="Y42" s="4"/>
      <c r="Z42" s="18"/>
    </row>
    <row r="43" spans="1:26" ht="12" customHeight="1">
      <c r="A43" s="14" t="s">
        <v>71</v>
      </c>
      <c r="B43" s="141" t="str">
        <f>INDEX($B$7:$C$32,MATCH(C43,$C$7:$C$32,0),1)</f>
        <v>Production Costs</v>
      </c>
      <c r="C43" s="15" t="s">
        <v>66</v>
      </c>
      <c r="D43" s="14" t="s">
        <v>58</v>
      </c>
      <c r="E43" s="16">
        <v>0</v>
      </c>
      <c r="F43" s="16">
        <v>0</v>
      </c>
      <c r="G43" s="16">
        <v>0</v>
      </c>
      <c r="H43" s="16">
        <v>0</v>
      </c>
      <c r="I43" s="16">
        <v>0</v>
      </c>
      <c r="J43" s="16">
        <v>0</v>
      </c>
      <c r="K43" s="16">
        <v>0</v>
      </c>
      <c r="L43" s="16">
        <v>0</v>
      </c>
      <c r="M43" s="16">
        <v>0</v>
      </c>
      <c r="N43" s="16">
        <v>0</v>
      </c>
      <c r="O43" s="16">
        <v>0</v>
      </c>
      <c r="P43" s="16">
        <v>0</v>
      </c>
      <c r="Q43" s="4"/>
      <c r="R43" s="4"/>
      <c r="S43" s="4"/>
      <c r="T43" s="4"/>
      <c r="U43" s="4"/>
      <c r="V43" s="4"/>
      <c r="W43" s="4"/>
      <c r="X43" s="4"/>
      <c r="Y43" s="4"/>
      <c r="Z43" s="18"/>
    </row>
    <row r="44" spans="1:26" ht="12" customHeight="1">
      <c r="A44" s="14" t="s">
        <v>71</v>
      </c>
      <c r="B44" s="141" t="str">
        <f>INDEX($B$7:$C$32,MATCH(C44,$C$7:$C$32,0),1)</f>
        <v>Production Costs</v>
      </c>
      <c r="C44" s="15" t="s">
        <v>66</v>
      </c>
      <c r="D44" s="208" t="s">
        <v>61</v>
      </c>
      <c r="E44" s="16">
        <v>0</v>
      </c>
      <c r="F44" s="16">
        <v>0</v>
      </c>
      <c r="G44" s="16">
        <v>1946.64</v>
      </c>
      <c r="H44" s="16">
        <v>2100.48</v>
      </c>
      <c r="I44" s="16">
        <v>1864.88</v>
      </c>
      <c r="J44" s="16">
        <v>1984.48</v>
      </c>
      <c r="K44" s="16">
        <v>2667.2</v>
      </c>
      <c r="L44" s="16">
        <v>0</v>
      </c>
      <c r="M44" s="16">
        <v>998.4</v>
      </c>
      <c r="N44" s="16">
        <v>0</v>
      </c>
      <c r="O44" s="16">
        <v>2326.08</v>
      </c>
      <c r="P44" s="16">
        <v>0</v>
      </c>
      <c r="Q44" s="4"/>
      <c r="R44" s="4"/>
      <c r="S44" s="4"/>
      <c r="T44" s="4"/>
      <c r="U44" s="4"/>
      <c r="V44" s="4"/>
      <c r="W44" s="4"/>
      <c r="X44" s="4"/>
      <c r="Y44" s="4"/>
      <c r="Z44" s="18"/>
    </row>
    <row r="45" spans="1:26" ht="12" customHeight="1">
      <c r="A45" s="14" t="s">
        <v>71</v>
      </c>
      <c r="B45" s="141" t="str">
        <f>INDEX($B$7:$C$32,MATCH(C45,$C$7:$C$32,0),1)</f>
        <v>Production Costs</v>
      </c>
      <c r="C45" s="15" t="s">
        <v>66</v>
      </c>
      <c r="D45" s="14" t="s">
        <v>62</v>
      </c>
      <c r="E45" s="16">
        <v>125993.22</v>
      </c>
      <c r="F45" s="16">
        <v>75075.8</v>
      </c>
      <c r="G45" s="16">
        <v>42206.8</v>
      </c>
      <c r="H45" s="16">
        <v>69244.539999999994</v>
      </c>
      <c r="I45" s="16">
        <v>-22344.85</v>
      </c>
      <c r="J45" s="16">
        <v>7648.11</v>
      </c>
      <c r="K45" s="16">
        <v>473878.85</v>
      </c>
      <c r="L45" s="16">
        <v>464219.42</v>
      </c>
      <c r="M45" s="16">
        <v>220115.49</v>
      </c>
      <c r="N45" s="16">
        <v>224277.79</v>
      </c>
      <c r="O45" s="16">
        <v>261383.87</v>
      </c>
      <c r="P45" s="16">
        <v>-77601.91</v>
      </c>
      <c r="Q45" s="4"/>
      <c r="R45" s="4"/>
      <c r="S45" s="4"/>
      <c r="T45" s="4"/>
      <c r="U45" s="4"/>
      <c r="V45" s="4"/>
      <c r="W45" s="4"/>
      <c r="X45" s="4"/>
      <c r="Y45" s="4"/>
      <c r="Z45" s="18"/>
    </row>
    <row r="46" spans="1:26" ht="12" customHeight="1">
      <c r="A46" s="212" t="s">
        <v>71</v>
      </c>
      <c r="B46" s="219" t="s">
        <v>59</v>
      </c>
      <c r="C46" s="217" t="s">
        <v>66</v>
      </c>
      <c r="D46" s="215" t="s">
        <v>59</v>
      </c>
      <c r="E46" s="216">
        <f>SUM(E43:E45)</f>
        <v>125993.22</v>
      </c>
      <c r="F46" s="216">
        <f t="shared" ref="F46:P46" si="12">SUM(F43:F45)</f>
        <v>75075.8</v>
      </c>
      <c r="G46" s="216">
        <f t="shared" si="12"/>
        <v>44153.440000000002</v>
      </c>
      <c r="H46" s="216">
        <f t="shared" si="12"/>
        <v>71345.01999999999</v>
      </c>
      <c r="I46" s="216">
        <f t="shared" si="12"/>
        <v>-20479.969999999998</v>
      </c>
      <c r="J46" s="216">
        <f t="shared" si="12"/>
        <v>9632.59</v>
      </c>
      <c r="K46" s="216">
        <f t="shared" si="12"/>
        <v>476546.05</v>
      </c>
      <c r="L46" s="216">
        <f t="shared" si="12"/>
        <v>464219.42</v>
      </c>
      <c r="M46" s="216">
        <f t="shared" si="12"/>
        <v>221113.88999999998</v>
      </c>
      <c r="N46" s="216">
        <f t="shared" si="12"/>
        <v>224277.79</v>
      </c>
      <c r="O46" s="216">
        <f t="shared" si="12"/>
        <v>263709.95</v>
      </c>
      <c r="P46" s="216">
        <f t="shared" si="12"/>
        <v>-77601.91</v>
      </c>
      <c r="Q46" s="4"/>
      <c r="R46" s="4"/>
      <c r="S46" s="4"/>
      <c r="T46" s="4"/>
      <c r="U46" s="4"/>
      <c r="V46" s="4"/>
      <c r="W46" s="4"/>
      <c r="X46" s="4"/>
      <c r="Y46" s="4"/>
      <c r="Z46" s="18"/>
    </row>
    <row r="47" spans="1:26" ht="12" customHeight="1">
      <c r="A47" s="14" t="s">
        <v>71</v>
      </c>
      <c r="B47" s="141" t="str">
        <f>INDEX($B$7:$C$32,MATCH(C47,$C$7:$C$32,0),1)</f>
        <v>Other Production Costs</v>
      </c>
      <c r="C47" s="15" t="s">
        <v>67</v>
      </c>
      <c r="D47" s="208" t="s">
        <v>61</v>
      </c>
      <c r="E47" s="16">
        <v>3942.46</v>
      </c>
      <c r="F47" s="16">
        <v>18.18</v>
      </c>
      <c r="G47" s="16">
        <v>0</v>
      </c>
      <c r="H47" s="16">
        <v>-3960.64</v>
      </c>
      <c r="I47" s="16">
        <v>0</v>
      </c>
      <c r="J47" s="16">
        <v>0</v>
      </c>
      <c r="K47" s="16">
        <v>44.6</v>
      </c>
      <c r="L47" s="16">
        <v>0</v>
      </c>
      <c r="M47" s="16">
        <v>3801.77</v>
      </c>
      <c r="N47" s="16">
        <v>-3588.53</v>
      </c>
      <c r="O47" s="16">
        <v>0</v>
      </c>
      <c r="P47" s="16">
        <v>0</v>
      </c>
      <c r="Q47" s="4"/>
      <c r="R47" s="4"/>
      <c r="S47" s="4"/>
      <c r="T47" s="4"/>
      <c r="U47" s="4"/>
      <c r="V47" s="4"/>
      <c r="W47" s="4"/>
      <c r="X47" s="4"/>
      <c r="Y47" s="4"/>
      <c r="Z47" s="18"/>
    </row>
    <row r="48" spans="1:26" ht="12" customHeight="1">
      <c r="A48" s="14" t="s">
        <v>71</v>
      </c>
      <c r="B48" s="141" t="str">
        <f>INDEX($B$7:$C$32,MATCH(C48,$C$7:$C$32,0),1)</f>
        <v>Other Production Costs</v>
      </c>
      <c r="C48" s="15" t="s">
        <v>67</v>
      </c>
      <c r="D48" s="14" t="s">
        <v>72</v>
      </c>
      <c r="E48" s="16">
        <v>0</v>
      </c>
      <c r="F48" s="16">
        <v>0</v>
      </c>
      <c r="G48" s="16">
        <v>0</v>
      </c>
      <c r="H48" s="16">
        <v>0</v>
      </c>
      <c r="I48" s="16">
        <v>0</v>
      </c>
      <c r="J48" s="16">
        <v>0</v>
      </c>
      <c r="K48" s="16">
        <v>0</v>
      </c>
      <c r="L48" s="16">
        <v>0</v>
      </c>
      <c r="M48" s="16">
        <v>0</v>
      </c>
      <c r="N48" s="16">
        <v>0</v>
      </c>
      <c r="O48" s="16">
        <v>0</v>
      </c>
      <c r="P48" s="16">
        <v>0</v>
      </c>
      <c r="Q48" s="4"/>
      <c r="R48" s="4"/>
      <c r="S48" s="4"/>
      <c r="T48" s="4"/>
      <c r="U48" s="4"/>
      <c r="V48" s="4"/>
      <c r="W48" s="4"/>
      <c r="X48" s="4"/>
      <c r="Y48" s="4"/>
      <c r="Z48" s="18"/>
    </row>
    <row r="49" spans="1:26" ht="12" customHeight="1">
      <c r="A49" s="14" t="s">
        <v>71</v>
      </c>
      <c r="B49" s="141" t="str">
        <f>INDEX($B$7:$C$32,MATCH(C49,$C$7:$C$32,0),1)</f>
        <v>Other Production Costs</v>
      </c>
      <c r="C49" s="15" t="s">
        <v>67</v>
      </c>
      <c r="D49" s="14" t="s">
        <v>62</v>
      </c>
      <c r="E49" s="16">
        <v>-3087.39</v>
      </c>
      <c r="F49" s="16">
        <v>8624.93</v>
      </c>
      <c r="G49" s="16">
        <v>7004.54</v>
      </c>
      <c r="H49" s="16">
        <v>-316.62999999999897</v>
      </c>
      <c r="I49" s="16">
        <v>9314.75</v>
      </c>
      <c r="J49" s="16">
        <v>8194.59</v>
      </c>
      <c r="K49" s="16">
        <v>12940.64</v>
      </c>
      <c r="L49" s="16">
        <v>8327.32</v>
      </c>
      <c r="M49" s="16">
        <v>8943.59</v>
      </c>
      <c r="N49" s="16">
        <v>10661.68</v>
      </c>
      <c r="O49" s="16">
        <v>8678.7800000000007</v>
      </c>
      <c r="P49" s="16">
        <v>12419.05</v>
      </c>
      <c r="Q49" s="4"/>
      <c r="R49" s="4"/>
      <c r="S49" s="4"/>
      <c r="T49" s="4"/>
      <c r="U49" s="4"/>
      <c r="V49" s="4"/>
      <c r="W49" s="4"/>
      <c r="X49" s="4"/>
      <c r="Y49" s="4"/>
      <c r="Z49" s="18"/>
    </row>
    <row r="50" spans="1:26" ht="12" customHeight="1">
      <c r="A50" s="14" t="s">
        <v>71</v>
      </c>
      <c r="B50" s="141" t="str">
        <f>INDEX($B$7:$C$32,MATCH(C50,$C$7:$C$32,0),1)</f>
        <v>Other Production Costs</v>
      </c>
      <c r="C50" s="15" t="s">
        <v>67</v>
      </c>
      <c r="D50" s="14" t="s">
        <v>63</v>
      </c>
      <c r="E50" s="16">
        <v>0</v>
      </c>
      <c r="F50" s="16">
        <v>0</v>
      </c>
      <c r="G50" s="16">
        <v>0</v>
      </c>
      <c r="H50" s="16">
        <v>0</v>
      </c>
      <c r="I50" s="16">
        <v>0</v>
      </c>
      <c r="J50" s="16">
        <v>0</v>
      </c>
      <c r="K50" s="16">
        <v>0</v>
      </c>
      <c r="L50" s="16">
        <v>0</v>
      </c>
      <c r="M50" s="16">
        <v>0</v>
      </c>
      <c r="N50" s="16">
        <v>0</v>
      </c>
      <c r="O50" s="16">
        <v>0</v>
      </c>
      <c r="P50" s="16">
        <v>0</v>
      </c>
      <c r="Q50" s="4"/>
      <c r="R50" s="4"/>
      <c r="S50" s="4"/>
      <c r="T50" s="4"/>
      <c r="U50" s="4"/>
      <c r="V50" s="4"/>
      <c r="W50" s="4"/>
      <c r="X50" s="4"/>
      <c r="Y50" s="4"/>
      <c r="Z50" s="18"/>
    </row>
    <row r="51" spans="1:26" ht="12" customHeight="1">
      <c r="A51" s="212" t="s">
        <v>71</v>
      </c>
      <c r="B51" s="219" t="s">
        <v>59</v>
      </c>
      <c r="C51" s="217" t="s">
        <v>67</v>
      </c>
      <c r="D51" s="215" t="s">
        <v>59</v>
      </c>
      <c r="E51" s="220">
        <f>SUM(E47:E50)</f>
        <v>855.07000000000016</v>
      </c>
      <c r="F51" s="220">
        <f t="shared" ref="F51:P51" si="13">SUM(F47:F50)</f>
        <v>8643.11</v>
      </c>
      <c r="G51" s="220">
        <f t="shared" si="13"/>
        <v>7004.54</v>
      </c>
      <c r="H51" s="220">
        <f t="shared" si="13"/>
        <v>-4277.2699999999986</v>
      </c>
      <c r="I51" s="220">
        <f t="shared" si="13"/>
        <v>9314.75</v>
      </c>
      <c r="J51" s="220">
        <f t="shared" si="13"/>
        <v>8194.59</v>
      </c>
      <c r="K51" s="220">
        <f t="shared" si="13"/>
        <v>12985.24</v>
      </c>
      <c r="L51" s="220">
        <f t="shared" si="13"/>
        <v>8327.32</v>
      </c>
      <c r="M51" s="220">
        <f t="shared" si="13"/>
        <v>12745.36</v>
      </c>
      <c r="N51" s="220">
        <f t="shared" si="13"/>
        <v>7073.15</v>
      </c>
      <c r="O51" s="220">
        <f t="shared" si="13"/>
        <v>8678.7800000000007</v>
      </c>
      <c r="P51" s="220">
        <f t="shared" si="13"/>
        <v>12419.05</v>
      </c>
      <c r="Q51" s="4"/>
      <c r="R51" s="4"/>
      <c r="S51" s="4"/>
      <c r="T51" s="4"/>
      <c r="U51" s="4"/>
      <c r="V51" s="4"/>
      <c r="W51" s="4"/>
      <c r="X51" s="4"/>
      <c r="Y51" s="4"/>
      <c r="Z51" s="18"/>
    </row>
    <row r="52" spans="1:26" ht="12" customHeight="1">
      <c r="A52" s="142" t="s">
        <v>73</v>
      </c>
      <c r="B52" s="142"/>
      <c r="C52" s="143"/>
      <c r="D52" s="142"/>
      <c r="E52" s="144"/>
      <c r="F52" s="144"/>
      <c r="G52" s="144"/>
      <c r="H52" s="144"/>
      <c r="I52" s="144"/>
      <c r="J52" s="144"/>
      <c r="K52" s="144"/>
      <c r="L52" s="144"/>
      <c r="M52" s="144"/>
      <c r="N52" s="144"/>
      <c r="O52" s="144"/>
      <c r="P52" s="144"/>
      <c r="Q52" s="145"/>
      <c r="R52" s="145"/>
      <c r="S52" s="145"/>
      <c r="T52" s="145"/>
      <c r="U52" s="145"/>
      <c r="V52" s="145"/>
      <c r="W52" s="145"/>
      <c r="X52" s="145"/>
      <c r="Y52" s="145"/>
      <c r="Z52" s="146"/>
    </row>
    <row r="53" spans="1:26" ht="97.5" customHeight="1">
      <c r="A53" s="273" t="s">
        <v>74</v>
      </c>
      <c r="B53" s="274"/>
      <c r="C53" s="274"/>
      <c r="D53" s="274"/>
      <c r="E53" s="274"/>
      <c r="F53" s="274"/>
      <c r="G53" s="274"/>
      <c r="H53" s="274"/>
      <c r="I53" s="147"/>
      <c r="J53" s="147"/>
      <c r="K53" s="147"/>
      <c r="L53" s="147"/>
      <c r="M53" s="147"/>
      <c r="N53" s="147"/>
      <c r="O53" s="147"/>
      <c r="P53" s="147"/>
      <c r="Q53" s="131"/>
      <c r="R53" s="131"/>
      <c r="S53" s="131"/>
      <c r="T53" s="131"/>
      <c r="U53" s="131"/>
      <c r="V53" s="131"/>
      <c r="W53" s="131"/>
      <c r="X53" s="131"/>
      <c r="Y53" s="131"/>
      <c r="Z53" s="134"/>
    </row>
    <row r="54" spans="1:26" ht="12" customHeight="1">
      <c r="A54" s="23" t="s">
        <v>75</v>
      </c>
      <c r="B54" s="148"/>
      <c r="C54" s="24" t="s">
        <v>41</v>
      </c>
      <c r="D54" s="23" t="s">
        <v>42</v>
      </c>
      <c r="E54" s="25" t="str">
        <f t="shared" ref="E54:P54" si="14">E6</f>
        <v>2013/Jul</v>
      </c>
      <c r="F54" s="25" t="str">
        <f t="shared" si="14"/>
        <v>2013/Aug</v>
      </c>
      <c r="G54" s="25" t="str">
        <f t="shared" si="14"/>
        <v>2013/Sep</v>
      </c>
      <c r="H54" s="25" t="str">
        <f t="shared" si="14"/>
        <v>2013/Oct</v>
      </c>
      <c r="I54" s="25" t="str">
        <f t="shared" si="14"/>
        <v>2013/Nov</v>
      </c>
      <c r="J54" s="25" t="str">
        <f t="shared" si="14"/>
        <v>2013/Dec</v>
      </c>
      <c r="K54" s="25" t="str">
        <f t="shared" si="14"/>
        <v>2014/Jan</v>
      </c>
      <c r="L54" s="25" t="str">
        <f t="shared" si="14"/>
        <v>2014/Feb</v>
      </c>
      <c r="M54" s="25" t="str">
        <f t="shared" si="14"/>
        <v>2014/Mar</v>
      </c>
      <c r="N54" s="25" t="str">
        <f t="shared" si="14"/>
        <v>2014/Apr</v>
      </c>
      <c r="O54" s="25" t="str">
        <f t="shared" si="14"/>
        <v>2014/May</v>
      </c>
      <c r="P54" s="25" t="str">
        <f t="shared" si="14"/>
        <v>2014/Jun</v>
      </c>
      <c r="Q54" s="131"/>
      <c r="R54" s="131"/>
      <c r="S54" s="131"/>
      <c r="T54" s="131"/>
      <c r="U54" s="131"/>
      <c r="V54" s="131"/>
      <c r="W54" s="131"/>
      <c r="X54" s="131"/>
      <c r="Y54" s="131"/>
      <c r="Z54" s="149"/>
    </row>
    <row r="55" spans="1:26" ht="12" customHeight="1">
      <c r="A55" s="26" t="s">
        <v>76</v>
      </c>
      <c r="B55" s="141" t="str">
        <f t="shared" ref="B55:B64" si="15">INDEX($B$7:$C$32,MATCH(C55,$C$7:$C$32,0),1)</f>
        <v>Revenue</v>
      </c>
      <c r="C55" s="15" t="s">
        <v>57</v>
      </c>
      <c r="D55" s="208" t="s">
        <v>58</v>
      </c>
      <c r="E55" s="207">
        <f t="shared" ref="E55:P55" si="16">SUMIFS(E$7:E$51, $C$7:$C$51, "001 Water Hedge Sales", $D$7:$D$51, "Total")</f>
        <v>-527388.08000000007</v>
      </c>
      <c r="F55" s="207">
        <f t="shared" si="16"/>
        <v>-629702.49</v>
      </c>
      <c r="G55" s="207">
        <f t="shared" si="16"/>
        <v>-1171967.77</v>
      </c>
      <c r="H55" s="207">
        <f t="shared" si="16"/>
        <v>-604857.90999999992</v>
      </c>
      <c r="I55" s="207">
        <f t="shared" si="16"/>
        <v>-708445.12</v>
      </c>
      <c r="J55" s="207">
        <f t="shared" si="16"/>
        <v>-897689.76</v>
      </c>
      <c r="K55" s="207">
        <f t="shared" si="16"/>
        <v>-368238.31999999995</v>
      </c>
      <c r="L55" s="207">
        <f t="shared" si="16"/>
        <v>-14031.48</v>
      </c>
      <c r="M55" s="207">
        <f t="shared" si="16"/>
        <v>-1434897.97</v>
      </c>
      <c r="N55" s="207">
        <f t="shared" si="16"/>
        <v>-685688.78999999992</v>
      </c>
      <c r="O55" s="207">
        <f t="shared" si="16"/>
        <v>-816344.46</v>
      </c>
      <c r="P55" s="207">
        <f t="shared" si="16"/>
        <v>-370816</v>
      </c>
      <c r="Q55" s="33"/>
      <c r="R55" s="4"/>
      <c r="S55" s="4"/>
      <c r="T55" s="4"/>
      <c r="U55" s="4"/>
      <c r="V55" s="4"/>
      <c r="W55" s="4"/>
      <c r="X55" s="4"/>
      <c r="Y55" s="4"/>
    </row>
    <row r="56" spans="1:26" ht="12" customHeight="1">
      <c r="A56" s="26" t="s">
        <v>76</v>
      </c>
      <c r="B56" s="141" t="str">
        <f t="shared" si="15"/>
        <v>Revenue</v>
      </c>
      <c r="C56" s="206" t="s">
        <v>64</v>
      </c>
      <c r="D56" s="14" t="s">
        <v>58</v>
      </c>
      <c r="E56" s="207">
        <f t="shared" ref="E56:P56" si="17">SUMIFS(E$7:E$51, $C$7:$C$51, "010 DESAL Water Sales", $D$7:$D$51, "Total")</f>
        <v>-22550338.609999999</v>
      </c>
      <c r="F56" s="207">
        <f t="shared" si="17"/>
        <v>-23721645.52</v>
      </c>
      <c r="G56" s="207">
        <f t="shared" si="17"/>
        <v>-21084531.109999999</v>
      </c>
      <c r="H56" s="207">
        <f t="shared" si="17"/>
        <v>-19451940.670000002</v>
      </c>
      <c r="I56" s="207">
        <f t="shared" si="17"/>
        <v>-21052332.41</v>
      </c>
      <c r="J56" s="207">
        <f t="shared" si="17"/>
        <v>-18913071.75</v>
      </c>
      <c r="K56" s="207">
        <f t="shared" si="17"/>
        <v>-28349250.43</v>
      </c>
      <c r="L56" s="207">
        <f t="shared" si="17"/>
        <v>-27387892.649999999</v>
      </c>
      <c r="M56" s="207">
        <f t="shared" si="17"/>
        <v>-26113976.469999999</v>
      </c>
      <c r="N56" s="207">
        <f t="shared" si="17"/>
        <v>-24270729.07</v>
      </c>
      <c r="O56" s="207">
        <f t="shared" si="17"/>
        <v>-24110265.009999998</v>
      </c>
      <c r="P56" s="207">
        <f t="shared" si="17"/>
        <v>-24958759.010000002</v>
      </c>
      <c r="Q56" s="33"/>
      <c r="R56" s="4"/>
      <c r="S56" s="4"/>
      <c r="T56" s="4"/>
      <c r="U56" s="4"/>
      <c r="V56" s="4"/>
      <c r="W56" s="4"/>
      <c r="X56" s="4"/>
      <c r="Y56" s="4"/>
    </row>
    <row r="57" spans="1:26" ht="12" customHeight="1">
      <c r="A57" s="26" t="s">
        <v>76</v>
      </c>
      <c r="B57" s="141" t="str">
        <f t="shared" si="15"/>
        <v>Revenue</v>
      </c>
      <c r="C57" s="15" t="s">
        <v>60</v>
      </c>
      <c r="D57" s="14" t="s">
        <v>58</v>
      </c>
      <c r="E57" s="207">
        <f>ABS(SUMIFS(E$7:E$51, $C$7:$C$51, "040 Miscellaneous Sales", $D$7:$D$51, "W-Transact (0211)"))</f>
        <v>43875</v>
      </c>
      <c r="F57" s="207">
        <f t="shared" ref="F57:P57" si="18">ABS(SUMIFS(F$7:F$51, $C$7:$C$51, "040 Miscellaneous Sales", $D$7:$D$51, "W-Transact (0211)"))</f>
        <v>42965</v>
      </c>
      <c r="G57" s="207">
        <f t="shared" si="18"/>
        <v>125182.5</v>
      </c>
      <c r="H57" s="207">
        <f t="shared" si="18"/>
        <v>52587.5</v>
      </c>
      <c r="I57" s="207">
        <f t="shared" si="18"/>
        <v>62990</v>
      </c>
      <c r="J57" s="207">
        <f t="shared" si="18"/>
        <v>33740</v>
      </c>
      <c r="K57" s="207">
        <f t="shared" si="18"/>
        <v>351677.5</v>
      </c>
      <c r="L57" s="207">
        <f t="shared" si="18"/>
        <v>390387.5</v>
      </c>
      <c r="M57" s="207">
        <f t="shared" si="18"/>
        <v>54180</v>
      </c>
      <c r="N57" s="207">
        <f t="shared" si="18"/>
        <v>61186.66</v>
      </c>
      <c r="O57" s="207">
        <f t="shared" si="18"/>
        <v>35663.339999999997</v>
      </c>
      <c r="P57" s="207">
        <f t="shared" si="18"/>
        <v>44752.5</v>
      </c>
      <c r="Q57" s="33"/>
      <c r="R57" s="267"/>
      <c r="S57" s="4"/>
      <c r="T57" s="4"/>
      <c r="U57" s="4"/>
      <c r="V57" s="4"/>
      <c r="W57" s="4"/>
      <c r="X57" s="4"/>
      <c r="Y57" s="4"/>
    </row>
    <row r="58" spans="1:26" ht="12" customHeight="1">
      <c r="A58" s="26" t="s">
        <v>76</v>
      </c>
      <c r="B58" s="141" t="str">
        <f t="shared" si="15"/>
        <v>Revenue</v>
      </c>
      <c r="C58" s="15" t="s">
        <v>60</v>
      </c>
      <c r="D58" s="14" t="s">
        <v>61</v>
      </c>
      <c r="E58" s="207">
        <f>SUMIFS(E$7:E$51, $C$7:$C$51, "040 Miscellaneous Sales", $D$7:$D$51, "Plant Maintenance (1200)", E$7:E$51, "&gt;0") - SUMIFS(E$7:E$51, $C$7:$C$51, "040 Miscellaneous Sales", $D$7:$D$51, "Plant Maintenance (1200)", E$7:E$51, "&lt;0")</f>
        <v>14400</v>
      </c>
      <c r="F58" s="207">
        <f t="shared" ref="F58:P58" si="19">SUMIFS(F$7:F$51, $C$7:$C$51, "040 Miscellaneous Sales", $D$7:$D$51, "Plant Maintenance (1200)", F$7:F$51, "&gt;0") - SUMIFS(F$7:F$51, $C$7:$C$51, "040 Miscellaneous Sales", $D$7:$D$51, "Plant Maintenance (1200)", F$7:F$51, "&lt;0")</f>
        <v>2640.08</v>
      </c>
      <c r="G58" s="207">
        <f t="shared" si="19"/>
        <v>24935</v>
      </c>
      <c r="H58" s="207">
        <f t="shared" si="19"/>
        <v>9700</v>
      </c>
      <c r="I58" s="207">
        <f t="shared" si="19"/>
        <v>0</v>
      </c>
      <c r="J58" s="207">
        <f t="shared" si="19"/>
        <v>0</v>
      </c>
      <c r="K58" s="207">
        <f t="shared" si="19"/>
        <v>0</v>
      </c>
      <c r="L58" s="207">
        <f t="shared" si="19"/>
        <v>6900</v>
      </c>
      <c r="M58" s="207">
        <f t="shared" si="19"/>
        <v>11867.12</v>
      </c>
      <c r="N58" s="207">
        <f t="shared" si="19"/>
        <v>6600</v>
      </c>
      <c r="O58" s="207">
        <f t="shared" si="19"/>
        <v>21222.41</v>
      </c>
      <c r="P58" s="207">
        <f t="shared" si="19"/>
        <v>47356</v>
      </c>
      <c r="Q58" s="33"/>
      <c r="R58" s="267"/>
      <c r="S58" s="4"/>
      <c r="T58" s="4"/>
      <c r="U58" s="4"/>
      <c r="V58" s="4"/>
      <c r="W58" s="4"/>
      <c r="X58" s="4"/>
      <c r="Y58" s="4"/>
    </row>
    <row r="59" spans="1:26" ht="12" customHeight="1">
      <c r="A59" s="26" t="s">
        <v>76</v>
      </c>
      <c r="B59" s="141" t="str">
        <f t="shared" si="15"/>
        <v>Revenue</v>
      </c>
      <c r="C59" s="15" t="s">
        <v>60</v>
      </c>
      <c r="D59" s="208" t="s">
        <v>62</v>
      </c>
      <c r="E59" s="207">
        <f>SUMIFS(E$7:E$51, $C$7:$C$51, "040 Miscellaneous Sales", $D$7:$D$51, "Plant Op. Costs (1300)", E$7:E$51, "&gt;0") - SUMIFS(E$7:E$51, $C$7:$C$51, "040 Miscellaneous Sales", $D$7:$D$51, "Plant Op. Costs (1300)", E$7:E$51, "&lt;0")</f>
        <v>113937.04</v>
      </c>
      <c r="F59" s="207">
        <f t="shared" ref="F59:P59" si="20">SUMIFS(F$7:F$51, $C$7:$C$51, "040 Miscellaneous Sales", $D$7:$D$51, "Plant Op. Costs (1300)", F$7:F$51, "&gt;0") - SUMIFS(F$7:F$51, $C$7:$C$51, "040 Miscellaneous Sales", $D$7:$D$51, "Plant Op. Costs (1300)", F$7:F$51, "&lt;0")</f>
        <v>58564.66</v>
      </c>
      <c r="G59" s="207">
        <f t="shared" si="20"/>
        <v>17675.75</v>
      </c>
      <c r="H59" s="207">
        <f t="shared" si="20"/>
        <v>19649.78</v>
      </c>
      <c r="I59" s="207">
        <f t="shared" si="20"/>
        <v>42459.659999999996</v>
      </c>
      <c r="J59" s="207">
        <f t="shared" si="20"/>
        <v>14714.68</v>
      </c>
      <c r="K59" s="207">
        <f t="shared" si="20"/>
        <v>48873.869999999995</v>
      </c>
      <c r="L59" s="207">
        <f t="shared" si="20"/>
        <v>82704.03</v>
      </c>
      <c r="M59" s="207">
        <f t="shared" si="20"/>
        <v>51267.63</v>
      </c>
      <c r="N59" s="207">
        <f t="shared" si="20"/>
        <v>58134.58</v>
      </c>
      <c r="O59" s="207">
        <f t="shared" si="20"/>
        <v>65738.399999999994</v>
      </c>
      <c r="P59" s="207">
        <f t="shared" si="20"/>
        <v>59317.2</v>
      </c>
      <c r="Q59" s="33"/>
      <c r="R59" s="267"/>
      <c r="S59" s="4"/>
      <c r="T59" s="4"/>
      <c r="U59" s="4"/>
      <c r="V59" s="4"/>
      <c r="W59" s="4"/>
      <c r="X59" s="4"/>
      <c r="Y59" s="4"/>
    </row>
    <row r="60" spans="1:26" ht="12" customHeight="1">
      <c r="A60" s="26" t="s">
        <v>76</v>
      </c>
      <c r="B60" s="141" t="str">
        <f t="shared" si="15"/>
        <v>Revenue</v>
      </c>
      <c r="C60" s="15" t="s">
        <v>60</v>
      </c>
      <c r="D60" s="14" t="s">
        <v>63</v>
      </c>
      <c r="E60" s="207">
        <f t="shared" ref="E60:P60" si="21">SUMIFS(E$7:E$51, $C$7:$C$51, "040 Miscellaneous Sales", $D$7:$D$51, "Admin (100)", E$7:E$51, "&gt;0") - SUMIFS(E$7:E$51, $C$7:$C$51, "040 Miscellaneous Sales", $D$7:$D$51, "Admin (100)", E$7:E$51, "&lt;0")</f>
        <v>674257.77</v>
      </c>
      <c r="F60" s="207">
        <f t="shared" si="21"/>
        <v>670079.13</v>
      </c>
      <c r="G60" s="207">
        <f t="shared" si="21"/>
        <v>738722.20000000007</v>
      </c>
      <c r="H60" s="207">
        <f t="shared" si="21"/>
        <v>730516.9800000001</v>
      </c>
      <c r="I60" s="207">
        <f t="shared" si="21"/>
        <v>751101.12</v>
      </c>
      <c r="J60" s="207">
        <f t="shared" si="21"/>
        <v>733147.69000000006</v>
      </c>
      <c r="K60" s="207">
        <f t="shared" si="21"/>
        <v>737397.16</v>
      </c>
      <c r="L60" s="207">
        <f t="shared" si="21"/>
        <v>1203002.27</v>
      </c>
      <c r="M60" s="207">
        <f t="shared" si="21"/>
        <v>743237.66999999993</v>
      </c>
      <c r="N60" s="207">
        <f t="shared" si="21"/>
        <v>593351.38</v>
      </c>
      <c r="O60" s="207">
        <f t="shared" si="21"/>
        <v>884861.20000000007</v>
      </c>
      <c r="P60" s="207">
        <f t="shared" si="21"/>
        <v>555048.40000000014</v>
      </c>
      <c r="Q60" s="33"/>
      <c r="R60" s="267"/>
      <c r="S60" s="4"/>
      <c r="T60" s="4"/>
      <c r="U60" s="4"/>
      <c r="V60" s="4"/>
      <c r="W60" s="4"/>
      <c r="X60" s="4"/>
      <c r="Y60" s="4"/>
    </row>
    <row r="61" spans="1:26" ht="12" customHeight="1">
      <c r="A61" s="26" t="s">
        <v>76</v>
      </c>
      <c r="B61" s="141" t="str">
        <f t="shared" si="15"/>
        <v>Production Costs</v>
      </c>
      <c r="C61" s="15" t="s">
        <v>66</v>
      </c>
      <c r="D61" s="14" t="s">
        <v>62</v>
      </c>
      <c r="E61" s="207">
        <f t="shared" ref="E61:P61" si="22">SUMIFS(E$7:E$51, $C$7:$C$51, "120 Purchases", $D$7:$D$51, "Plant Op. Costs (1300)", E$7:E$51, "&gt;0") - SUMIFS(E$7:E$51, $C$7:$C$51, "120 Purchases", $D$7:$D$51, "Plant Op. Costs (1300)", E$7:E$51, "&lt;0")</f>
        <v>848167.17999999993</v>
      </c>
      <c r="F61" s="207">
        <f t="shared" si="22"/>
        <v>966368.24</v>
      </c>
      <c r="G61" s="207">
        <f t="shared" si="22"/>
        <v>90175.27</v>
      </c>
      <c r="H61" s="207">
        <f t="shared" si="22"/>
        <v>95769.07</v>
      </c>
      <c r="I61" s="207">
        <f t="shared" si="22"/>
        <v>199375.25</v>
      </c>
      <c r="J61" s="207">
        <f t="shared" si="22"/>
        <v>691590.19</v>
      </c>
      <c r="K61" s="207">
        <f t="shared" si="22"/>
        <v>534140.51</v>
      </c>
      <c r="L61" s="207">
        <f t="shared" si="22"/>
        <v>1006975.31</v>
      </c>
      <c r="M61" s="207">
        <f t="shared" si="22"/>
        <v>488817.61</v>
      </c>
      <c r="N61" s="207">
        <f t="shared" si="22"/>
        <v>346881.89</v>
      </c>
      <c r="O61" s="207">
        <f t="shared" si="22"/>
        <v>487279.05</v>
      </c>
      <c r="P61" s="207">
        <f t="shared" si="22"/>
        <v>286438.25</v>
      </c>
      <c r="Q61" s="4"/>
      <c r="R61" s="267"/>
      <c r="S61" s="4"/>
      <c r="T61" s="4"/>
      <c r="U61" s="4"/>
      <c r="V61" s="4"/>
      <c r="W61" s="4"/>
      <c r="X61" s="4"/>
      <c r="Y61" s="4"/>
    </row>
    <row r="62" spans="1:26" ht="12" customHeight="1">
      <c r="A62" s="26" t="s">
        <v>76</v>
      </c>
      <c r="B62" s="141" t="str">
        <f t="shared" si="15"/>
        <v>Production Costs</v>
      </c>
      <c r="C62" s="15" t="s">
        <v>66</v>
      </c>
      <c r="D62" s="14" t="s">
        <v>58</v>
      </c>
      <c r="E62" s="207">
        <f t="shared" ref="E62:P62" si="23">SUMIFS(E$7:E$51, $C$7:$C$51, "120 Purchases", $D$7:$D$51, "W-Transact (0211)", E$7:E$51, "&gt;0") - SUMIFS(E$7:E$51, $C$7:$C$51, "120 Purchases", $D$7:$D$51, "W-Transact (0211)", E$7:E$51, "&lt;0")</f>
        <v>0</v>
      </c>
      <c r="F62" s="207">
        <f t="shared" si="23"/>
        <v>0</v>
      </c>
      <c r="G62" s="207">
        <f t="shared" si="23"/>
        <v>0</v>
      </c>
      <c r="H62" s="207">
        <f t="shared" si="23"/>
        <v>0</v>
      </c>
      <c r="I62" s="207">
        <f t="shared" si="23"/>
        <v>0</v>
      </c>
      <c r="J62" s="207">
        <f t="shared" si="23"/>
        <v>0</v>
      </c>
      <c r="K62" s="207">
        <f t="shared" si="23"/>
        <v>0</v>
      </c>
      <c r="L62" s="207">
        <f t="shared" si="23"/>
        <v>0</v>
      </c>
      <c r="M62" s="207">
        <f t="shared" si="23"/>
        <v>0</v>
      </c>
      <c r="N62" s="207">
        <f t="shared" si="23"/>
        <v>0</v>
      </c>
      <c r="O62" s="207">
        <f t="shared" si="23"/>
        <v>0</v>
      </c>
      <c r="P62" s="207">
        <f t="shared" si="23"/>
        <v>0</v>
      </c>
      <c r="Q62" s="4"/>
      <c r="R62" s="4"/>
      <c r="S62" s="4"/>
      <c r="T62" s="4"/>
      <c r="U62" s="4"/>
      <c r="V62" s="4"/>
      <c r="W62" s="4"/>
      <c r="X62" s="4"/>
      <c r="Y62" s="4"/>
    </row>
    <row r="63" spans="1:26" ht="12" customHeight="1">
      <c r="A63" s="26" t="s">
        <v>76</v>
      </c>
      <c r="B63" s="141" t="str">
        <f t="shared" si="15"/>
        <v>Production Costs</v>
      </c>
      <c r="C63" s="15" t="s">
        <v>66</v>
      </c>
      <c r="D63" s="208" t="s">
        <v>61</v>
      </c>
      <c r="E63" s="207">
        <f t="shared" ref="E63:P63" si="24">SUMIFS(E$7:E$51, $C$7:$C$51, "120 Purchases", $D$7:$D$51, "Plant Maintenance (1200)", E$7:E$51, "&gt;0") - SUMIFS(E$7:E$51, $C$7:$C$51, "120 Purchases", $D$7:$D$51, "Plant Maintenance (1200)", E$7:E$51, "&lt;0")</f>
        <v>0</v>
      </c>
      <c r="F63" s="207">
        <f t="shared" si="24"/>
        <v>0</v>
      </c>
      <c r="G63" s="207">
        <f t="shared" si="24"/>
        <v>1946.64</v>
      </c>
      <c r="H63" s="207">
        <f t="shared" si="24"/>
        <v>2100.48</v>
      </c>
      <c r="I63" s="207">
        <f t="shared" si="24"/>
        <v>1864.88</v>
      </c>
      <c r="J63" s="207">
        <f t="shared" si="24"/>
        <v>1984.48</v>
      </c>
      <c r="K63" s="207">
        <f t="shared" si="24"/>
        <v>2667.2</v>
      </c>
      <c r="L63" s="207">
        <f t="shared" si="24"/>
        <v>0</v>
      </c>
      <c r="M63" s="207">
        <f t="shared" si="24"/>
        <v>998.4</v>
      </c>
      <c r="N63" s="207">
        <f t="shared" si="24"/>
        <v>0</v>
      </c>
      <c r="O63" s="207">
        <f t="shared" si="24"/>
        <v>2326.08</v>
      </c>
      <c r="P63" s="207">
        <f t="shared" si="24"/>
        <v>0</v>
      </c>
      <c r="Q63" s="33"/>
      <c r="R63" s="4"/>
      <c r="S63" s="4"/>
      <c r="T63" s="4"/>
      <c r="U63" s="4"/>
      <c r="V63" s="4"/>
      <c r="W63" s="4"/>
      <c r="X63" s="4"/>
      <c r="Y63" s="4"/>
    </row>
    <row r="64" spans="1:26" ht="12" customHeight="1">
      <c r="A64" s="26" t="s">
        <v>76</v>
      </c>
      <c r="B64" s="141" t="str">
        <f t="shared" si="15"/>
        <v>Other Production Costs</v>
      </c>
      <c r="C64" s="15" t="s">
        <v>67</v>
      </c>
      <c r="D64" s="14" t="s">
        <v>68</v>
      </c>
      <c r="E64" s="207">
        <f t="shared" ref="E64:P64" si="25">SUMIFS(E$7:E$51, $C$7:$C$51, "140 Other Production Costs", $D$7:$D$51, "DS Kootha Hyrdogen By Product (0232)", E$7:E$51, "&gt;0") - SUMIFS(E$7:E$51, $C$7:$C$51, "140 Other Production Costs", $D$7:$D$51, "DS Kootha Hyrdogen By Product (0232)", E$7:E$51, "&lt;0")</f>
        <v>0</v>
      </c>
      <c r="F64" s="207">
        <f t="shared" si="25"/>
        <v>0</v>
      </c>
      <c r="G64" s="207">
        <f t="shared" si="25"/>
        <v>0</v>
      </c>
      <c r="H64" s="207">
        <f t="shared" si="25"/>
        <v>0</v>
      </c>
      <c r="I64" s="207">
        <f t="shared" si="25"/>
        <v>0</v>
      </c>
      <c r="J64" s="207">
        <f t="shared" si="25"/>
        <v>0</v>
      </c>
      <c r="K64" s="207">
        <f t="shared" si="25"/>
        <v>0</v>
      </c>
      <c r="L64" s="207">
        <f t="shared" si="25"/>
        <v>0</v>
      </c>
      <c r="M64" s="207">
        <f t="shared" si="25"/>
        <v>0</v>
      </c>
      <c r="N64" s="207">
        <f t="shared" si="25"/>
        <v>0</v>
      </c>
      <c r="O64" s="207">
        <f t="shared" si="25"/>
        <v>0</v>
      </c>
      <c r="P64" s="207">
        <f t="shared" si="25"/>
        <v>0</v>
      </c>
      <c r="Q64" s="4"/>
      <c r="R64" s="4"/>
      <c r="S64" s="4"/>
      <c r="T64" s="4"/>
      <c r="U64" s="4"/>
      <c r="V64" s="4"/>
      <c r="W64" s="4"/>
      <c r="X64" s="4"/>
      <c r="Y64" s="4"/>
      <c r="Z64" s="18"/>
    </row>
    <row r="65" spans="1:26" ht="12" customHeight="1">
      <c r="A65" s="26" t="s">
        <v>76</v>
      </c>
      <c r="B65" s="141" t="s">
        <v>28</v>
      </c>
      <c r="C65" s="15" t="s">
        <v>67</v>
      </c>
      <c r="D65" s="208" t="s">
        <v>61</v>
      </c>
      <c r="E65" s="207">
        <f t="shared" ref="E65:P65" si="26">SUMIFS(E$7:E$51, $C$7:$C$51, "140 Other Production Costs", $D$7:$D$51, "Plant Maintenance (1200)", E$7:E$51, "&gt;0") - SUMIFS(E$7:E$51, $C$7:$C$51, "140 Other Production Costs", $D$7:$D$51, "Plant Maintenance (1200)", E$7:E$51, "&lt;0")</f>
        <v>23565.69</v>
      </c>
      <c r="F65" s="207">
        <f t="shared" si="26"/>
        <v>32501.52</v>
      </c>
      <c r="G65" s="207">
        <f t="shared" si="26"/>
        <v>21704.22</v>
      </c>
      <c r="H65" s="207">
        <f t="shared" si="26"/>
        <v>31476.28</v>
      </c>
      <c r="I65" s="207">
        <f t="shared" si="26"/>
        <v>30835.439999999999</v>
      </c>
      <c r="J65" s="207">
        <f t="shared" si="26"/>
        <v>33205.11</v>
      </c>
      <c r="K65" s="207">
        <f t="shared" si="26"/>
        <v>34191.82</v>
      </c>
      <c r="L65" s="207">
        <f t="shared" si="26"/>
        <v>28654</v>
      </c>
      <c r="M65" s="207">
        <f t="shared" si="26"/>
        <v>26244.39</v>
      </c>
      <c r="N65" s="207">
        <f t="shared" si="26"/>
        <v>34717.9</v>
      </c>
      <c r="O65" s="207">
        <f t="shared" si="26"/>
        <v>27132</v>
      </c>
      <c r="P65" s="207">
        <f t="shared" si="26"/>
        <v>30197.21</v>
      </c>
      <c r="Q65" s="33"/>
      <c r="R65" s="4"/>
      <c r="S65" s="4"/>
      <c r="T65" s="4"/>
      <c r="U65" s="4"/>
      <c r="V65" s="4"/>
      <c r="W65" s="4"/>
      <c r="X65" s="4"/>
      <c r="Y65" s="4"/>
      <c r="Z65" s="18"/>
    </row>
    <row r="66" spans="1:26" ht="12" customHeight="1">
      <c r="A66" s="26" t="s">
        <v>76</v>
      </c>
      <c r="B66" s="141" t="str">
        <f>INDEX($B$7:$C$32,MATCH(C66,$C$7:$C$32,0),1)</f>
        <v>Other Production Costs</v>
      </c>
      <c r="C66" s="15" t="s">
        <v>67</v>
      </c>
      <c r="D66" s="208" t="s">
        <v>62</v>
      </c>
      <c r="E66" s="207">
        <f t="shared" ref="E66:P66" si="27">SUMIFS(E$7:E$51, $C$7:$C$51, "140 Other Production Costs", $D$7:$D$51, "Plant Op. Costs (1300)", E$7:E$51, "&gt;0") - SUMIFS(E$7:E$51, $C$7:$C$51, "140 Other Production Costs", $D$7:$D$51, "Plant Op. Costs (1300)", E$7:E$51, "&lt;0")</f>
        <v>244406.78000000003</v>
      </c>
      <c r="F66" s="207">
        <f t="shared" si="27"/>
        <v>235617.47</v>
      </c>
      <c r="G66" s="207">
        <f t="shared" si="27"/>
        <v>368688.63</v>
      </c>
      <c r="H66" s="207">
        <f t="shared" si="27"/>
        <v>213936.26</v>
      </c>
      <c r="I66" s="207">
        <f t="shared" si="27"/>
        <v>244093.16</v>
      </c>
      <c r="J66" s="207">
        <f t="shared" si="27"/>
        <v>299399.47000000003</v>
      </c>
      <c r="K66" s="207">
        <f t="shared" si="27"/>
        <v>353604.15</v>
      </c>
      <c r="L66" s="207">
        <f t="shared" si="27"/>
        <v>341989.23</v>
      </c>
      <c r="M66" s="207">
        <f t="shared" si="27"/>
        <v>297019.30000000005</v>
      </c>
      <c r="N66" s="207">
        <f t="shared" si="27"/>
        <v>280580.11</v>
      </c>
      <c r="O66" s="207">
        <f t="shared" si="27"/>
        <v>288169.54000000004</v>
      </c>
      <c r="P66" s="207">
        <f t="shared" si="27"/>
        <v>435588.36</v>
      </c>
      <c r="Q66" s="265"/>
      <c r="R66" s="4"/>
      <c r="S66" s="4"/>
      <c r="T66" s="4"/>
      <c r="U66" s="4"/>
      <c r="V66" s="4"/>
      <c r="W66" s="4"/>
      <c r="X66" s="4"/>
      <c r="Y66" s="4"/>
      <c r="Z66" s="18"/>
    </row>
    <row r="67" spans="1:26" ht="12" customHeight="1">
      <c r="A67" s="26" t="s">
        <v>76</v>
      </c>
      <c r="B67" s="141" t="str">
        <f>INDEX($B$7:$C$32,MATCH(C67,$C$7:$C$32,0),1)</f>
        <v>Other Production Costs</v>
      </c>
      <c r="C67" s="15" t="s">
        <v>67</v>
      </c>
      <c r="D67" s="208" t="s">
        <v>70</v>
      </c>
      <c r="E67" s="207">
        <f t="shared" ref="E67:P67" si="28">SUMIFS(E$7:E$51, $C$7:$C$51, "140 Other Production Costs", $D$7:$D$51, "Projects Opex (4438)", E$7:E$51, "&gt;0") - SUMIFS(E$7:E$51, $C$7:$C$51, "140 Other Production Costs", $D$7:$D$51, "Projects Opex (4438)", E$7:E$51, "&lt;0")</f>
        <v>0</v>
      </c>
      <c r="F67" s="207">
        <f t="shared" si="28"/>
        <v>0</v>
      </c>
      <c r="G67" s="207">
        <f t="shared" si="28"/>
        <v>0</v>
      </c>
      <c r="H67" s="207">
        <f t="shared" si="28"/>
        <v>0</v>
      </c>
      <c r="I67" s="207">
        <f t="shared" si="28"/>
        <v>0</v>
      </c>
      <c r="J67" s="207">
        <f t="shared" si="28"/>
        <v>629.44000000000005</v>
      </c>
      <c r="K67" s="207">
        <f t="shared" si="28"/>
        <v>0</v>
      </c>
      <c r="L67" s="207">
        <f t="shared" si="28"/>
        <v>629.44000000000005</v>
      </c>
      <c r="M67" s="207">
        <f t="shared" si="28"/>
        <v>0</v>
      </c>
      <c r="N67" s="207">
        <f t="shared" si="28"/>
        <v>0</v>
      </c>
      <c r="O67" s="207">
        <f t="shared" si="28"/>
        <v>0</v>
      </c>
      <c r="P67" s="207">
        <f t="shared" si="28"/>
        <v>0</v>
      </c>
      <c r="Q67" s="33"/>
      <c r="R67" s="4"/>
      <c r="S67" s="4"/>
      <c r="T67" s="4"/>
      <c r="U67" s="4"/>
      <c r="V67" s="4"/>
      <c r="W67" s="4"/>
      <c r="X67" s="4"/>
      <c r="Y67" s="4"/>
      <c r="Z67" s="18"/>
    </row>
    <row r="68" spans="1:26" ht="12" customHeight="1">
      <c r="A68" s="26" t="s">
        <v>76</v>
      </c>
      <c r="B68" s="141" t="str">
        <f>INDEX($B$7:$C$32,MATCH(C68,$C$7:$C$32,0),1)</f>
        <v>Other Production Costs</v>
      </c>
      <c r="C68" s="15" t="s">
        <v>67</v>
      </c>
      <c r="D68" s="208" t="s">
        <v>63</v>
      </c>
      <c r="E68" s="207">
        <f t="shared" ref="E68:P68" si="29">SUMIFS(E$7:E$51, $C$7:$C$51, "140 Other Production Costs", $D$7:$D$51, "Admin (100)", E$7:E$51, "&gt;0") - SUMIFS(E$7:E$51, $C$7:$C$51, "140 Other Production Costs", $D$7:$D$51, "Admin (100)", E$7:E$51, "&lt;0")</f>
        <v>191.67</v>
      </c>
      <c r="F68" s="207">
        <f t="shared" si="29"/>
        <v>0</v>
      </c>
      <c r="G68" s="207">
        <f t="shared" si="29"/>
        <v>95.38</v>
      </c>
      <c r="H68" s="207">
        <f t="shared" si="29"/>
        <v>215.71</v>
      </c>
      <c r="I68" s="207">
        <f t="shared" si="29"/>
        <v>384.38</v>
      </c>
      <c r="J68" s="207">
        <f t="shared" si="29"/>
        <v>385.02</v>
      </c>
      <c r="K68" s="207">
        <f t="shared" si="29"/>
        <v>161.94999999999999</v>
      </c>
      <c r="L68" s="207">
        <f t="shared" si="29"/>
        <v>678.79</v>
      </c>
      <c r="M68" s="207">
        <f t="shared" si="29"/>
        <v>0</v>
      </c>
      <c r="N68" s="207">
        <f t="shared" si="29"/>
        <v>0</v>
      </c>
      <c r="O68" s="207">
        <f t="shared" si="29"/>
        <v>52.74</v>
      </c>
      <c r="P68" s="207">
        <f t="shared" si="29"/>
        <v>0</v>
      </c>
      <c r="Q68" s="33"/>
      <c r="R68" s="4"/>
      <c r="S68" s="4"/>
      <c r="T68" s="4"/>
      <c r="U68" s="4"/>
      <c r="V68" s="4"/>
      <c r="W68" s="4"/>
      <c r="X68" s="4"/>
      <c r="Y68" s="4"/>
      <c r="Z68" s="18"/>
    </row>
    <row r="69" spans="1:26" ht="12" customHeight="1">
      <c r="A69" s="26" t="s">
        <v>76</v>
      </c>
      <c r="B69" s="141" t="str">
        <f>INDEX($B$7:$C$32,MATCH(C69,$C$7:$C$32,0),1)</f>
        <v>Other Production Costs</v>
      </c>
      <c r="C69" s="15" t="s">
        <v>67</v>
      </c>
      <c r="D69" s="208" t="s">
        <v>72</v>
      </c>
      <c r="E69" s="207">
        <f t="shared" ref="E69:P69" si="30">SUMIFS(E$7:E$51, $C$7:$C$51, "140 Other Production Costs", $D$7:$D$51, "Plant Outages (1100)", E$7:E$51, "&gt;0") - SUMIFS(E$7:E$51, $C$7:$C$51, "140 Other Production Costs", $D$7:$D$51, "Plant Outages (1100)", E$7:E$51, "&lt;0")</f>
        <v>0</v>
      </c>
      <c r="F69" s="207">
        <f t="shared" si="30"/>
        <v>0</v>
      </c>
      <c r="G69" s="207">
        <f t="shared" si="30"/>
        <v>0</v>
      </c>
      <c r="H69" s="207">
        <f t="shared" si="30"/>
        <v>0</v>
      </c>
      <c r="I69" s="207">
        <f t="shared" si="30"/>
        <v>0</v>
      </c>
      <c r="J69" s="207">
        <f t="shared" si="30"/>
        <v>0</v>
      </c>
      <c r="K69" s="207">
        <f t="shared" si="30"/>
        <v>0</v>
      </c>
      <c r="L69" s="207">
        <f t="shared" si="30"/>
        <v>0</v>
      </c>
      <c r="M69" s="207">
        <f t="shared" si="30"/>
        <v>0</v>
      </c>
      <c r="N69" s="207">
        <f t="shared" si="30"/>
        <v>0</v>
      </c>
      <c r="O69" s="207">
        <f t="shared" si="30"/>
        <v>0</v>
      </c>
      <c r="P69" s="207">
        <f t="shared" si="30"/>
        <v>0</v>
      </c>
      <c r="Q69" s="4"/>
      <c r="R69" s="4"/>
      <c r="S69" s="4"/>
      <c r="T69" s="4"/>
      <c r="U69" s="4"/>
      <c r="V69" s="4"/>
      <c r="W69" s="4"/>
      <c r="X69" s="4"/>
      <c r="Y69" s="4"/>
      <c r="Z69" s="18"/>
    </row>
    <row r="70" spans="1:26" ht="12" customHeight="1">
      <c r="A70" s="27"/>
      <c r="B70" s="27"/>
      <c r="C70" s="15"/>
      <c r="D70" s="14"/>
      <c r="E70" s="27"/>
      <c r="F70" s="27"/>
      <c r="G70" s="27"/>
      <c r="H70" s="27"/>
      <c r="I70" s="27"/>
      <c r="J70" s="27"/>
      <c r="K70" s="27"/>
      <c r="L70" s="27"/>
      <c r="M70" s="27"/>
      <c r="N70" s="27"/>
      <c r="O70" s="27"/>
      <c r="P70" s="27"/>
      <c r="Q70" s="4"/>
      <c r="R70" s="4"/>
      <c r="S70" s="4"/>
      <c r="T70" s="4"/>
      <c r="U70" s="4"/>
      <c r="V70" s="4"/>
      <c r="W70" s="4"/>
      <c r="X70" s="4"/>
      <c r="Y70" s="4"/>
      <c r="Z70" s="18"/>
    </row>
    <row r="71" spans="1:26" ht="12" customHeight="1">
      <c r="A71" s="27"/>
      <c r="B71" s="27"/>
      <c r="C71" s="15"/>
      <c r="D71" s="14"/>
      <c r="E71" s="27"/>
      <c r="F71" s="27"/>
      <c r="G71" s="27"/>
      <c r="H71" s="27"/>
      <c r="I71" s="27"/>
      <c r="J71" s="27"/>
      <c r="K71" s="27"/>
      <c r="L71" s="27"/>
      <c r="M71" s="27"/>
      <c r="N71" s="27"/>
      <c r="O71" s="27"/>
      <c r="P71" s="27"/>
      <c r="Q71" s="4"/>
      <c r="R71" s="4"/>
      <c r="S71" s="4"/>
      <c r="T71" s="4"/>
      <c r="U71" s="4"/>
      <c r="V71" s="4"/>
      <c r="W71" s="4"/>
      <c r="X71" s="4"/>
      <c r="Y71" s="4"/>
      <c r="Z71" s="18"/>
    </row>
    <row r="72" spans="1:26" ht="12" customHeight="1">
      <c r="A72" s="27"/>
      <c r="B72" s="27"/>
      <c r="C72" s="15"/>
      <c r="D72" s="14"/>
      <c r="E72" s="27"/>
      <c r="F72" s="27"/>
      <c r="G72" s="27"/>
      <c r="H72" s="27"/>
      <c r="I72" s="27"/>
      <c r="J72" s="27"/>
      <c r="K72" s="27"/>
      <c r="L72" s="27"/>
      <c r="M72" s="27"/>
      <c r="N72" s="27"/>
      <c r="O72" s="27"/>
      <c r="P72" s="27"/>
      <c r="Q72" s="4"/>
      <c r="R72" s="4"/>
      <c r="S72" s="4"/>
      <c r="T72" s="4"/>
      <c r="U72" s="4"/>
      <c r="V72" s="4"/>
      <c r="W72" s="4"/>
      <c r="X72" s="4"/>
      <c r="Y72" s="4"/>
      <c r="Z72" s="18"/>
    </row>
    <row r="73" spans="1:26" ht="12" customHeight="1">
      <c r="A73" s="27"/>
      <c r="B73" s="27"/>
      <c r="C73" s="15"/>
      <c r="D73" s="14"/>
      <c r="E73" s="27"/>
      <c r="F73" s="27"/>
      <c r="G73" s="27"/>
      <c r="H73" s="27"/>
      <c r="I73" s="27"/>
      <c r="J73" s="27"/>
      <c r="K73" s="27"/>
      <c r="L73" s="27"/>
      <c r="M73" s="27"/>
      <c r="N73" s="27"/>
      <c r="O73" s="27"/>
      <c r="P73" s="27"/>
      <c r="Q73" s="4"/>
      <c r="R73" s="4"/>
      <c r="S73" s="4"/>
      <c r="T73" s="4"/>
      <c r="U73" s="4"/>
      <c r="V73" s="4"/>
      <c r="W73" s="4"/>
      <c r="X73" s="4"/>
      <c r="Y73" s="4"/>
    </row>
    <row r="74" spans="1:26" ht="12" customHeight="1">
      <c r="A74" s="27"/>
      <c r="B74" s="27"/>
      <c r="C74" s="15"/>
      <c r="D74" s="14"/>
      <c r="E74" s="27"/>
      <c r="F74" s="27"/>
      <c r="G74" s="27"/>
      <c r="H74" s="27"/>
      <c r="I74" s="27"/>
      <c r="J74" s="27"/>
      <c r="K74" s="27"/>
      <c r="L74" s="27"/>
      <c r="M74" s="27"/>
      <c r="N74" s="27"/>
      <c r="O74" s="27"/>
      <c r="P74" s="27"/>
      <c r="Q74" s="4"/>
      <c r="R74" s="4"/>
      <c r="S74" s="4"/>
      <c r="T74" s="4"/>
      <c r="U74" s="4"/>
      <c r="V74" s="4"/>
      <c r="W74" s="4"/>
      <c r="X74" s="4"/>
      <c r="Y74" s="4"/>
    </row>
    <row r="75" spans="1:26" ht="12" customHeight="1">
      <c r="A75" s="27"/>
      <c r="B75" s="27"/>
      <c r="C75" s="15"/>
      <c r="D75" s="14"/>
      <c r="E75" s="27"/>
      <c r="F75" s="27"/>
      <c r="G75" s="27"/>
      <c r="H75" s="27"/>
      <c r="I75" s="27"/>
      <c r="J75" s="27"/>
      <c r="K75" s="27"/>
      <c r="L75" s="27"/>
      <c r="M75" s="27"/>
      <c r="N75" s="27"/>
      <c r="O75" s="27"/>
      <c r="P75" s="27"/>
      <c r="Q75" s="4"/>
      <c r="R75" s="4"/>
      <c r="S75" s="4"/>
      <c r="T75" s="4"/>
      <c r="U75" s="4"/>
      <c r="V75" s="4"/>
      <c r="W75" s="4"/>
      <c r="X75" s="4"/>
      <c r="Y75" s="4"/>
    </row>
    <row r="76" spans="1:26" ht="12" customHeight="1">
      <c r="A76" s="27"/>
      <c r="B76" s="27"/>
      <c r="C76" s="15"/>
      <c r="D76" s="14"/>
      <c r="E76" s="27"/>
      <c r="F76" s="27"/>
      <c r="G76" s="27"/>
      <c r="H76" s="27"/>
      <c r="I76" s="27"/>
      <c r="J76" s="27"/>
      <c r="K76" s="27"/>
      <c r="L76" s="27"/>
      <c r="M76" s="27"/>
      <c r="N76" s="27"/>
      <c r="O76" s="27"/>
      <c r="P76" s="27"/>
      <c r="Q76" s="4"/>
      <c r="R76" s="4"/>
      <c r="S76" s="4"/>
      <c r="T76" s="4"/>
      <c r="U76" s="4"/>
      <c r="V76" s="4"/>
      <c r="W76" s="4"/>
      <c r="X76" s="4"/>
      <c r="Y76" s="4"/>
    </row>
    <row r="77" spans="1:26" ht="12" customHeight="1">
      <c r="A77" s="27"/>
      <c r="B77" s="27"/>
      <c r="C77" s="15"/>
      <c r="D77" s="14"/>
      <c r="E77" s="27"/>
      <c r="F77" s="27"/>
      <c r="G77" s="27"/>
      <c r="H77" s="27"/>
      <c r="I77" s="27"/>
      <c r="J77" s="27"/>
      <c r="K77" s="27"/>
      <c r="L77" s="27"/>
      <c r="M77" s="27"/>
      <c r="N77" s="27"/>
      <c r="O77" s="27"/>
      <c r="P77" s="27"/>
      <c r="Q77" s="4"/>
      <c r="R77" s="4"/>
      <c r="S77" s="4"/>
      <c r="T77" s="4"/>
      <c r="U77" s="4"/>
      <c r="V77" s="4"/>
      <c r="W77" s="4"/>
      <c r="X77" s="4"/>
      <c r="Y77" s="4"/>
    </row>
    <row r="78" spans="1:26" ht="12" customHeight="1">
      <c r="A78" s="27"/>
      <c r="B78" s="27"/>
      <c r="C78" s="15"/>
      <c r="D78" s="14"/>
      <c r="E78" s="27"/>
      <c r="F78" s="27"/>
      <c r="G78" s="27"/>
      <c r="H78" s="27"/>
      <c r="I78" s="27"/>
      <c r="J78" s="27"/>
      <c r="K78" s="27"/>
      <c r="L78" s="27"/>
      <c r="M78" s="27"/>
      <c r="N78" s="27"/>
      <c r="O78" s="27"/>
      <c r="P78" s="27"/>
      <c r="Q78" s="4"/>
      <c r="R78" s="4"/>
      <c r="S78" s="4"/>
      <c r="T78" s="4"/>
      <c r="U78" s="4"/>
      <c r="V78" s="4"/>
      <c r="W78" s="4"/>
      <c r="X78" s="4"/>
      <c r="Y78" s="4"/>
    </row>
    <row r="79" spans="1:26" ht="12" customHeight="1">
      <c r="A79" s="27"/>
      <c r="B79" s="27"/>
      <c r="C79" s="15"/>
      <c r="D79" s="14"/>
      <c r="E79" s="27"/>
      <c r="F79" s="27"/>
      <c r="G79" s="27"/>
      <c r="H79" s="27"/>
      <c r="I79" s="27"/>
      <c r="J79" s="27"/>
      <c r="K79" s="27"/>
      <c r="L79" s="27"/>
      <c r="M79" s="27"/>
      <c r="N79" s="27"/>
      <c r="O79" s="27"/>
      <c r="P79" s="27"/>
      <c r="Q79" s="4"/>
      <c r="R79" s="4"/>
      <c r="S79" s="4"/>
      <c r="T79" s="4"/>
      <c r="U79" s="4"/>
      <c r="V79" s="4"/>
      <c r="W79" s="4"/>
      <c r="X79" s="4"/>
      <c r="Y79" s="4"/>
    </row>
    <row r="80" spans="1:26" ht="12" customHeight="1">
      <c r="A80" s="27"/>
      <c r="B80" s="27"/>
      <c r="C80" s="15"/>
      <c r="D80" s="14"/>
      <c r="E80" s="27"/>
      <c r="F80" s="27"/>
      <c r="G80" s="27"/>
      <c r="H80" s="27"/>
      <c r="I80" s="27"/>
      <c r="J80" s="27"/>
      <c r="K80" s="27"/>
      <c r="L80" s="27"/>
      <c r="M80" s="27"/>
      <c r="N80" s="27"/>
      <c r="O80" s="27"/>
      <c r="P80" s="27"/>
      <c r="Q80" s="4"/>
      <c r="R80" s="4"/>
      <c r="S80" s="4"/>
      <c r="T80" s="4"/>
      <c r="U80" s="4"/>
      <c r="V80" s="4"/>
      <c r="W80" s="4"/>
      <c r="X80" s="4"/>
      <c r="Y80" s="4"/>
    </row>
    <row r="81" spans="1:25" ht="12" customHeight="1">
      <c r="A81" s="27"/>
      <c r="B81" s="27"/>
      <c r="C81" s="15"/>
      <c r="D81" s="14"/>
      <c r="E81" s="27"/>
      <c r="F81" s="27"/>
      <c r="G81" s="27"/>
      <c r="H81" s="27"/>
      <c r="I81" s="27"/>
      <c r="J81" s="27"/>
      <c r="K81" s="27"/>
      <c r="L81" s="27"/>
      <c r="M81" s="27"/>
      <c r="N81" s="27"/>
      <c r="O81" s="27"/>
      <c r="P81" s="27"/>
      <c r="Q81" s="4"/>
      <c r="R81" s="4"/>
      <c r="S81" s="4"/>
      <c r="T81" s="4"/>
      <c r="U81" s="4"/>
      <c r="V81" s="4"/>
      <c r="W81" s="4"/>
      <c r="X81" s="4"/>
      <c r="Y81" s="4"/>
    </row>
    <row r="82" spans="1:25" ht="12" customHeight="1">
      <c r="A82" s="27"/>
      <c r="B82" s="27"/>
      <c r="C82" s="15"/>
      <c r="D82" s="14"/>
      <c r="E82" s="27"/>
      <c r="F82" s="27"/>
      <c r="G82" s="27"/>
      <c r="H82" s="27"/>
      <c r="I82" s="27"/>
      <c r="J82" s="27"/>
      <c r="K82" s="27"/>
      <c r="L82" s="27"/>
      <c r="M82" s="27"/>
      <c r="N82" s="27"/>
      <c r="O82" s="27"/>
      <c r="P82" s="27"/>
      <c r="Q82" s="4"/>
      <c r="R82" s="4"/>
      <c r="S82" s="4"/>
      <c r="T82" s="4"/>
      <c r="U82" s="4"/>
      <c r="V82" s="4"/>
      <c r="W82" s="4"/>
      <c r="X82" s="4"/>
      <c r="Y82" s="4"/>
    </row>
    <row r="83" spans="1:25" ht="12" customHeight="1">
      <c r="A83" s="27"/>
      <c r="B83" s="27"/>
      <c r="C83" s="15"/>
      <c r="D83" s="14"/>
      <c r="E83" s="27"/>
      <c r="F83" s="27"/>
      <c r="G83" s="27"/>
      <c r="H83" s="27"/>
      <c r="I83" s="27"/>
      <c r="J83" s="27"/>
      <c r="K83" s="27"/>
      <c r="L83" s="27"/>
      <c r="M83" s="27"/>
      <c r="N83" s="27"/>
      <c r="O83" s="27"/>
      <c r="P83" s="27"/>
      <c r="Q83" s="4"/>
      <c r="R83" s="4"/>
      <c r="S83" s="4"/>
      <c r="T83" s="4"/>
      <c r="U83" s="4"/>
      <c r="V83" s="4"/>
      <c r="W83" s="4"/>
      <c r="X83" s="4"/>
      <c r="Y83" s="4"/>
    </row>
    <row r="84" spans="1:25" ht="12" customHeight="1">
      <c r="A84" s="27"/>
      <c r="B84" s="27"/>
      <c r="C84" s="27"/>
      <c r="D84" s="27"/>
      <c r="E84" s="27"/>
      <c r="F84" s="27"/>
      <c r="G84" s="27"/>
      <c r="H84" s="27"/>
      <c r="I84" s="27"/>
      <c r="J84" s="27"/>
      <c r="K84" s="27"/>
      <c r="L84" s="27"/>
      <c r="M84" s="27"/>
      <c r="N84" s="27"/>
      <c r="O84" s="27"/>
      <c r="P84" s="27"/>
      <c r="Q84" s="4"/>
      <c r="R84" s="4"/>
      <c r="S84" s="4"/>
      <c r="T84" s="4"/>
      <c r="U84" s="4"/>
      <c r="V84" s="4"/>
      <c r="W84" s="4"/>
      <c r="X84" s="4"/>
      <c r="Y84" s="4"/>
    </row>
    <row r="85" spans="1:25" ht="12" customHeight="1">
      <c r="A85" s="27"/>
      <c r="B85" s="27"/>
      <c r="C85" s="27"/>
      <c r="D85" s="27"/>
      <c r="E85" s="27"/>
      <c r="F85" s="27"/>
      <c r="G85" s="27"/>
      <c r="H85" s="27"/>
      <c r="I85" s="27"/>
      <c r="J85" s="27"/>
      <c r="K85" s="27"/>
      <c r="L85" s="27"/>
      <c r="M85" s="27"/>
      <c r="N85" s="27"/>
      <c r="O85" s="27"/>
      <c r="P85" s="27"/>
      <c r="Q85" s="4"/>
      <c r="R85" s="4"/>
      <c r="S85" s="4"/>
      <c r="T85" s="4"/>
      <c r="U85" s="4"/>
      <c r="V85" s="4"/>
      <c r="W85" s="4"/>
      <c r="X85" s="4"/>
      <c r="Y85" s="4"/>
    </row>
    <row r="86" spans="1:25" ht="12" customHeight="1">
      <c r="A86" s="27"/>
      <c r="B86" s="27"/>
      <c r="C86" s="27"/>
      <c r="D86" s="27"/>
      <c r="E86" s="27"/>
      <c r="F86" s="27"/>
      <c r="G86" s="27"/>
      <c r="H86" s="27"/>
      <c r="I86" s="27"/>
      <c r="J86" s="27"/>
      <c r="K86" s="27"/>
      <c r="L86" s="27"/>
      <c r="M86" s="27"/>
      <c r="N86" s="27"/>
      <c r="O86" s="27"/>
      <c r="P86" s="27"/>
      <c r="Q86" s="4"/>
      <c r="R86" s="4"/>
      <c r="S86" s="4"/>
      <c r="T86" s="4"/>
      <c r="U86" s="4"/>
      <c r="V86" s="4"/>
      <c r="W86" s="4"/>
      <c r="X86" s="4"/>
      <c r="Y86" s="4"/>
    </row>
    <row r="87" spans="1:25" ht="12" customHeight="1">
      <c r="A87" s="27"/>
      <c r="B87" s="27"/>
      <c r="C87" s="27"/>
      <c r="D87" s="27"/>
      <c r="E87" s="27"/>
      <c r="F87" s="27"/>
      <c r="G87" s="27"/>
      <c r="H87" s="27"/>
      <c r="I87" s="27"/>
      <c r="J87" s="27"/>
      <c r="K87" s="27"/>
      <c r="L87" s="27"/>
      <c r="M87" s="27"/>
      <c r="N87" s="27"/>
      <c r="O87" s="27"/>
      <c r="P87" s="27"/>
      <c r="Q87" s="4"/>
      <c r="R87" s="4"/>
      <c r="S87" s="4"/>
      <c r="T87" s="4"/>
      <c r="U87" s="4"/>
      <c r="V87" s="4"/>
      <c r="W87" s="4"/>
      <c r="X87" s="4"/>
      <c r="Y87" s="4"/>
    </row>
    <row r="88" spans="1:25" ht="12" customHeight="1">
      <c r="A88" s="27"/>
      <c r="B88" s="27"/>
      <c r="C88" s="27"/>
      <c r="D88" s="27"/>
      <c r="E88" s="27"/>
      <c r="F88" s="27"/>
      <c r="G88" s="27"/>
      <c r="H88" s="27"/>
      <c r="I88" s="27"/>
      <c r="J88" s="27"/>
      <c r="K88" s="27"/>
      <c r="L88" s="27"/>
      <c r="M88" s="27"/>
      <c r="N88" s="27"/>
      <c r="O88" s="27"/>
      <c r="P88" s="27"/>
      <c r="Q88" s="4"/>
      <c r="R88" s="4"/>
      <c r="S88" s="4"/>
      <c r="T88" s="4"/>
      <c r="U88" s="4"/>
      <c r="V88" s="4"/>
      <c r="W88" s="4"/>
      <c r="X88" s="4"/>
      <c r="Y88" s="4"/>
    </row>
    <row r="89" spans="1:25" ht="12" customHeight="1">
      <c r="A89" s="27"/>
      <c r="B89" s="27"/>
      <c r="C89" s="27"/>
      <c r="D89" s="27"/>
      <c r="E89" s="27"/>
      <c r="F89" s="27"/>
      <c r="G89" s="27"/>
      <c r="H89" s="27"/>
      <c r="I89" s="27"/>
      <c r="J89" s="27"/>
      <c r="K89" s="27"/>
      <c r="L89" s="27"/>
      <c r="M89" s="27"/>
      <c r="N89" s="27"/>
      <c r="O89" s="27"/>
      <c r="P89" s="27"/>
      <c r="Q89" s="4"/>
      <c r="R89" s="4"/>
      <c r="S89" s="4"/>
      <c r="T89" s="4"/>
      <c r="U89" s="4"/>
      <c r="V89" s="4"/>
      <c r="W89" s="4"/>
      <c r="X89" s="4"/>
      <c r="Y89" s="4"/>
    </row>
    <row r="90" spans="1:25" ht="12" customHeight="1">
      <c r="A90" s="27"/>
      <c r="B90" s="27"/>
      <c r="C90" s="27"/>
      <c r="D90" s="27"/>
      <c r="E90" s="27"/>
      <c r="F90" s="27"/>
      <c r="G90" s="27"/>
      <c r="H90" s="27"/>
      <c r="I90" s="27"/>
      <c r="J90" s="27"/>
      <c r="K90" s="27"/>
      <c r="L90" s="27"/>
      <c r="M90" s="27"/>
      <c r="N90" s="27"/>
      <c r="O90" s="27"/>
      <c r="P90" s="27"/>
      <c r="Q90" s="4"/>
      <c r="R90" s="4"/>
      <c r="S90" s="4"/>
      <c r="T90" s="4"/>
      <c r="U90" s="4"/>
      <c r="V90" s="4"/>
      <c r="W90" s="4"/>
      <c r="X90" s="4"/>
      <c r="Y90" s="4"/>
    </row>
    <row r="91" spans="1:25" ht="12" customHeight="1">
      <c r="A91" s="27"/>
      <c r="B91" s="27"/>
      <c r="C91" s="27"/>
      <c r="D91" s="27"/>
      <c r="E91" s="27"/>
      <c r="F91" s="27"/>
      <c r="G91" s="27"/>
      <c r="H91" s="27"/>
      <c r="I91" s="27"/>
      <c r="J91" s="27"/>
      <c r="K91" s="27"/>
      <c r="L91" s="27"/>
      <c r="M91" s="27"/>
      <c r="N91" s="27"/>
      <c r="O91" s="27"/>
      <c r="P91" s="27"/>
      <c r="Q91" s="4"/>
      <c r="R91" s="4"/>
      <c r="S91" s="4"/>
      <c r="T91" s="4"/>
      <c r="U91" s="4"/>
      <c r="V91" s="4"/>
      <c r="W91" s="4"/>
      <c r="X91" s="4"/>
      <c r="Y91" s="4"/>
    </row>
    <row r="92" spans="1:25" ht="12" customHeight="1">
      <c r="A92" s="27"/>
      <c r="B92" s="27"/>
      <c r="C92" s="27"/>
      <c r="D92" s="27"/>
      <c r="E92" s="27"/>
      <c r="F92" s="27"/>
      <c r="G92" s="27"/>
      <c r="H92" s="27"/>
      <c r="I92" s="27"/>
      <c r="J92" s="27"/>
      <c r="K92" s="27"/>
      <c r="L92" s="27"/>
      <c r="M92" s="27"/>
      <c r="N92" s="27"/>
      <c r="O92" s="27"/>
      <c r="P92" s="27"/>
      <c r="Q92" s="4"/>
      <c r="R92" s="4"/>
      <c r="S92" s="4"/>
      <c r="T92" s="4"/>
      <c r="U92" s="4"/>
      <c r="V92" s="4"/>
      <c r="W92" s="4"/>
      <c r="X92" s="4"/>
      <c r="Y92" s="4"/>
    </row>
    <row r="93" spans="1:25" ht="12" customHeight="1">
      <c r="A93" s="27"/>
      <c r="B93" s="27"/>
      <c r="C93" s="27"/>
      <c r="D93" s="27"/>
      <c r="E93" s="27"/>
      <c r="F93" s="27"/>
      <c r="G93" s="27"/>
      <c r="H93" s="27"/>
      <c r="I93" s="27"/>
      <c r="J93" s="27"/>
      <c r="K93" s="27"/>
      <c r="L93" s="27"/>
      <c r="M93" s="27"/>
      <c r="N93" s="27"/>
      <c r="O93" s="27"/>
      <c r="P93" s="27"/>
      <c r="Q93" s="4"/>
      <c r="R93" s="4"/>
      <c r="S93" s="4"/>
      <c r="T93" s="4"/>
      <c r="U93" s="4"/>
      <c r="V93" s="4"/>
      <c r="W93" s="4"/>
      <c r="X93" s="4"/>
      <c r="Y93" s="4"/>
    </row>
    <row r="94" spans="1:25" ht="12" customHeight="1">
      <c r="A94" s="27"/>
      <c r="B94" s="27"/>
      <c r="C94" s="27"/>
      <c r="D94" s="27"/>
      <c r="E94" s="27"/>
      <c r="F94" s="27"/>
      <c r="G94" s="27"/>
      <c r="H94" s="27"/>
      <c r="I94" s="27"/>
      <c r="J94" s="27"/>
      <c r="K94" s="27"/>
      <c r="L94" s="27"/>
      <c r="M94" s="27"/>
      <c r="N94" s="27"/>
      <c r="O94" s="27"/>
      <c r="P94" s="27"/>
      <c r="Q94" s="4"/>
      <c r="R94" s="4"/>
      <c r="S94" s="4"/>
      <c r="T94" s="4"/>
      <c r="U94" s="4"/>
      <c r="V94" s="4"/>
      <c r="W94" s="4"/>
      <c r="X94" s="4"/>
      <c r="Y94" s="4"/>
    </row>
    <row r="95" spans="1:25" ht="12" customHeight="1">
      <c r="A95" s="27"/>
      <c r="B95" s="27"/>
      <c r="C95" s="27"/>
      <c r="D95" s="27"/>
      <c r="E95" s="27"/>
      <c r="F95" s="27"/>
      <c r="G95" s="27"/>
      <c r="H95" s="27"/>
      <c r="I95" s="27"/>
      <c r="J95" s="27"/>
      <c r="K95" s="27"/>
      <c r="L95" s="27"/>
      <c r="M95" s="27"/>
      <c r="N95" s="27"/>
      <c r="O95" s="27"/>
      <c r="P95" s="27"/>
      <c r="Q95" s="4"/>
      <c r="R95" s="4"/>
      <c r="S95" s="4"/>
      <c r="T95" s="4"/>
      <c r="U95" s="4"/>
      <c r="V95" s="4"/>
      <c r="W95" s="4"/>
      <c r="X95" s="4"/>
      <c r="Y95" s="4"/>
    </row>
    <row r="96" spans="1:25" ht="12" customHeight="1">
      <c r="A96" s="27"/>
      <c r="B96" s="27"/>
      <c r="C96" s="27"/>
      <c r="D96" s="27"/>
      <c r="E96" s="27"/>
      <c r="F96" s="27"/>
      <c r="G96" s="27"/>
      <c r="H96" s="27"/>
      <c r="I96" s="27"/>
      <c r="J96" s="27"/>
      <c r="K96" s="27"/>
      <c r="L96" s="27"/>
      <c r="M96" s="27"/>
      <c r="N96" s="27"/>
      <c r="O96" s="27"/>
      <c r="P96" s="27"/>
      <c r="Q96" s="4"/>
      <c r="R96" s="4"/>
      <c r="S96" s="4"/>
      <c r="T96" s="4"/>
      <c r="U96" s="4"/>
      <c r="V96" s="4"/>
      <c r="W96" s="4"/>
      <c r="X96" s="4"/>
      <c r="Y96" s="4"/>
    </row>
    <row r="97" spans="1:25" ht="12" customHeight="1">
      <c r="A97" s="27"/>
      <c r="B97" s="27"/>
      <c r="C97" s="27"/>
      <c r="D97" s="27"/>
      <c r="E97" s="27"/>
      <c r="F97" s="27"/>
      <c r="G97" s="27"/>
      <c r="H97" s="27"/>
      <c r="I97" s="27"/>
      <c r="J97" s="27"/>
      <c r="K97" s="27"/>
      <c r="L97" s="27"/>
      <c r="M97" s="27"/>
      <c r="N97" s="27"/>
      <c r="O97" s="27"/>
      <c r="P97" s="27"/>
      <c r="Q97" s="4"/>
      <c r="R97" s="4"/>
      <c r="S97" s="4"/>
      <c r="T97" s="4"/>
      <c r="U97" s="4"/>
      <c r="V97" s="4"/>
      <c r="W97" s="4"/>
      <c r="X97" s="4"/>
      <c r="Y97" s="4"/>
    </row>
    <row r="98" spans="1:25" ht="12" customHeight="1">
      <c r="A98" s="27"/>
      <c r="B98" s="27"/>
      <c r="C98" s="27"/>
      <c r="D98" s="27"/>
      <c r="E98" s="27"/>
      <c r="F98" s="27"/>
      <c r="G98" s="27"/>
      <c r="H98" s="27"/>
      <c r="I98" s="27"/>
      <c r="J98" s="27"/>
      <c r="K98" s="27"/>
      <c r="L98" s="27"/>
      <c r="M98" s="27"/>
      <c r="N98" s="27"/>
      <c r="O98" s="27"/>
      <c r="P98" s="27"/>
      <c r="Q98" s="4"/>
      <c r="R98" s="4"/>
      <c r="S98" s="4"/>
      <c r="T98" s="4"/>
      <c r="U98" s="4"/>
      <c r="V98" s="4"/>
      <c r="W98" s="4"/>
      <c r="X98" s="4"/>
      <c r="Y98" s="4"/>
    </row>
    <row r="99" spans="1:25" ht="12" customHeight="1">
      <c r="A99" s="27"/>
      <c r="B99" s="27"/>
      <c r="C99" s="27"/>
      <c r="D99" s="27"/>
      <c r="E99" s="27"/>
      <c r="F99" s="27"/>
      <c r="G99" s="27"/>
      <c r="H99" s="27"/>
      <c r="I99" s="27"/>
      <c r="J99" s="27"/>
      <c r="K99" s="27"/>
      <c r="L99" s="27"/>
      <c r="M99" s="27"/>
      <c r="N99" s="27"/>
      <c r="O99" s="27"/>
      <c r="P99" s="27"/>
      <c r="Q99" s="4"/>
      <c r="R99" s="4"/>
      <c r="S99" s="4"/>
      <c r="T99" s="4"/>
      <c r="U99" s="4"/>
      <c r="V99" s="4"/>
      <c r="W99" s="4"/>
      <c r="X99" s="4"/>
      <c r="Y99" s="4"/>
    </row>
    <row r="100" spans="1:25" ht="12" customHeight="1">
      <c r="A100" s="27"/>
      <c r="B100" s="27"/>
      <c r="C100" s="27"/>
      <c r="D100" s="27"/>
      <c r="E100" s="27"/>
      <c r="F100" s="27"/>
      <c r="G100" s="27"/>
      <c r="H100" s="27"/>
      <c r="I100" s="27"/>
      <c r="J100" s="27"/>
      <c r="K100" s="27"/>
      <c r="L100" s="27"/>
      <c r="M100" s="27"/>
      <c r="N100" s="27"/>
      <c r="O100" s="27"/>
      <c r="P100" s="27"/>
      <c r="Q100" s="4"/>
      <c r="R100" s="4"/>
      <c r="S100" s="4"/>
      <c r="T100" s="4"/>
      <c r="U100" s="4"/>
      <c r="V100" s="4"/>
      <c r="W100" s="4"/>
      <c r="X100" s="4"/>
      <c r="Y100" s="4"/>
    </row>
    <row r="101" spans="1:25" ht="12" customHeight="1">
      <c r="A101" s="27"/>
      <c r="B101" s="27"/>
      <c r="C101" s="27"/>
      <c r="D101" s="27"/>
      <c r="E101" s="27"/>
      <c r="F101" s="27"/>
      <c r="G101" s="27"/>
      <c r="H101" s="27"/>
      <c r="I101" s="27"/>
      <c r="J101" s="27"/>
      <c r="K101" s="27"/>
      <c r="L101" s="27"/>
      <c r="M101" s="27"/>
      <c r="N101" s="27"/>
      <c r="O101" s="27"/>
      <c r="P101" s="27"/>
      <c r="Q101" s="4"/>
      <c r="R101" s="4"/>
      <c r="S101" s="4"/>
      <c r="T101" s="4"/>
      <c r="U101" s="4"/>
      <c r="V101" s="4"/>
      <c r="W101" s="4"/>
      <c r="X101" s="4"/>
      <c r="Y101" s="4"/>
    </row>
    <row r="102" spans="1:25" ht="12" customHeight="1">
      <c r="A102" s="27"/>
      <c r="B102" s="27"/>
      <c r="C102" s="27"/>
      <c r="D102" s="27"/>
      <c r="E102" s="27"/>
      <c r="F102" s="27"/>
      <c r="G102" s="27"/>
      <c r="H102" s="27"/>
      <c r="I102" s="27"/>
      <c r="J102" s="27"/>
      <c r="K102" s="27"/>
      <c r="L102" s="27"/>
      <c r="M102" s="27"/>
      <c r="N102" s="27"/>
      <c r="O102" s="27"/>
      <c r="P102" s="27"/>
      <c r="Q102" s="4"/>
      <c r="R102" s="4"/>
      <c r="S102" s="4"/>
      <c r="T102" s="4"/>
      <c r="U102" s="4"/>
      <c r="V102" s="4"/>
      <c r="W102" s="4"/>
      <c r="X102" s="4"/>
      <c r="Y102" s="4"/>
    </row>
    <row r="103" spans="1:25" ht="12" customHeight="1">
      <c r="A103" s="27"/>
      <c r="B103" s="27"/>
      <c r="C103" s="27"/>
      <c r="D103" s="27"/>
      <c r="E103" s="27"/>
      <c r="F103" s="27"/>
      <c r="G103" s="27"/>
      <c r="H103" s="27"/>
      <c r="I103" s="27"/>
      <c r="J103" s="27"/>
      <c r="K103" s="27"/>
      <c r="L103" s="27"/>
      <c r="M103" s="27"/>
      <c r="N103" s="27"/>
      <c r="O103" s="27"/>
      <c r="P103" s="27"/>
      <c r="Q103" s="4"/>
      <c r="R103" s="4"/>
      <c r="S103" s="4"/>
      <c r="T103" s="4"/>
      <c r="U103" s="4"/>
      <c r="V103" s="4"/>
      <c r="W103" s="4"/>
      <c r="X103" s="4"/>
      <c r="Y103" s="4"/>
    </row>
    <row r="104" spans="1:25" ht="12" customHeight="1">
      <c r="A104" s="27"/>
      <c r="B104" s="27"/>
      <c r="C104" s="27"/>
      <c r="D104" s="27"/>
      <c r="E104" s="27"/>
      <c r="F104" s="27"/>
      <c r="G104" s="27"/>
      <c r="H104" s="27"/>
      <c r="I104" s="27"/>
      <c r="J104" s="27"/>
      <c r="K104" s="27"/>
      <c r="L104" s="27"/>
      <c r="M104" s="27"/>
      <c r="N104" s="27"/>
      <c r="O104" s="27"/>
      <c r="P104" s="27"/>
      <c r="Q104" s="4"/>
      <c r="R104" s="4"/>
      <c r="S104" s="4"/>
      <c r="T104" s="4"/>
      <c r="U104" s="4"/>
      <c r="V104" s="4"/>
      <c r="W104" s="4"/>
      <c r="X104" s="4"/>
      <c r="Y104" s="4"/>
    </row>
    <row r="105" spans="1:25" ht="12" customHeight="1">
      <c r="A105" s="27"/>
      <c r="B105" s="27"/>
      <c r="C105" s="27"/>
      <c r="D105" s="27"/>
      <c r="E105" s="27"/>
      <c r="F105" s="27"/>
      <c r="G105" s="27"/>
      <c r="H105" s="27"/>
      <c r="I105" s="27"/>
      <c r="J105" s="27"/>
      <c r="K105" s="27"/>
      <c r="L105" s="27"/>
      <c r="M105" s="27"/>
      <c r="N105" s="27"/>
      <c r="O105" s="27"/>
      <c r="P105" s="27"/>
      <c r="Q105" s="4"/>
      <c r="R105" s="4"/>
      <c r="S105" s="4"/>
      <c r="T105" s="4"/>
      <c r="U105" s="4"/>
      <c r="V105" s="4"/>
      <c r="W105" s="4"/>
      <c r="X105" s="4"/>
      <c r="Y105" s="4"/>
    </row>
    <row r="106" spans="1:25" ht="12" customHeight="1">
      <c r="A106" s="27"/>
      <c r="B106" s="27"/>
      <c r="C106" s="27"/>
      <c r="D106" s="27"/>
      <c r="E106" s="27"/>
      <c r="F106" s="27"/>
      <c r="G106" s="27"/>
      <c r="H106" s="27"/>
      <c r="I106" s="27"/>
      <c r="J106" s="27"/>
      <c r="K106" s="27"/>
      <c r="L106" s="27"/>
      <c r="M106" s="27"/>
      <c r="N106" s="27"/>
      <c r="O106" s="27"/>
      <c r="P106" s="27"/>
      <c r="Q106" s="4"/>
      <c r="R106" s="4"/>
      <c r="S106" s="4"/>
      <c r="T106" s="4"/>
      <c r="U106" s="4"/>
      <c r="V106" s="4"/>
      <c r="W106" s="4"/>
      <c r="X106" s="4"/>
      <c r="Y106" s="4"/>
    </row>
    <row r="107" spans="1:25" ht="12" customHeight="1">
      <c r="A107" s="27"/>
      <c r="B107" s="27"/>
      <c r="C107" s="27"/>
      <c r="D107" s="27"/>
      <c r="E107" s="27"/>
      <c r="F107" s="27"/>
      <c r="G107" s="27"/>
      <c r="H107" s="27"/>
      <c r="I107" s="27"/>
      <c r="J107" s="27"/>
      <c r="K107" s="27"/>
      <c r="L107" s="27"/>
      <c r="M107" s="27"/>
      <c r="N107" s="27"/>
      <c r="O107" s="27"/>
      <c r="P107" s="27"/>
      <c r="Q107" s="4"/>
      <c r="R107" s="4"/>
      <c r="S107" s="4"/>
      <c r="T107" s="4"/>
      <c r="U107" s="4"/>
      <c r="V107" s="4"/>
      <c r="W107" s="4"/>
      <c r="X107" s="4"/>
      <c r="Y107" s="4"/>
    </row>
    <row r="108" spans="1:25" ht="12" customHeight="1">
      <c r="A108" s="27"/>
      <c r="B108" s="27"/>
      <c r="C108" s="27"/>
      <c r="D108" s="27"/>
      <c r="E108" s="27"/>
      <c r="F108" s="27"/>
      <c r="G108" s="27"/>
      <c r="H108" s="27"/>
      <c r="I108" s="27"/>
      <c r="J108" s="27"/>
      <c r="K108" s="27"/>
      <c r="L108" s="27"/>
      <c r="M108" s="27"/>
      <c r="N108" s="27"/>
      <c r="O108" s="27"/>
      <c r="P108" s="27"/>
      <c r="Q108" s="4"/>
      <c r="R108" s="4"/>
      <c r="S108" s="4"/>
      <c r="T108" s="4"/>
      <c r="U108" s="4"/>
      <c r="V108" s="4"/>
      <c r="W108" s="4"/>
      <c r="X108" s="4"/>
      <c r="Y108" s="4"/>
    </row>
    <row r="109" spans="1:25" ht="12" customHeight="1">
      <c r="A109" s="27"/>
      <c r="B109" s="27"/>
      <c r="C109" s="27"/>
      <c r="D109" s="27"/>
      <c r="E109" s="27"/>
      <c r="F109" s="27"/>
      <c r="G109" s="27"/>
      <c r="H109" s="27"/>
      <c r="I109" s="27"/>
      <c r="J109" s="27"/>
      <c r="K109" s="27"/>
      <c r="L109" s="27"/>
      <c r="M109" s="27"/>
      <c r="N109" s="27"/>
      <c r="O109" s="27"/>
      <c r="P109" s="27"/>
      <c r="Q109" s="4"/>
      <c r="R109" s="4"/>
      <c r="S109" s="4"/>
      <c r="T109" s="4"/>
      <c r="U109" s="4"/>
      <c r="V109" s="4"/>
      <c r="W109" s="4"/>
      <c r="X109" s="4"/>
      <c r="Y109" s="4"/>
    </row>
    <row r="110" spans="1:25" ht="12" customHeight="1">
      <c r="A110" s="27"/>
      <c r="B110" s="27"/>
      <c r="C110" s="27"/>
      <c r="D110" s="27"/>
      <c r="E110" s="27"/>
      <c r="F110" s="27"/>
      <c r="G110" s="27"/>
      <c r="H110" s="27"/>
      <c r="I110" s="27"/>
      <c r="J110" s="27"/>
      <c r="K110" s="27"/>
      <c r="L110" s="27"/>
      <c r="M110" s="27"/>
      <c r="N110" s="27"/>
      <c r="O110" s="27"/>
      <c r="P110" s="27"/>
      <c r="Q110" s="4"/>
      <c r="R110" s="4"/>
      <c r="S110" s="4"/>
      <c r="T110" s="4"/>
      <c r="U110" s="4"/>
      <c r="V110" s="4"/>
      <c r="W110" s="4"/>
      <c r="X110" s="4"/>
      <c r="Y110" s="4"/>
    </row>
    <row r="111" spans="1:25" ht="12" customHeight="1">
      <c r="A111" s="27"/>
      <c r="B111" s="27"/>
      <c r="C111" s="27"/>
      <c r="D111" s="27"/>
      <c r="E111" s="27"/>
      <c r="F111" s="27"/>
      <c r="G111" s="27"/>
      <c r="H111" s="27"/>
      <c r="I111" s="27"/>
      <c r="J111" s="27"/>
      <c r="K111" s="27"/>
      <c r="L111" s="27"/>
      <c r="M111" s="27"/>
      <c r="N111" s="27"/>
      <c r="O111" s="27"/>
      <c r="P111" s="27"/>
      <c r="Q111" s="4"/>
      <c r="R111" s="4"/>
      <c r="S111" s="4"/>
      <c r="T111" s="4"/>
      <c r="U111" s="4"/>
      <c r="V111" s="4"/>
      <c r="W111" s="4"/>
      <c r="X111" s="4"/>
      <c r="Y111" s="4"/>
    </row>
    <row r="112" spans="1:25" ht="12" customHeight="1">
      <c r="A112" s="27"/>
      <c r="B112" s="27"/>
      <c r="C112" s="27"/>
      <c r="D112" s="27"/>
      <c r="E112" s="27"/>
      <c r="F112" s="27"/>
      <c r="G112" s="27"/>
      <c r="H112" s="27"/>
      <c r="I112" s="27"/>
      <c r="J112" s="27"/>
      <c r="K112" s="27"/>
      <c r="L112" s="27"/>
      <c r="M112" s="27"/>
      <c r="N112" s="27"/>
      <c r="O112" s="27"/>
      <c r="P112" s="27"/>
      <c r="Q112" s="4"/>
      <c r="R112" s="4"/>
      <c r="S112" s="4"/>
      <c r="T112" s="4"/>
      <c r="U112" s="4"/>
      <c r="V112" s="4"/>
      <c r="W112" s="4"/>
      <c r="X112" s="4"/>
      <c r="Y112" s="4"/>
    </row>
    <row r="113" spans="1:25" ht="12" customHeight="1">
      <c r="A113" s="27"/>
      <c r="B113" s="27"/>
      <c r="C113" s="27"/>
      <c r="D113" s="27"/>
      <c r="E113" s="27"/>
      <c r="F113" s="27"/>
      <c r="G113" s="27"/>
      <c r="H113" s="27"/>
      <c r="I113" s="27"/>
      <c r="J113" s="27"/>
      <c r="K113" s="27"/>
      <c r="L113" s="27"/>
      <c r="M113" s="27"/>
      <c r="N113" s="27"/>
      <c r="O113" s="27"/>
      <c r="P113" s="27"/>
      <c r="Q113" s="4"/>
      <c r="R113" s="4"/>
      <c r="S113" s="4"/>
      <c r="T113" s="4"/>
      <c r="U113" s="4"/>
      <c r="V113" s="4"/>
      <c r="W113" s="4"/>
      <c r="X113" s="4"/>
      <c r="Y113" s="4"/>
    </row>
    <row r="114" spans="1:25" ht="12" customHeight="1">
      <c r="A114" s="27"/>
      <c r="B114" s="27"/>
      <c r="C114" s="27"/>
      <c r="D114" s="27"/>
      <c r="E114" s="27"/>
      <c r="F114" s="27"/>
      <c r="G114" s="27"/>
      <c r="H114" s="27"/>
      <c r="I114" s="27"/>
      <c r="J114" s="27"/>
      <c r="K114" s="27"/>
      <c r="L114" s="27"/>
      <c r="M114" s="27"/>
      <c r="N114" s="27"/>
      <c r="O114" s="27"/>
      <c r="P114" s="27"/>
      <c r="Q114" s="4"/>
      <c r="R114" s="4"/>
      <c r="S114" s="4"/>
      <c r="T114" s="4"/>
      <c r="U114" s="4"/>
      <c r="V114" s="4"/>
      <c r="W114" s="4"/>
      <c r="X114" s="4"/>
      <c r="Y114" s="4"/>
    </row>
    <row r="115" spans="1:25" ht="12" customHeight="1">
      <c r="A115" s="27"/>
      <c r="B115" s="27"/>
      <c r="C115" s="27"/>
      <c r="D115" s="27"/>
      <c r="E115" s="27"/>
      <c r="F115" s="27"/>
      <c r="G115" s="27"/>
      <c r="H115" s="27"/>
      <c r="I115" s="27"/>
      <c r="J115" s="27"/>
      <c r="K115" s="27"/>
      <c r="L115" s="27"/>
      <c r="M115" s="27"/>
      <c r="N115" s="27"/>
      <c r="O115" s="27"/>
      <c r="P115" s="27"/>
      <c r="Q115" s="4"/>
      <c r="R115" s="4"/>
      <c r="S115" s="4"/>
      <c r="T115" s="4"/>
      <c r="U115" s="4"/>
      <c r="V115" s="4"/>
      <c r="W115" s="4"/>
      <c r="X115" s="4"/>
      <c r="Y115" s="4"/>
    </row>
    <row r="116" spans="1:25" ht="12" customHeight="1">
      <c r="A116" s="27"/>
      <c r="B116" s="27"/>
      <c r="C116" s="27"/>
      <c r="D116" s="27"/>
      <c r="E116" s="27"/>
      <c r="F116" s="27"/>
      <c r="G116" s="27"/>
      <c r="H116" s="27"/>
      <c r="I116" s="27"/>
      <c r="J116" s="27"/>
      <c r="K116" s="27"/>
      <c r="L116" s="27"/>
      <c r="M116" s="27"/>
      <c r="N116" s="27"/>
      <c r="O116" s="27"/>
      <c r="P116" s="27"/>
      <c r="Q116" s="4"/>
      <c r="R116" s="4"/>
      <c r="S116" s="4"/>
      <c r="T116" s="4"/>
      <c r="U116" s="4"/>
      <c r="V116" s="4"/>
      <c r="W116" s="4"/>
      <c r="X116" s="4"/>
      <c r="Y116" s="4"/>
    </row>
    <row r="117" spans="1:25" ht="12" customHeight="1">
      <c r="A117" s="27"/>
      <c r="B117" s="27"/>
      <c r="C117" s="27"/>
      <c r="D117" s="27"/>
      <c r="E117" s="27"/>
      <c r="F117" s="27"/>
      <c r="G117" s="27"/>
      <c r="H117" s="27"/>
      <c r="I117" s="27"/>
      <c r="J117" s="27"/>
      <c r="K117" s="27"/>
      <c r="L117" s="27"/>
      <c r="M117" s="27"/>
      <c r="N117" s="27"/>
      <c r="O117" s="27"/>
      <c r="P117" s="27"/>
      <c r="Q117" s="4"/>
      <c r="R117" s="4"/>
      <c r="S117" s="4"/>
      <c r="T117" s="4"/>
      <c r="U117" s="4"/>
      <c r="V117" s="4"/>
      <c r="W117" s="4"/>
      <c r="X117" s="4"/>
      <c r="Y117" s="4"/>
    </row>
    <row r="118" spans="1:25" ht="12" customHeight="1">
      <c r="A118" s="27"/>
      <c r="B118" s="27"/>
      <c r="C118" s="27"/>
      <c r="D118" s="27"/>
      <c r="E118" s="27"/>
      <c r="F118" s="27"/>
      <c r="G118" s="27"/>
      <c r="H118" s="27"/>
      <c r="I118" s="27"/>
      <c r="J118" s="27"/>
      <c r="K118" s="27"/>
      <c r="L118" s="27"/>
      <c r="M118" s="27"/>
      <c r="N118" s="27"/>
      <c r="O118" s="27"/>
      <c r="P118" s="27"/>
      <c r="Q118" s="4"/>
      <c r="R118" s="4"/>
      <c r="S118" s="4"/>
      <c r="T118" s="4"/>
      <c r="U118" s="4"/>
      <c r="V118" s="4"/>
      <c r="W118" s="4"/>
      <c r="X118" s="4"/>
      <c r="Y118" s="4"/>
    </row>
    <row r="119" spans="1:25" ht="12" customHeight="1">
      <c r="A119" s="27"/>
      <c r="B119" s="27"/>
      <c r="C119" s="27"/>
      <c r="D119" s="27"/>
      <c r="E119" s="27"/>
      <c r="F119" s="27"/>
      <c r="G119" s="27"/>
      <c r="H119" s="27"/>
      <c r="I119" s="27"/>
      <c r="J119" s="27"/>
      <c r="K119" s="27"/>
      <c r="L119" s="27"/>
      <c r="M119" s="27"/>
      <c r="N119" s="27"/>
      <c r="O119" s="27"/>
      <c r="P119" s="27"/>
      <c r="Q119" s="4"/>
      <c r="R119" s="4"/>
      <c r="S119" s="4"/>
      <c r="T119" s="4"/>
      <c r="U119" s="4"/>
      <c r="V119" s="4"/>
      <c r="W119" s="4"/>
      <c r="X119" s="4"/>
      <c r="Y119" s="4"/>
    </row>
    <row r="120" spans="1:25" ht="12" customHeight="1">
      <c r="A120" s="27"/>
      <c r="B120" s="27"/>
      <c r="C120" s="27"/>
      <c r="D120" s="27"/>
      <c r="E120" s="27"/>
      <c r="F120" s="27"/>
      <c r="G120" s="27"/>
      <c r="H120" s="27"/>
      <c r="I120" s="27"/>
      <c r="J120" s="27"/>
      <c r="K120" s="27"/>
      <c r="L120" s="27"/>
      <c r="M120" s="27"/>
      <c r="N120" s="27"/>
      <c r="O120" s="27"/>
      <c r="P120" s="27"/>
      <c r="Q120" s="4"/>
      <c r="R120" s="4"/>
      <c r="S120" s="4"/>
      <c r="T120" s="4"/>
      <c r="U120" s="4"/>
      <c r="V120" s="4"/>
      <c r="W120" s="4"/>
      <c r="X120" s="4"/>
      <c r="Y120" s="4"/>
    </row>
    <row r="121" spans="1:25" ht="12" customHeight="1">
      <c r="A121" s="27"/>
      <c r="B121" s="27"/>
      <c r="C121" s="27"/>
      <c r="D121" s="27"/>
      <c r="E121" s="27"/>
      <c r="F121" s="27"/>
      <c r="G121" s="27"/>
      <c r="H121" s="27"/>
      <c r="I121" s="27"/>
      <c r="J121" s="27"/>
      <c r="K121" s="27"/>
      <c r="L121" s="27"/>
      <c r="M121" s="27"/>
      <c r="N121" s="27"/>
      <c r="O121" s="27"/>
      <c r="P121" s="27"/>
      <c r="Q121" s="4"/>
      <c r="R121" s="4"/>
      <c r="S121" s="4"/>
      <c r="T121" s="4"/>
      <c r="U121" s="4"/>
      <c r="V121" s="4"/>
      <c r="W121" s="4"/>
      <c r="X121" s="4"/>
      <c r="Y121" s="4"/>
    </row>
    <row r="122" spans="1:25" ht="12" customHeight="1">
      <c r="A122" s="27"/>
      <c r="B122" s="27"/>
      <c r="C122" s="27"/>
      <c r="D122" s="27"/>
      <c r="E122" s="27"/>
      <c r="F122" s="27"/>
      <c r="G122" s="27"/>
      <c r="H122" s="27"/>
      <c r="I122" s="27"/>
      <c r="J122" s="27"/>
      <c r="K122" s="27"/>
      <c r="L122" s="27"/>
      <c r="M122" s="27"/>
      <c r="N122" s="27"/>
      <c r="O122" s="27"/>
      <c r="P122" s="27"/>
      <c r="Q122" s="4"/>
      <c r="R122" s="4"/>
      <c r="S122" s="4"/>
      <c r="T122" s="4"/>
      <c r="U122" s="4"/>
      <c r="V122" s="4"/>
      <c r="W122" s="4"/>
      <c r="X122" s="4"/>
      <c r="Y122" s="4"/>
    </row>
    <row r="123" spans="1:25" ht="12" customHeight="1">
      <c r="A123" s="27"/>
      <c r="B123" s="27"/>
      <c r="C123" s="27"/>
      <c r="D123" s="27"/>
      <c r="E123" s="27"/>
      <c r="F123" s="27"/>
      <c r="G123" s="27"/>
      <c r="H123" s="27"/>
      <c r="I123" s="27"/>
      <c r="J123" s="27"/>
      <c r="K123" s="27"/>
      <c r="L123" s="27"/>
      <c r="M123" s="27"/>
      <c r="N123" s="27"/>
      <c r="O123" s="27"/>
      <c r="P123" s="27"/>
      <c r="Q123" s="4"/>
      <c r="R123" s="4"/>
      <c r="S123" s="4"/>
      <c r="T123" s="4"/>
      <c r="U123" s="4"/>
      <c r="V123" s="4"/>
      <c r="W123" s="4"/>
      <c r="X123" s="4"/>
      <c r="Y123" s="4"/>
    </row>
    <row r="124" spans="1:25" ht="12" customHeight="1">
      <c r="A124" s="27"/>
      <c r="B124" s="27"/>
      <c r="C124" s="27"/>
      <c r="D124" s="27"/>
      <c r="E124" s="27"/>
      <c r="F124" s="27"/>
      <c r="G124" s="27"/>
      <c r="H124" s="27"/>
      <c r="I124" s="27"/>
      <c r="J124" s="27"/>
      <c r="K124" s="27"/>
      <c r="L124" s="27"/>
      <c r="M124" s="27"/>
      <c r="N124" s="27"/>
      <c r="O124" s="27"/>
      <c r="P124" s="27"/>
      <c r="Q124" s="4"/>
      <c r="R124" s="4"/>
      <c r="S124" s="4"/>
      <c r="T124" s="4"/>
      <c r="U124" s="4"/>
      <c r="V124" s="4"/>
      <c r="W124" s="4"/>
      <c r="X124" s="4"/>
      <c r="Y124" s="4"/>
    </row>
    <row r="125" spans="1:25" ht="12" customHeight="1">
      <c r="A125" s="27"/>
      <c r="B125" s="27"/>
      <c r="C125" s="27"/>
      <c r="D125" s="27"/>
      <c r="E125" s="27"/>
      <c r="F125" s="27"/>
      <c r="G125" s="27"/>
      <c r="H125" s="27"/>
      <c r="I125" s="27"/>
      <c r="J125" s="27"/>
      <c r="K125" s="27"/>
      <c r="L125" s="27"/>
      <c r="M125" s="27"/>
      <c r="N125" s="27"/>
      <c r="O125" s="27"/>
      <c r="P125" s="27"/>
      <c r="Q125" s="4"/>
      <c r="R125" s="4"/>
      <c r="S125" s="4"/>
      <c r="T125" s="4"/>
      <c r="U125" s="4"/>
      <c r="V125" s="4"/>
      <c r="W125" s="4"/>
      <c r="X125" s="4"/>
      <c r="Y125" s="4"/>
    </row>
    <row r="126" spans="1:25" ht="12" customHeight="1">
      <c r="A126" s="27"/>
      <c r="B126" s="27"/>
      <c r="C126" s="27"/>
      <c r="D126" s="27"/>
      <c r="E126" s="27"/>
      <c r="F126" s="27"/>
      <c r="G126" s="27"/>
      <c r="H126" s="27"/>
      <c r="I126" s="27"/>
      <c r="J126" s="27"/>
      <c r="K126" s="27"/>
      <c r="L126" s="27"/>
      <c r="M126" s="27"/>
      <c r="N126" s="27"/>
      <c r="O126" s="27"/>
      <c r="P126" s="27"/>
      <c r="Q126" s="4"/>
      <c r="R126" s="4"/>
      <c r="S126" s="4"/>
      <c r="T126" s="4"/>
      <c r="U126" s="4"/>
      <c r="V126" s="4"/>
      <c r="W126" s="4"/>
      <c r="X126" s="4"/>
      <c r="Y126" s="4"/>
    </row>
    <row r="127" spans="1:25" ht="12" customHeight="1">
      <c r="A127" s="27"/>
      <c r="B127" s="27"/>
      <c r="C127" s="27"/>
      <c r="D127" s="27"/>
      <c r="E127" s="27"/>
      <c r="F127" s="27"/>
      <c r="G127" s="27"/>
      <c r="H127" s="27"/>
      <c r="I127" s="27"/>
      <c r="J127" s="27"/>
      <c r="K127" s="27"/>
      <c r="L127" s="27"/>
      <c r="M127" s="27"/>
      <c r="N127" s="27"/>
      <c r="O127" s="27"/>
      <c r="P127" s="27"/>
      <c r="Q127" s="4"/>
      <c r="R127" s="4"/>
      <c r="S127" s="4"/>
      <c r="T127" s="4"/>
      <c r="U127" s="4"/>
      <c r="V127" s="4"/>
      <c r="W127" s="4"/>
      <c r="X127" s="4"/>
      <c r="Y127" s="4"/>
    </row>
    <row r="128" spans="1:25" ht="12" customHeight="1">
      <c r="A128" s="27"/>
      <c r="B128" s="27"/>
      <c r="C128" s="27"/>
      <c r="D128" s="27"/>
      <c r="E128" s="27"/>
      <c r="F128" s="27"/>
      <c r="G128" s="27"/>
      <c r="H128" s="27"/>
      <c r="I128" s="27"/>
      <c r="J128" s="27"/>
      <c r="K128" s="27"/>
      <c r="L128" s="27"/>
      <c r="M128" s="27"/>
      <c r="N128" s="27"/>
      <c r="O128" s="27"/>
      <c r="P128" s="27"/>
      <c r="Q128" s="4"/>
      <c r="R128" s="4"/>
      <c r="S128" s="4"/>
      <c r="T128" s="4"/>
      <c r="U128" s="4"/>
      <c r="V128" s="4"/>
      <c r="W128" s="4"/>
      <c r="X128" s="4"/>
      <c r="Y128" s="4"/>
    </row>
    <row r="129" spans="1:25" ht="12" customHeight="1">
      <c r="A129" s="27"/>
      <c r="B129" s="27"/>
      <c r="C129" s="27"/>
      <c r="D129" s="27"/>
      <c r="E129" s="27"/>
      <c r="F129" s="27"/>
      <c r="G129" s="27"/>
      <c r="H129" s="27"/>
      <c r="I129" s="27"/>
      <c r="J129" s="27"/>
      <c r="K129" s="27"/>
      <c r="L129" s="27"/>
      <c r="M129" s="27"/>
      <c r="N129" s="27"/>
      <c r="O129" s="27"/>
      <c r="P129" s="27"/>
      <c r="Q129" s="4"/>
      <c r="R129" s="4"/>
      <c r="S129" s="4"/>
      <c r="T129" s="4"/>
      <c r="U129" s="4"/>
      <c r="V129" s="4"/>
      <c r="W129" s="4"/>
      <c r="X129" s="4"/>
      <c r="Y129" s="4"/>
    </row>
    <row r="130" spans="1:25" ht="12" customHeight="1">
      <c r="A130" s="27"/>
      <c r="B130" s="27"/>
      <c r="C130" s="27"/>
      <c r="D130" s="27"/>
      <c r="E130" s="27"/>
      <c r="F130" s="27"/>
      <c r="G130" s="27"/>
      <c r="H130" s="27"/>
      <c r="I130" s="27"/>
      <c r="J130" s="27"/>
      <c r="K130" s="27"/>
      <c r="L130" s="27"/>
      <c r="M130" s="27"/>
      <c r="N130" s="27"/>
      <c r="O130" s="27"/>
      <c r="P130" s="27"/>
      <c r="Q130" s="4"/>
      <c r="R130" s="4"/>
      <c r="S130" s="4"/>
      <c r="T130" s="4"/>
      <c r="U130" s="4"/>
      <c r="V130" s="4"/>
      <c r="W130" s="4"/>
      <c r="X130" s="4"/>
      <c r="Y130" s="4"/>
    </row>
    <row r="131" spans="1:25" ht="12" customHeight="1">
      <c r="A131" s="27"/>
      <c r="B131" s="27"/>
      <c r="C131" s="27"/>
      <c r="D131" s="27"/>
      <c r="E131" s="27"/>
      <c r="F131" s="27"/>
      <c r="G131" s="27"/>
      <c r="H131" s="27"/>
      <c r="I131" s="27"/>
      <c r="J131" s="27"/>
      <c r="K131" s="27"/>
      <c r="L131" s="27"/>
      <c r="M131" s="27"/>
      <c r="N131" s="27"/>
      <c r="O131" s="27"/>
      <c r="P131" s="27"/>
      <c r="Q131" s="4"/>
      <c r="R131" s="4"/>
      <c r="S131" s="4"/>
      <c r="T131" s="4"/>
      <c r="U131" s="4"/>
      <c r="V131" s="4"/>
      <c r="W131" s="4"/>
      <c r="X131" s="4"/>
      <c r="Y131" s="4"/>
    </row>
    <row r="132" spans="1:25" ht="12" customHeight="1">
      <c r="A132" s="27"/>
      <c r="B132" s="27"/>
      <c r="C132" s="27"/>
      <c r="D132" s="27"/>
      <c r="E132" s="27"/>
      <c r="F132" s="27"/>
      <c r="G132" s="27"/>
      <c r="H132" s="27"/>
      <c r="I132" s="27"/>
      <c r="J132" s="27"/>
      <c r="K132" s="27"/>
      <c r="L132" s="27"/>
      <c r="M132" s="27"/>
      <c r="N132" s="27"/>
      <c r="O132" s="27"/>
      <c r="P132" s="27"/>
      <c r="Q132" s="4"/>
      <c r="R132" s="4"/>
      <c r="S132" s="4"/>
      <c r="T132" s="4"/>
      <c r="U132" s="4"/>
      <c r="V132" s="4"/>
      <c r="W132" s="4"/>
      <c r="X132" s="4"/>
      <c r="Y132" s="4"/>
    </row>
    <row r="133" spans="1:25" ht="12" customHeight="1">
      <c r="A133" s="27"/>
      <c r="B133" s="27"/>
      <c r="C133" s="27"/>
      <c r="D133" s="27"/>
      <c r="E133" s="27"/>
      <c r="F133" s="27"/>
      <c r="G133" s="27"/>
      <c r="H133" s="27"/>
      <c r="I133" s="27"/>
      <c r="J133" s="27"/>
      <c r="K133" s="27"/>
      <c r="L133" s="27"/>
      <c r="M133" s="27"/>
      <c r="N133" s="27"/>
      <c r="O133" s="27"/>
      <c r="P133" s="27"/>
      <c r="Q133" s="4"/>
      <c r="R133" s="4"/>
      <c r="S133" s="4"/>
      <c r="T133" s="4"/>
      <c r="U133" s="4"/>
      <c r="V133" s="4"/>
      <c r="W133" s="4"/>
      <c r="X133" s="4"/>
      <c r="Y133" s="4"/>
    </row>
    <row r="134" spans="1:25" ht="12" customHeight="1">
      <c r="A134" s="27"/>
      <c r="B134" s="27"/>
      <c r="C134" s="27"/>
      <c r="D134" s="27"/>
      <c r="E134" s="27"/>
      <c r="F134" s="27"/>
      <c r="G134" s="27"/>
      <c r="H134" s="27"/>
      <c r="I134" s="27"/>
      <c r="J134" s="27"/>
      <c r="K134" s="27"/>
      <c r="L134" s="27"/>
      <c r="M134" s="27"/>
      <c r="N134" s="27"/>
      <c r="O134" s="27"/>
      <c r="P134" s="27"/>
      <c r="Q134" s="4"/>
      <c r="R134" s="4"/>
      <c r="S134" s="4"/>
      <c r="T134" s="4"/>
      <c r="U134" s="4"/>
      <c r="V134" s="4"/>
      <c r="W134" s="4"/>
      <c r="X134" s="4"/>
      <c r="Y134" s="4"/>
    </row>
    <row r="135" spans="1:25" ht="12" customHeight="1">
      <c r="A135" s="27"/>
      <c r="B135" s="27"/>
      <c r="C135" s="27"/>
      <c r="D135" s="27"/>
      <c r="E135" s="27"/>
      <c r="F135" s="27"/>
      <c r="G135" s="27"/>
      <c r="H135" s="27"/>
      <c r="I135" s="27"/>
      <c r="J135" s="27"/>
      <c r="K135" s="27"/>
      <c r="L135" s="27"/>
      <c r="M135" s="27"/>
      <c r="N135" s="27"/>
      <c r="O135" s="27"/>
      <c r="P135" s="27"/>
      <c r="Q135" s="4"/>
      <c r="R135" s="4"/>
      <c r="S135" s="4"/>
      <c r="T135" s="4"/>
      <c r="U135" s="4"/>
      <c r="V135" s="4"/>
      <c r="W135" s="4"/>
      <c r="X135" s="4"/>
      <c r="Y135" s="4"/>
    </row>
    <row r="136" spans="1:25" ht="12" customHeight="1">
      <c r="A136" s="27"/>
      <c r="B136" s="27"/>
      <c r="C136" s="27"/>
      <c r="D136" s="27"/>
      <c r="E136" s="27"/>
      <c r="F136" s="27"/>
      <c r="G136" s="27"/>
      <c r="H136" s="27"/>
      <c r="I136" s="27"/>
      <c r="J136" s="27"/>
      <c r="K136" s="27"/>
      <c r="L136" s="27"/>
      <c r="M136" s="27"/>
      <c r="N136" s="27"/>
      <c r="O136" s="27"/>
      <c r="P136" s="27"/>
      <c r="Q136" s="4"/>
      <c r="R136" s="4"/>
      <c r="S136" s="4"/>
      <c r="T136" s="4"/>
      <c r="U136" s="4"/>
      <c r="V136" s="4"/>
      <c r="W136" s="4"/>
      <c r="X136" s="4"/>
      <c r="Y136" s="4"/>
    </row>
    <row r="137" spans="1:25" ht="12" customHeight="1">
      <c r="A137" s="27"/>
      <c r="B137" s="27"/>
      <c r="C137" s="27"/>
      <c r="D137" s="27"/>
      <c r="E137" s="27"/>
      <c r="F137" s="27"/>
      <c r="G137" s="27"/>
      <c r="H137" s="27"/>
      <c r="I137" s="27"/>
      <c r="J137" s="27"/>
      <c r="K137" s="27"/>
      <c r="L137" s="27"/>
      <c r="M137" s="27"/>
      <c r="N137" s="27"/>
      <c r="O137" s="27"/>
      <c r="P137" s="27"/>
      <c r="Q137" s="4"/>
      <c r="R137" s="4"/>
      <c r="S137" s="4"/>
      <c r="T137" s="4"/>
      <c r="U137" s="4"/>
      <c r="V137" s="4"/>
      <c r="W137" s="4"/>
      <c r="X137" s="4"/>
      <c r="Y137" s="4"/>
    </row>
    <row r="138" spans="1:25" ht="12" customHeight="1">
      <c r="A138" s="27"/>
      <c r="B138" s="27"/>
      <c r="C138" s="27"/>
      <c r="D138" s="27"/>
      <c r="E138" s="27"/>
      <c r="F138" s="27"/>
      <c r="G138" s="27"/>
      <c r="H138" s="27"/>
      <c r="I138" s="27"/>
      <c r="J138" s="27"/>
      <c r="K138" s="27"/>
      <c r="L138" s="27"/>
      <c r="M138" s="27"/>
      <c r="N138" s="27"/>
      <c r="O138" s="27"/>
      <c r="P138" s="27"/>
      <c r="Q138" s="4"/>
      <c r="R138" s="4"/>
      <c r="S138" s="4"/>
      <c r="T138" s="4"/>
      <c r="U138" s="4"/>
      <c r="V138" s="4"/>
      <c r="W138" s="4"/>
      <c r="X138" s="4"/>
      <c r="Y138" s="4"/>
    </row>
    <row r="139" spans="1:25" ht="12" customHeight="1">
      <c r="A139" s="27"/>
      <c r="B139" s="27"/>
      <c r="C139" s="27"/>
      <c r="D139" s="27"/>
      <c r="E139" s="27"/>
      <c r="F139" s="27"/>
      <c r="G139" s="27"/>
      <c r="H139" s="27"/>
      <c r="I139" s="27"/>
      <c r="J139" s="27"/>
      <c r="K139" s="27"/>
      <c r="L139" s="27"/>
      <c r="M139" s="27"/>
      <c r="N139" s="27"/>
      <c r="O139" s="27"/>
      <c r="P139" s="27"/>
      <c r="Q139" s="4"/>
      <c r="R139" s="4"/>
      <c r="S139" s="4"/>
      <c r="T139" s="4"/>
      <c r="U139" s="4"/>
      <c r="V139" s="4"/>
      <c r="W139" s="4"/>
      <c r="X139" s="4"/>
      <c r="Y139" s="4"/>
    </row>
    <row r="140" spans="1:25" ht="12" customHeight="1">
      <c r="A140" s="27"/>
      <c r="B140" s="27"/>
      <c r="C140" s="27"/>
      <c r="D140" s="27"/>
      <c r="E140" s="27"/>
      <c r="F140" s="27"/>
      <c r="G140" s="27"/>
      <c r="H140" s="27"/>
      <c r="I140" s="27"/>
      <c r="J140" s="27"/>
      <c r="K140" s="27"/>
      <c r="L140" s="27"/>
      <c r="M140" s="27"/>
      <c r="N140" s="27"/>
      <c r="O140" s="27"/>
      <c r="P140" s="27"/>
      <c r="Q140" s="4"/>
      <c r="R140" s="4"/>
      <c r="S140" s="4"/>
      <c r="T140" s="4"/>
      <c r="U140" s="4"/>
      <c r="V140" s="4"/>
      <c r="W140" s="4"/>
      <c r="X140" s="4"/>
      <c r="Y140" s="4"/>
    </row>
    <row r="141" spans="1:25" ht="12" customHeight="1">
      <c r="A141" s="27"/>
      <c r="B141" s="27"/>
      <c r="C141" s="27"/>
      <c r="D141" s="27"/>
      <c r="E141" s="27"/>
      <c r="F141" s="27"/>
      <c r="G141" s="27"/>
      <c r="H141" s="27"/>
      <c r="I141" s="27"/>
      <c r="J141" s="27"/>
      <c r="K141" s="27"/>
      <c r="L141" s="27"/>
      <c r="M141" s="27"/>
      <c r="N141" s="27"/>
      <c r="O141" s="27"/>
      <c r="P141" s="27"/>
      <c r="Q141" s="4"/>
      <c r="R141" s="4"/>
      <c r="S141" s="4"/>
      <c r="T141" s="4"/>
      <c r="U141" s="4"/>
      <c r="V141" s="4"/>
      <c r="W141" s="4"/>
      <c r="X141" s="4"/>
      <c r="Y141" s="4"/>
    </row>
    <row r="142" spans="1:25" ht="12" customHeight="1">
      <c r="A142" s="27"/>
      <c r="B142" s="27"/>
      <c r="C142" s="27"/>
      <c r="D142" s="27"/>
      <c r="E142" s="27"/>
      <c r="F142" s="27"/>
      <c r="G142" s="27"/>
      <c r="H142" s="27"/>
      <c r="I142" s="27"/>
      <c r="J142" s="27"/>
      <c r="K142" s="27"/>
      <c r="L142" s="27"/>
      <c r="M142" s="27"/>
      <c r="N142" s="27"/>
      <c r="O142" s="27"/>
      <c r="P142" s="27"/>
      <c r="Q142" s="4"/>
      <c r="R142" s="4"/>
      <c r="S142" s="4"/>
      <c r="T142" s="4"/>
      <c r="U142" s="4"/>
      <c r="V142" s="4"/>
      <c r="W142" s="4"/>
      <c r="X142" s="4"/>
      <c r="Y142" s="4"/>
    </row>
    <row r="143" spans="1:25" ht="12" customHeight="1">
      <c r="A143" s="27"/>
      <c r="B143" s="27"/>
      <c r="C143" s="27"/>
      <c r="D143" s="27"/>
      <c r="E143" s="27"/>
      <c r="F143" s="27"/>
      <c r="G143" s="27"/>
      <c r="H143" s="27"/>
      <c r="I143" s="27"/>
      <c r="J143" s="27"/>
      <c r="K143" s="27"/>
      <c r="L143" s="27"/>
      <c r="M143" s="27"/>
      <c r="N143" s="27"/>
      <c r="O143" s="27"/>
      <c r="P143" s="27"/>
      <c r="Q143" s="4"/>
      <c r="R143" s="4"/>
      <c r="S143" s="4"/>
      <c r="T143" s="4"/>
      <c r="U143" s="4"/>
      <c r="V143" s="4"/>
      <c r="W143" s="4"/>
      <c r="X143" s="4"/>
      <c r="Y143" s="4"/>
    </row>
    <row r="144" spans="1:25" ht="12" customHeight="1">
      <c r="A144" s="27"/>
      <c r="B144" s="27"/>
      <c r="C144" s="27"/>
      <c r="D144" s="27"/>
      <c r="E144" s="27"/>
      <c r="F144" s="27"/>
      <c r="G144" s="27"/>
      <c r="H144" s="27"/>
      <c r="I144" s="27"/>
      <c r="J144" s="27"/>
      <c r="K144" s="27"/>
      <c r="L144" s="27"/>
      <c r="M144" s="27"/>
      <c r="N144" s="27"/>
      <c r="O144" s="27"/>
      <c r="P144" s="27"/>
      <c r="Q144" s="4"/>
      <c r="R144" s="4"/>
      <c r="S144" s="4"/>
      <c r="T144" s="4"/>
      <c r="U144" s="4"/>
      <c r="V144" s="4"/>
      <c r="W144" s="4"/>
      <c r="X144" s="4"/>
      <c r="Y144" s="4"/>
    </row>
    <row r="145" spans="1:25" ht="12" customHeight="1">
      <c r="A145" s="27"/>
      <c r="B145" s="27"/>
      <c r="C145" s="27"/>
      <c r="D145" s="27"/>
      <c r="E145" s="27"/>
      <c r="F145" s="27"/>
      <c r="G145" s="27"/>
      <c r="H145" s="27"/>
      <c r="I145" s="27"/>
      <c r="J145" s="27"/>
      <c r="K145" s="27"/>
      <c r="L145" s="27"/>
      <c r="M145" s="27"/>
      <c r="N145" s="27"/>
      <c r="O145" s="27"/>
      <c r="P145" s="27"/>
      <c r="Q145" s="4"/>
      <c r="R145" s="4"/>
      <c r="S145" s="4"/>
      <c r="T145" s="4"/>
      <c r="U145" s="4"/>
      <c r="V145" s="4"/>
      <c r="W145" s="4"/>
      <c r="X145" s="4"/>
      <c r="Y145" s="4"/>
    </row>
    <row r="146" spans="1:25" ht="12" customHeight="1">
      <c r="A146" s="27"/>
      <c r="B146" s="27"/>
      <c r="C146" s="27"/>
      <c r="D146" s="27"/>
      <c r="E146" s="27"/>
      <c r="F146" s="27"/>
      <c r="G146" s="27"/>
      <c r="H146" s="27"/>
      <c r="I146" s="27"/>
      <c r="J146" s="27"/>
      <c r="K146" s="27"/>
      <c r="L146" s="27"/>
      <c r="M146" s="27"/>
      <c r="N146" s="27"/>
      <c r="O146" s="27"/>
      <c r="P146" s="27"/>
      <c r="Q146" s="4"/>
      <c r="R146" s="4"/>
      <c r="S146" s="4"/>
      <c r="T146" s="4"/>
      <c r="U146" s="4"/>
      <c r="V146" s="4"/>
      <c r="W146" s="4"/>
      <c r="X146" s="4"/>
      <c r="Y146" s="4"/>
    </row>
    <row r="147" spans="1:25" ht="12" customHeight="1">
      <c r="A147" s="27"/>
      <c r="B147" s="27"/>
      <c r="C147" s="27"/>
      <c r="D147" s="27"/>
      <c r="E147" s="27"/>
      <c r="F147" s="27"/>
      <c r="G147" s="27"/>
      <c r="H147" s="27"/>
      <c r="I147" s="27"/>
      <c r="J147" s="27"/>
      <c r="K147" s="27"/>
      <c r="L147" s="27"/>
      <c r="M147" s="27"/>
      <c r="N147" s="27"/>
      <c r="O147" s="27"/>
      <c r="P147" s="27"/>
      <c r="Q147" s="4"/>
      <c r="R147" s="4"/>
      <c r="S147" s="4"/>
      <c r="T147" s="4"/>
      <c r="U147" s="4"/>
      <c r="V147" s="4"/>
      <c r="W147" s="4"/>
      <c r="X147" s="4"/>
      <c r="Y147" s="4"/>
    </row>
    <row r="148" spans="1:25" ht="12" customHeight="1">
      <c r="A148" s="27"/>
      <c r="B148" s="27"/>
      <c r="C148" s="27"/>
      <c r="D148" s="27"/>
      <c r="E148" s="27"/>
      <c r="F148" s="27"/>
      <c r="G148" s="27"/>
      <c r="H148" s="27"/>
      <c r="I148" s="27"/>
      <c r="J148" s="27"/>
      <c r="K148" s="27"/>
      <c r="L148" s="27"/>
      <c r="M148" s="27"/>
      <c r="N148" s="27"/>
      <c r="O148" s="27"/>
      <c r="P148" s="27"/>
      <c r="Q148" s="4"/>
      <c r="R148" s="4"/>
      <c r="S148" s="4"/>
      <c r="T148" s="4"/>
      <c r="U148" s="4"/>
      <c r="V148" s="4"/>
      <c r="W148" s="4"/>
      <c r="X148" s="4"/>
      <c r="Y148" s="4"/>
    </row>
    <row r="149" spans="1:25" ht="12" customHeight="1">
      <c r="A149" s="27"/>
      <c r="B149" s="27"/>
      <c r="C149" s="27"/>
      <c r="D149" s="27"/>
      <c r="E149" s="27"/>
      <c r="F149" s="27"/>
      <c r="G149" s="27"/>
      <c r="H149" s="27"/>
      <c r="I149" s="27"/>
      <c r="J149" s="27"/>
      <c r="K149" s="27"/>
      <c r="L149" s="27"/>
      <c r="M149" s="27"/>
      <c r="N149" s="27"/>
      <c r="O149" s="27"/>
      <c r="P149" s="27"/>
      <c r="Q149" s="4"/>
      <c r="R149" s="4"/>
      <c r="S149" s="4"/>
      <c r="T149" s="4"/>
      <c r="U149" s="4"/>
      <c r="V149" s="4"/>
      <c r="W149" s="4"/>
      <c r="X149" s="4"/>
      <c r="Y149" s="4"/>
    </row>
    <row r="150" spans="1:25" ht="12" customHeight="1">
      <c r="A150" s="27"/>
      <c r="B150" s="27"/>
      <c r="C150" s="27"/>
      <c r="D150" s="27"/>
      <c r="E150" s="27"/>
      <c r="F150" s="27"/>
      <c r="G150" s="27"/>
      <c r="H150" s="27"/>
      <c r="I150" s="27"/>
      <c r="J150" s="27"/>
      <c r="K150" s="27"/>
      <c r="L150" s="27"/>
      <c r="M150" s="27"/>
      <c r="N150" s="27"/>
      <c r="O150" s="27"/>
      <c r="P150" s="27"/>
      <c r="Q150" s="4"/>
      <c r="R150" s="4"/>
      <c r="S150" s="4"/>
      <c r="T150" s="4"/>
      <c r="U150" s="4"/>
      <c r="V150" s="4"/>
      <c r="W150" s="4"/>
      <c r="X150" s="4"/>
      <c r="Y150" s="4"/>
    </row>
    <row r="151" spans="1:25" ht="12" customHeight="1">
      <c r="A151" s="27"/>
      <c r="B151" s="27"/>
      <c r="C151" s="27"/>
      <c r="D151" s="27"/>
      <c r="E151" s="27"/>
      <c r="F151" s="27"/>
      <c r="G151" s="27"/>
      <c r="H151" s="27"/>
      <c r="I151" s="27"/>
      <c r="J151" s="27"/>
      <c r="K151" s="27"/>
      <c r="L151" s="27"/>
      <c r="M151" s="27"/>
      <c r="N151" s="27"/>
      <c r="O151" s="27"/>
      <c r="P151" s="27"/>
      <c r="Q151" s="4"/>
      <c r="R151" s="4"/>
      <c r="S151" s="4"/>
      <c r="T151" s="4"/>
      <c r="U151" s="4"/>
      <c r="V151" s="4"/>
      <c r="W151" s="4"/>
      <c r="X151" s="4"/>
      <c r="Y151" s="4"/>
    </row>
    <row r="152" spans="1:25" ht="12" customHeight="1">
      <c r="A152" s="27"/>
      <c r="B152" s="27"/>
      <c r="C152" s="27"/>
      <c r="D152" s="27"/>
      <c r="E152" s="27"/>
      <c r="F152" s="27"/>
      <c r="G152" s="27"/>
      <c r="H152" s="27"/>
      <c r="I152" s="27"/>
      <c r="J152" s="27"/>
      <c r="K152" s="27"/>
      <c r="L152" s="27"/>
      <c r="M152" s="27"/>
      <c r="N152" s="27"/>
      <c r="O152" s="27"/>
      <c r="P152" s="27"/>
      <c r="Q152" s="4"/>
      <c r="R152" s="4"/>
      <c r="S152" s="4"/>
      <c r="T152" s="4"/>
      <c r="U152" s="4"/>
      <c r="V152" s="4"/>
      <c r="W152" s="4"/>
      <c r="X152" s="4"/>
      <c r="Y152" s="4"/>
    </row>
    <row r="153" spans="1:25" ht="12" customHeight="1">
      <c r="A153" s="27"/>
      <c r="B153" s="27"/>
      <c r="C153" s="27"/>
      <c r="D153" s="27"/>
      <c r="E153" s="27"/>
      <c r="F153" s="27"/>
      <c r="G153" s="27"/>
      <c r="H153" s="27"/>
      <c r="I153" s="27"/>
      <c r="J153" s="27"/>
      <c r="K153" s="27"/>
      <c r="L153" s="27"/>
      <c r="M153" s="27"/>
      <c r="N153" s="27"/>
      <c r="O153" s="27"/>
      <c r="P153" s="27"/>
      <c r="Q153" s="4"/>
      <c r="R153" s="4"/>
      <c r="S153" s="4"/>
      <c r="T153" s="4"/>
      <c r="U153" s="4"/>
      <c r="V153" s="4"/>
      <c r="W153" s="4"/>
      <c r="X153" s="4"/>
      <c r="Y153" s="4"/>
    </row>
    <row r="154" spans="1:25" ht="12" customHeight="1">
      <c r="A154" s="27"/>
      <c r="B154" s="27"/>
      <c r="C154" s="27"/>
      <c r="D154" s="27"/>
      <c r="E154" s="27"/>
      <c r="F154" s="27"/>
      <c r="G154" s="27"/>
      <c r="H154" s="27"/>
      <c r="I154" s="27"/>
      <c r="J154" s="27"/>
      <c r="K154" s="27"/>
      <c r="L154" s="27"/>
      <c r="M154" s="27"/>
      <c r="N154" s="27"/>
      <c r="O154" s="27"/>
      <c r="P154" s="27"/>
      <c r="Q154" s="4"/>
      <c r="R154" s="4"/>
      <c r="S154" s="4"/>
      <c r="T154" s="4"/>
      <c r="U154" s="4"/>
      <c r="V154" s="4"/>
      <c r="W154" s="4"/>
      <c r="X154" s="4"/>
      <c r="Y154" s="4"/>
    </row>
    <row r="155" spans="1:25" ht="12" customHeight="1">
      <c r="A155" s="27"/>
      <c r="B155" s="27"/>
      <c r="C155" s="27"/>
      <c r="D155" s="27"/>
      <c r="E155" s="27"/>
      <c r="F155" s="27"/>
      <c r="G155" s="27"/>
      <c r="H155" s="27"/>
      <c r="I155" s="27"/>
      <c r="J155" s="27"/>
      <c r="K155" s="27"/>
      <c r="L155" s="27"/>
      <c r="M155" s="27"/>
      <c r="N155" s="27"/>
      <c r="O155" s="27"/>
      <c r="P155" s="27"/>
      <c r="Q155" s="4"/>
      <c r="R155" s="4"/>
      <c r="S155" s="4"/>
      <c r="T155" s="4"/>
      <c r="U155" s="4"/>
      <c r="V155" s="4"/>
      <c r="W155" s="4"/>
      <c r="X155" s="4"/>
      <c r="Y155" s="4"/>
    </row>
    <row r="156" spans="1:25" ht="12" customHeight="1">
      <c r="A156" s="27"/>
      <c r="B156" s="27"/>
      <c r="C156" s="27"/>
      <c r="D156" s="27"/>
      <c r="E156" s="27"/>
      <c r="F156" s="27"/>
      <c r="G156" s="27"/>
      <c r="H156" s="27"/>
      <c r="I156" s="27"/>
      <c r="J156" s="27"/>
      <c r="K156" s="27"/>
      <c r="L156" s="27"/>
      <c r="M156" s="27"/>
      <c r="N156" s="27"/>
      <c r="O156" s="27"/>
      <c r="P156" s="27"/>
      <c r="Q156" s="4"/>
      <c r="R156" s="4"/>
      <c r="S156" s="4"/>
      <c r="T156" s="4"/>
      <c r="U156" s="4"/>
      <c r="V156" s="4"/>
      <c r="W156" s="4"/>
      <c r="X156" s="4"/>
      <c r="Y156" s="4"/>
    </row>
    <row r="157" spans="1:25" ht="12" customHeight="1">
      <c r="A157" s="27"/>
      <c r="B157" s="27"/>
      <c r="C157" s="27"/>
      <c r="D157" s="27"/>
      <c r="E157" s="27"/>
      <c r="F157" s="27"/>
      <c r="G157" s="27"/>
      <c r="H157" s="27"/>
      <c r="I157" s="27"/>
      <c r="J157" s="27"/>
      <c r="K157" s="27"/>
      <c r="L157" s="27"/>
      <c r="M157" s="27"/>
      <c r="N157" s="27"/>
      <c r="O157" s="27"/>
      <c r="P157" s="27"/>
      <c r="Q157" s="4"/>
      <c r="R157" s="4"/>
      <c r="S157" s="4"/>
      <c r="T157" s="4"/>
      <c r="U157" s="4"/>
      <c r="V157" s="4"/>
      <c r="W157" s="4"/>
      <c r="X157" s="4"/>
      <c r="Y157" s="4"/>
    </row>
    <row r="158" spans="1:25" ht="12" customHeight="1">
      <c r="A158" s="27"/>
      <c r="B158" s="27"/>
      <c r="C158" s="27"/>
      <c r="D158" s="27"/>
      <c r="E158" s="27"/>
      <c r="F158" s="27"/>
      <c r="G158" s="27"/>
      <c r="H158" s="27"/>
      <c r="I158" s="27"/>
      <c r="J158" s="27"/>
      <c r="K158" s="27"/>
      <c r="L158" s="27"/>
      <c r="M158" s="27"/>
      <c r="N158" s="27"/>
      <c r="O158" s="27"/>
      <c r="P158" s="27"/>
      <c r="Q158" s="4"/>
      <c r="R158" s="4"/>
      <c r="S158" s="4"/>
      <c r="T158" s="4"/>
      <c r="U158" s="4"/>
      <c r="V158" s="4"/>
      <c r="W158" s="4"/>
      <c r="X158" s="4"/>
      <c r="Y158" s="4"/>
    </row>
    <row r="159" spans="1:25" ht="12" customHeight="1">
      <c r="A159" s="27"/>
      <c r="B159" s="27"/>
      <c r="C159" s="27"/>
      <c r="D159" s="27"/>
      <c r="E159" s="27"/>
      <c r="F159" s="27"/>
      <c r="G159" s="27"/>
      <c r="H159" s="27"/>
      <c r="I159" s="27"/>
      <c r="J159" s="27"/>
      <c r="K159" s="27"/>
      <c r="L159" s="27"/>
      <c r="M159" s="27"/>
      <c r="N159" s="27"/>
      <c r="O159" s="27"/>
      <c r="P159" s="27"/>
      <c r="Q159" s="4"/>
      <c r="R159" s="4"/>
      <c r="S159" s="4"/>
      <c r="T159" s="4"/>
      <c r="U159" s="4"/>
      <c r="V159" s="4"/>
      <c r="W159" s="4"/>
      <c r="X159" s="4"/>
      <c r="Y159" s="4"/>
    </row>
    <row r="160" spans="1:25" ht="12" customHeight="1">
      <c r="A160" s="27"/>
      <c r="B160" s="27"/>
      <c r="C160" s="27"/>
      <c r="D160" s="27"/>
      <c r="E160" s="27"/>
      <c r="F160" s="27"/>
      <c r="G160" s="27"/>
      <c r="H160" s="27"/>
      <c r="I160" s="27"/>
      <c r="J160" s="27"/>
      <c r="K160" s="27"/>
      <c r="L160" s="27"/>
      <c r="M160" s="27"/>
      <c r="N160" s="27"/>
      <c r="O160" s="27"/>
      <c r="P160" s="27"/>
      <c r="Q160" s="4"/>
      <c r="R160" s="4"/>
      <c r="S160" s="4"/>
      <c r="T160" s="4"/>
      <c r="U160" s="4"/>
      <c r="V160" s="4"/>
      <c r="W160" s="4"/>
      <c r="X160" s="4"/>
      <c r="Y160" s="4"/>
    </row>
    <row r="161" spans="1:25" ht="12" customHeight="1">
      <c r="A161" s="27"/>
      <c r="B161" s="27"/>
      <c r="C161" s="27"/>
      <c r="D161" s="27"/>
      <c r="E161" s="27"/>
      <c r="F161" s="27"/>
      <c r="G161" s="27"/>
      <c r="H161" s="27"/>
      <c r="I161" s="27"/>
      <c r="J161" s="27"/>
      <c r="K161" s="27"/>
      <c r="L161" s="27"/>
      <c r="M161" s="27"/>
      <c r="N161" s="27"/>
      <c r="O161" s="27"/>
      <c r="P161" s="27"/>
      <c r="Q161" s="4"/>
      <c r="R161" s="4"/>
      <c r="S161" s="4"/>
      <c r="T161" s="4"/>
      <c r="U161" s="4"/>
      <c r="V161" s="4"/>
      <c r="W161" s="4"/>
      <c r="X161" s="4"/>
      <c r="Y161" s="4"/>
    </row>
    <row r="162" spans="1:25" ht="12" customHeight="1">
      <c r="A162" s="27"/>
      <c r="B162" s="27"/>
      <c r="C162" s="27"/>
      <c r="D162" s="27"/>
      <c r="E162" s="27"/>
      <c r="F162" s="27"/>
      <c r="G162" s="27"/>
      <c r="H162" s="27"/>
      <c r="I162" s="27"/>
      <c r="J162" s="27"/>
      <c r="K162" s="27"/>
      <c r="L162" s="27"/>
      <c r="M162" s="27"/>
      <c r="N162" s="27"/>
      <c r="O162" s="27"/>
      <c r="P162" s="27"/>
      <c r="Q162" s="4"/>
      <c r="R162" s="4"/>
      <c r="S162" s="4"/>
      <c r="T162" s="4"/>
      <c r="U162" s="4"/>
      <c r="V162" s="4"/>
      <c r="W162" s="4"/>
      <c r="X162" s="4"/>
      <c r="Y162" s="4"/>
    </row>
    <row r="163" spans="1:25" ht="12" customHeight="1">
      <c r="A163" s="27"/>
      <c r="B163" s="27"/>
      <c r="C163" s="27"/>
      <c r="D163" s="27"/>
      <c r="E163" s="27"/>
      <c r="F163" s="27"/>
      <c r="G163" s="27"/>
      <c r="H163" s="27"/>
      <c r="I163" s="27"/>
      <c r="J163" s="27"/>
      <c r="K163" s="27"/>
      <c r="L163" s="27"/>
      <c r="M163" s="27"/>
      <c r="N163" s="27"/>
      <c r="O163" s="27"/>
      <c r="P163" s="27"/>
      <c r="Q163" s="4"/>
      <c r="R163" s="4"/>
      <c r="S163" s="4"/>
      <c r="T163" s="4"/>
      <c r="U163" s="4"/>
      <c r="V163" s="4"/>
      <c r="W163" s="4"/>
      <c r="X163" s="4"/>
      <c r="Y163" s="4"/>
    </row>
    <row r="164" spans="1:25" ht="12"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2"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2"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2"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2"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2"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2"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2"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2"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2"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2"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2"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2"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2"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2"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2"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2"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2"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2"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2"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2"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2"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2"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2"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2"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2"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2"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2"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2"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2"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2"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2"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2"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2"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2"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2"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2"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2"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2"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2"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2"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2"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2"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2"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2"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2"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2"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2"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2"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2"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2"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2"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2"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2"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2"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2"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2"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2"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2"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2"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2"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2"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2"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2"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2"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2"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2"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2"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2"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2"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2"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2"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2"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2"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2"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2"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2"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2"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2"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2"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2"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2"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2"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2"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2"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2"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2"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2"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2"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2"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2"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2"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2"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2"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2"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2"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2"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2"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2"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2"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2"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2"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2"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2"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2"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2"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2"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2"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2"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2"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2"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2"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2"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2"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2"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2"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2"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2"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2"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2"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2"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2"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2"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2"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2"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2"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2"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2"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2"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2"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2"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2"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2"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2"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2"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2"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2"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2"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2"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2"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2"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2"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2"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2"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2"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2"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2"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2"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2"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2"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2"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2"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2"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2"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2"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2"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2"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2"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2"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2"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2"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2"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2"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2"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2"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2"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2"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2"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2"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2"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2"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2"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2"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2"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2"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2"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2"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2"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2"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2"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2"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2"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2"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2"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2"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2"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2"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2"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2"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2"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2"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2"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2"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2"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2"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2"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2"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2"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2"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2"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2"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2"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2"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2"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2"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2"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2"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2"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2"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2"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2"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2"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2"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2"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2"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2"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2"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2"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2"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2"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2"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2"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2"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2"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2"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2"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2"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2"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2"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2"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2"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2"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2"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2"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2"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2"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2"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2"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2"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2"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2"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2"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2"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2"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2"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2"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2"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2"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2"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2"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2"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2"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2"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2"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2"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2"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2"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2"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2"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2"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2"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2"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2"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2"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2"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2"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2"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2"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2"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2"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2"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2"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2"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2"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2"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2"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2"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2"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2"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2"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2"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2"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2"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2"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2"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2"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2"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2"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2"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2"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2"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2"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2"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2"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2"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2"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2"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2"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2"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2"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2"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2"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2"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2"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2"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2"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2"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2"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2"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2"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2"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2"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2"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2"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2"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2"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2"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2"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2"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2"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2"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2"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2"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2"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2"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2"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2"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2"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2"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2"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2"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2"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2"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2"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2"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2"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2"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2"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2"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2"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2"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2"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2"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2"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2"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2"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2"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2"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2"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2"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2"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2"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2"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2"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2"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2"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2"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2"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2"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2"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2"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2"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2"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2"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2"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2"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2"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2"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2"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2"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2"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2"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2"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2"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2"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2"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2"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2"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2"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2"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2"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2"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2"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2"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2"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2"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2"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2"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2"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2"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2"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2"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2"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2"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2"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2"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2"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2"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2"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2"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2"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2"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2"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2"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2"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2"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2"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2"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2"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2"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2"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2"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2"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2"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2"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2"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2"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2"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2"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2"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2"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2"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2"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2"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2"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2"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2"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2"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2"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2"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2"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2"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2"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2"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2"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2"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2"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2"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2"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2"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2"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2"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2"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2"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2"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2"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2"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2"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2"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2"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2"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2"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2"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2"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2"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2"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2"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2"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2"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2"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2"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2"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2"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2"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2"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2"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2"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2"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2"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2"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2"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2"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2"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2"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2"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2"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2"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2"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2"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2"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2"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2"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2"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2"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2"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2"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2"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2"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2"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2"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2"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2"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2"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2"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2"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2"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2"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2"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2"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2"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2"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2"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2"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2"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2"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2"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2"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2"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2"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2"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2"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2"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2"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2"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2"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2"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2"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2"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2"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2"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2"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2"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2"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2"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2"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2"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2"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2"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2"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2"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2"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2"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2"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2"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2"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2"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2"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2"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2"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2"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2"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2"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2"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2"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2"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2"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2"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2"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2"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2"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2"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2"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2"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2"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2"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2"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2"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2"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2"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2"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2"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2"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2"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2"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2"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2"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2"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2"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2"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2"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2"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2"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2"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2"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2"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2"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2"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2"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2"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2"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2"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2"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2"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2"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2"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2"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2"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2"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2"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2"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2"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2"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2"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2"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2"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2"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2"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2"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2"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2"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2"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2"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2"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2"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2"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2"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2"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2"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2"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2"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2"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2"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2"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2"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2"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2"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2"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2"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2"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2"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2"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2"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2"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2"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2"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2"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2"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2"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2"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2"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2"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2"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2"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2"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2"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2"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2"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2"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2"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2"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2"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2"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2"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2"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2"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2"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2"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2"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2"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2"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2"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2"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2"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2"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2"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2"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2"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2"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2"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2"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2"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2"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2"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2"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2"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2"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2"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2"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2"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2"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2"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2"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2"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2"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2"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2"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2"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2"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2"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2"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2"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2"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2"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2"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2"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2"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2"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2"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2"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2"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2"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2"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2"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2"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2"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2"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2"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2"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2"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2"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2"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2"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2"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2"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2"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2"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2"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2"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2"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2"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2"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2"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2"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2"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2"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2"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2"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2"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2"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2"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2"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2"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2"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2"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2"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2"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2"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2"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2"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2"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2"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2"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2"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2"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2"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2"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2"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2"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2"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2"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2"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2"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2"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2"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2"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2"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2"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2"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2"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2"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2"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2"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2"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2"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2"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2"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2"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2"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2"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2"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2"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2"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2"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2"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2"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2"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2"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2"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2"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2"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2"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2"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2"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c r="C937" s="17"/>
    </row>
    <row r="938" spans="1:25">
      <c r="C938" s="17"/>
    </row>
    <row r="939" spans="1:25">
      <c r="C939" s="17"/>
    </row>
    <row r="940" spans="1:25">
      <c r="C940" s="17"/>
    </row>
    <row r="941" spans="1:25">
      <c r="C941" s="17"/>
    </row>
    <row r="942" spans="1:25">
      <c r="C942" s="17"/>
    </row>
    <row r="943" spans="1:25">
      <c r="C943" s="17"/>
    </row>
    <row r="944" spans="1:25">
      <c r="C944" s="17"/>
    </row>
    <row r="945" spans="3:3">
      <c r="C945" s="17"/>
    </row>
    <row r="946" spans="3:3">
      <c r="C946" s="17"/>
    </row>
    <row r="947" spans="3:3">
      <c r="C947" s="17"/>
    </row>
    <row r="948" spans="3:3">
      <c r="C948" s="17"/>
    </row>
    <row r="949" spans="3:3">
      <c r="C949" s="17"/>
    </row>
    <row r="950" spans="3:3">
      <c r="C950" s="17"/>
    </row>
    <row r="951" spans="3:3">
      <c r="C951" s="17"/>
    </row>
    <row r="952" spans="3:3">
      <c r="C952" s="17"/>
    </row>
    <row r="953" spans="3:3">
      <c r="C953" s="17"/>
    </row>
    <row r="954" spans="3:3">
      <c r="C954" s="17"/>
    </row>
    <row r="955" spans="3:3">
      <c r="C955" s="17"/>
    </row>
    <row r="956" spans="3:3">
      <c r="C956" s="17"/>
    </row>
    <row r="957" spans="3:3">
      <c r="C957" s="17"/>
    </row>
    <row r="958" spans="3:3">
      <c r="C958" s="17"/>
    </row>
    <row r="959" spans="3:3">
      <c r="C959" s="17"/>
    </row>
    <row r="960" spans="3:3">
      <c r="C960" s="17"/>
    </row>
    <row r="961" spans="3:3">
      <c r="C961" s="17"/>
    </row>
    <row r="962" spans="3:3">
      <c r="C962" s="17"/>
    </row>
    <row r="963" spans="3:3">
      <c r="C963" s="17"/>
    </row>
    <row r="964" spans="3:3">
      <c r="C964" s="17"/>
    </row>
    <row r="965" spans="3:3">
      <c r="C965" s="17"/>
    </row>
    <row r="966" spans="3:3">
      <c r="C966" s="17"/>
    </row>
    <row r="967" spans="3:3">
      <c r="C967" s="17"/>
    </row>
    <row r="968" spans="3:3">
      <c r="C968" s="17"/>
    </row>
    <row r="969" spans="3:3">
      <c r="C969" s="17"/>
    </row>
    <row r="970" spans="3:3">
      <c r="C970" s="17"/>
    </row>
    <row r="971" spans="3:3">
      <c r="C971" s="17"/>
    </row>
    <row r="972" spans="3:3">
      <c r="C972" s="17"/>
    </row>
    <row r="973" spans="3:3">
      <c r="C973" s="17"/>
    </row>
    <row r="974" spans="3:3">
      <c r="C974" s="17"/>
    </row>
    <row r="975" spans="3:3">
      <c r="C975" s="17"/>
    </row>
    <row r="976" spans="3:3">
      <c r="C976" s="17"/>
    </row>
    <row r="977" spans="3:3">
      <c r="C977" s="17"/>
    </row>
    <row r="978" spans="3:3">
      <c r="C978" s="17"/>
    </row>
    <row r="979" spans="3:3">
      <c r="C979" s="17"/>
    </row>
    <row r="980" spans="3:3">
      <c r="C980" s="17"/>
    </row>
    <row r="981" spans="3:3">
      <c r="C981" s="17"/>
    </row>
    <row r="982" spans="3:3">
      <c r="C982" s="17"/>
    </row>
    <row r="983" spans="3:3">
      <c r="C983" s="17"/>
    </row>
    <row r="984" spans="3:3">
      <c r="C984" s="17"/>
    </row>
    <row r="985" spans="3:3">
      <c r="C985" s="17"/>
    </row>
    <row r="986" spans="3:3">
      <c r="C986" s="17"/>
    </row>
    <row r="987" spans="3:3">
      <c r="C987" s="17"/>
    </row>
    <row r="988" spans="3:3">
      <c r="C988" s="17"/>
    </row>
    <row r="989" spans="3:3">
      <c r="C989" s="17"/>
    </row>
    <row r="990" spans="3:3">
      <c r="C990" s="17"/>
    </row>
    <row r="991" spans="3:3">
      <c r="C991" s="17"/>
    </row>
    <row r="992" spans="3:3">
      <c r="C992" s="17"/>
    </row>
    <row r="993" spans="3:3">
      <c r="C993" s="17"/>
    </row>
    <row r="994" spans="3:3">
      <c r="C994" s="17"/>
    </row>
    <row r="995" spans="3:3">
      <c r="C995" s="17"/>
    </row>
    <row r="996" spans="3:3">
      <c r="C996" s="17"/>
    </row>
    <row r="997" spans="3:3">
      <c r="C997" s="17"/>
    </row>
    <row r="998" spans="3:3">
      <c r="C998" s="17"/>
    </row>
    <row r="999" spans="3:3">
      <c r="C999" s="17"/>
    </row>
    <row r="1000" spans="3:3">
      <c r="C1000" s="17"/>
    </row>
  </sheetData>
  <mergeCells count="1">
    <mergeCell ref="A53:H53"/>
  </mergeCells>
  <phoneticPr fontId="40" type="noConversion"/>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Z1001"/>
  <sheetViews>
    <sheetView showGridLines="0" topLeftCell="C9" zoomScale="88" workbookViewId="0">
      <selection activeCell="D42" sqref="D42:D46"/>
    </sheetView>
  </sheetViews>
  <sheetFormatPr baseColWidth="10" defaultColWidth="14.5" defaultRowHeight="15" customHeight="1"/>
  <cols>
    <col min="1" max="1" width="36.5" hidden="1" customWidth="1"/>
    <col min="2" max="2" width="42.5" hidden="1" customWidth="1"/>
    <col min="3" max="3" width="32.5" customWidth="1"/>
    <col min="4" max="4" width="33.5" customWidth="1"/>
    <col min="5" max="16" width="16.83203125" customWidth="1"/>
    <col min="17" max="17" width="16.33203125" customWidth="1"/>
    <col min="18" max="19" width="12.5" customWidth="1"/>
    <col min="20" max="26" width="9.1640625" customWidth="1"/>
  </cols>
  <sheetData>
    <row r="1" spans="1:26" ht="27.75" customHeight="1">
      <c r="A1" s="150"/>
      <c r="B1" s="150"/>
      <c r="C1" s="151" t="s">
        <v>77</v>
      </c>
      <c r="D1" s="150"/>
      <c r="E1" s="152"/>
      <c r="F1" s="152"/>
      <c r="G1" s="152"/>
      <c r="H1" s="152"/>
      <c r="I1" s="152"/>
      <c r="J1" s="152"/>
      <c r="K1" s="152"/>
      <c r="L1" s="152"/>
      <c r="M1" s="152"/>
      <c r="N1" s="152"/>
      <c r="O1" s="152"/>
      <c r="P1" s="152"/>
      <c r="Q1" s="150"/>
      <c r="R1" s="150"/>
      <c r="S1" s="150"/>
      <c r="T1" s="150"/>
      <c r="U1" s="150"/>
      <c r="V1" s="150"/>
      <c r="W1" s="150"/>
      <c r="X1" s="150"/>
      <c r="Y1" s="150"/>
      <c r="Z1" s="150"/>
    </row>
    <row r="2" spans="1:26" ht="80.25" customHeight="1">
      <c r="A2" s="132"/>
      <c r="B2" s="132"/>
      <c r="C2" s="275" t="s">
        <v>78</v>
      </c>
      <c r="D2" s="276"/>
      <c r="E2" s="276"/>
      <c r="F2" s="276"/>
      <c r="G2" s="276"/>
      <c r="H2" s="276"/>
      <c r="I2" s="276"/>
      <c r="J2" s="276"/>
      <c r="K2" s="276"/>
      <c r="L2" s="153"/>
      <c r="M2" s="153"/>
      <c r="N2" s="153"/>
      <c r="O2" s="153"/>
      <c r="P2" s="153"/>
      <c r="Q2" s="132"/>
      <c r="R2" s="132"/>
      <c r="S2" s="132"/>
      <c r="T2" s="132"/>
      <c r="U2" s="132"/>
      <c r="V2" s="132"/>
      <c r="W2" s="132"/>
      <c r="X2" s="132"/>
      <c r="Y2" s="132"/>
      <c r="Z2" s="132"/>
    </row>
    <row r="3" spans="1:26" ht="37.5" customHeight="1">
      <c r="A3" s="132"/>
      <c r="B3" s="132"/>
      <c r="C3" s="277" t="s">
        <v>79</v>
      </c>
      <c r="D3" s="278"/>
      <c r="E3" s="278"/>
      <c r="F3" s="278"/>
      <c r="G3" s="278"/>
      <c r="H3" s="278"/>
      <c r="I3" s="278"/>
      <c r="J3" s="278"/>
      <c r="K3" s="278"/>
      <c r="L3" s="154"/>
      <c r="M3" s="153"/>
      <c r="N3" s="153"/>
      <c r="O3" s="153"/>
      <c r="P3" s="153"/>
      <c r="Q3" s="132"/>
      <c r="R3" s="132"/>
      <c r="S3" s="132"/>
      <c r="T3" s="132"/>
      <c r="U3" s="132"/>
      <c r="V3" s="132"/>
      <c r="W3" s="132"/>
      <c r="X3" s="132"/>
      <c r="Y3" s="132"/>
      <c r="Z3" s="132"/>
    </row>
    <row r="4" spans="1:26" ht="39" customHeight="1">
      <c r="A4" s="132" t="s">
        <v>80</v>
      </c>
      <c r="B4" s="132">
        <v>0</v>
      </c>
      <c r="C4" s="28" t="s">
        <v>80</v>
      </c>
      <c r="D4" s="29"/>
      <c r="E4" s="28" t="s">
        <v>43</v>
      </c>
      <c r="F4" s="28" t="s">
        <v>44</v>
      </c>
      <c r="G4" s="28" t="s">
        <v>45</v>
      </c>
      <c r="H4" s="28" t="s">
        <v>46</v>
      </c>
      <c r="I4" s="28" t="s">
        <v>47</v>
      </c>
      <c r="J4" s="28" t="s">
        <v>48</v>
      </c>
      <c r="K4" s="28" t="s">
        <v>49</v>
      </c>
      <c r="L4" s="28" t="s">
        <v>50</v>
      </c>
      <c r="M4" s="28" t="s">
        <v>51</v>
      </c>
      <c r="N4" s="28" t="s">
        <v>52</v>
      </c>
      <c r="O4" s="28" t="s">
        <v>53</v>
      </c>
      <c r="P4" s="28" t="s">
        <v>54</v>
      </c>
      <c r="Q4" s="131"/>
      <c r="R4" s="132"/>
      <c r="S4" s="132"/>
      <c r="T4" s="132"/>
      <c r="U4" s="132"/>
      <c r="V4" s="132"/>
      <c r="W4" s="132"/>
      <c r="X4" s="132"/>
      <c r="Y4" s="132"/>
      <c r="Z4" s="132"/>
    </row>
    <row r="5" spans="1:26" ht="39" customHeight="1">
      <c r="A5" s="4" t="s">
        <v>55</v>
      </c>
      <c r="B5" s="4" t="s">
        <v>56</v>
      </c>
      <c r="C5" s="230" t="s">
        <v>55</v>
      </c>
      <c r="D5" s="231" t="s">
        <v>56</v>
      </c>
      <c r="E5" s="232">
        <f>SUMIFS('CC Actuals'!E$7:E$51, 'CC Actuals'!$A$7:$A$51, "Kootha (1 Major Desal Unit)",  'CC Actuals'!$B$7:$B$51, "Revenue")</f>
        <v>-8460389.8399999999</v>
      </c>
      <c r="F5" s="232">
        <f>SUMIFS('CC Actuals'!F$7:F$51, 'CC Actuals'!$A$7:$A$51, "Kootha (1 Major Desal Unit)",  'CC Actuals'!$B$7:$B$51, "Revenue")</f>
        <v>-8149859.6999999993</v>
      </c>
      <c r="G5" s="232">
        <f>SUMIFS('CC Actuals'!G$7:G$51, 'CC Actuals'!$A$7:$A$51, "Kootha (1 Major Desal Unit)",  'CC Actuals'!$B$7:$B$51, "Revenue")</f>
        <v>-7531701.29</v>
      </c>
      <c r="H5" s="232">
        <f>SUMIFS('CC Actuals'!H$7:H$51, 'CC Actuals'!$A$7:$A$51, "Kootha (1 Major Desal Unit)",  'CC Actuals'!$B$7:$B$51, "Revenue")</f>
        <v>-7473771.8099999996</v>
      </c>
      <c r="I5" s="232">
        <f>SUMIFS('CC Actuals'!I$7:I$51, 'CC Actuals'!$A$7:$A$51, "Kootha (1 Major Desal Unit)",  'CC Actuals'!$B$7:$B$51, "Revenue")</f>
        <v>-7892157.04</v>
      </c>
      <c r="J5" s="232">
        <f>SUMIFS('CC Actuals'!J$7:J$51, 'CC Actuals'!$A$7:$A$51, "Kootha (1 Major Desal Unit)",  'CC Actuals'!$B$7:$B$51, "Revenue")</f>
        <v>-7699347.6500000004</v>
      </c>
      <c r="K5" s="232">
        <f>SUMIFS('CC Actuals'!K$7:K$51, 'CC Actuals'!$A$7:$A$51, "Kootha (1 Major Desal Unit)",  'CC Actuals'!$B$7:$B$51, "Revenue")</f>
        <v>-11178158.369999999</v>
      </c>
      <c r="L5" s="232">
        <f>SUMIFS('CC Actuals'!L$7:L$51, 'CC Actuals'!$A$7:$A$51, "Kootha (1 Major Desal Unit)",  'CC Actuals'!$B$7:$B$51, "Revenue")</f>
        <v>-9894599.1999999993</v>
      </c>
      <c r="M5" s="232">
        <f>SUMIFS('CC Actuals'!M$7:M$51, 'CC Actuals'!$A$7:$A$51, "Kootha (1 Major Desal Unit)",  'CC Actuals'!$B$7:$B$51, "Revenue")</f>
        <v>-10434056.43</v>
      </c>
      <c r="N5" s="232">
        <f>SUMIFS('CC Actuals'!N$7:N$51, 'CC Actuals'!$A$7:$A$51, "Kootha (1 Major Desal Unit)",  'CC Actuals'!$B$7:$B$51, "Revenue")</f>
        <v>-7635103.0900000008</v>
      </c>
      <c r="O5" s="232">
        <f>SUMIFS('CC Actuals'!O$7:O$51, 'CC Actuals'!$A$7:$A$51, "Kootha (1 Major Desal Unit)",  'CC Actuals'!$B$7:$B$51, "Revenue")</f>
        <v>-7710730.1799999997</v>
      </c>
      <c r="P5" s="232">
        <f>SUMIFS('CC Actuals'!P$7:P$51, 'CC Actuals'!$A$7:$A$51, "Kootha (1 Major Desal Unit)",  'CC Actuals'!$B$7:$B$51, "Revenue")</f>
        <v>-7415391.3399999999</v>
      </c>
      <c r="Q5" s="33"/>
      <c r="R5" s="4"/>
      <c r="S5" s="4"/>
      <c r="T5" s="4"/>
      <c r="U5" s="4"/>
      <c r="V5" s="4"/>
      <c r="W5" s="4"/>
      <c r="X5" s="4"/>
      <c r="Y5" s="4"/>
      <c r="Z5" s="4"/>
    </row>
    <row r="6" spans="1:26" ht="13.5" customHeight="1">
      <c r="A6" s="4" t="s">
        <v>55</v>
      </c>
      <c r="B6" s="4" t="s">
        <v>81</v>
      </c>
      <c r="C6" s="30"/>
      <c r="D6" s="34" t="s">
        <v>81</v>
      </c>
      <c r="E6" s="35">
        <f>SUMIFS('CC Actuals'!E$7:E$51, 'CC Actuals'!$A$7:$A$51, "Kootha (1 Major Desal Unit)",  'CC Actuals'!$B$7:$B$51, "Production Costs")</f>
        <v>35500.949999999997</v>
      </c>
      <c r="F6" s="35">
        <f>SUMIFS('CC Actuals'!F$7:F$51, 'CC Actuals'!$A$7:$A$51, "Kootha (1 Major Desal Unit)",  'CC Actuals'!$B$7:$B$51, "Production Costs")</f>
        <v>24210.95</v>
      </c>
      <c r="G6" s="35">
        <f>SUMIFS('CC Actuals'!G$7:G$51, 'CC Actuals'!$A$7:$A$51, "Kootha (1 Major Desal Unit)",  'CC Actuals'!$B$7:$B$51, "Production Costs")</f>
        <v>41241.32</v>
      </c>
      <c r="H6" s="35">
        <f>SUMIFS('CC Actuals'!H$7:H$51, 'CC Actuals'!$A$7:$A$51, "Kootha (1 Major Desal Unit)",  'CC Actuals'!$B$7:$B$51, "Production Costs")</f>
        <v>26123</v>
      </c>
      <c r="I6" s="35">
        <f>SUMIFS('CC Actuals'!I$7:I$51, 'CC Actuals'!$A$7:$A$51, "Kootha (1 Major Desal Unit)",  'CC Actuals'!$B$7:$B$51, "Production Costs")</f>
        <v>32233</v>
      </c>
      <c r="J6" s="35">
        <f>SUMIFS('CC Actuals'!J$7:J$51, 'CC Actuals'!$A$7:$A$51, "Kootha (1 Major Desal Unit)",  'CC Actuals'!$B$7:$B$51, "Production Costs")</f>
        <v>31527</v>
      </c>
      <c r="K6" s="35">
        <f>SUMIFS('CC Actuals'!K$7:K$51, 'CC Actuals'!$A$7:$A$51, "Kootha (1 Major Desal Unit)",  'CC Actuals'!$B$7:$B$51, "Production Costs")</f>
        <v>32471</v>
      </c>
      <c r="L6" s="35">
        <f>SUMIFS('CC Actuals'!L$7:L$51, 'CC Actuals'!$A$7:$A$51, "Kootha (1 Major Desal Unit)",  'CC Actuals'!$B$7:$B$51, "Production Costs")</f>
        <v>35288</v>
      </c>
      <c r="M6" s="35">
        <f>SUMIFS('CC Actuals'!M$7:M$51, 'CC Actuals'!$A$7:$A$51, "Kootha (1 Major Desal Unit)",  'CC Actuals'!$B$7:$B$51, "Production Costs")</f>
        <v>27349</v>
      </c>
      <c r="N6" s="35">
        <f>SUMIFS('CC Actuals'!N$7:N$51, 'CC Actuals'!$A$7:$A$51, "Kootha (1 Major Desal Unit)",  'CC Actuals'!$B$7:$B$51, "Production Costs")</f>
        <v>27343</v>
      </c>
      <c r="O6" s="35">
        <f>SUMIFS('CC Actuals'!O$7:O$51, 'CC Actuals'!$A$7:$A$51, "Kootha (1 Major Desal Unit)",  'CC Actuals'!$B$7:$B$51, "Production Costs")</f>
        <v>28172</v>
      </c>
      <c r="P6" s="35">
        <f>SUMIFS('CC Actuals'!P$7:P$51, 'CC Actuals'!$A$7:$A$51, "Kootha (1 Major Desal Unit)",  'CC Actuals'!$B$7:$B$51, "Production Costs")</f>
        <v>33589</v>
      </c>
      <c r="Q6" s="33"/>
      <c r="R6" s="4"/>
      <c r="S6" s="4"/>
      <c r="T6" s="4"/>
      <c r="U6" s="4"/>
      <c r="V6" s="4"/>
      <c r="W6" s="4"/>
      <c r="X6" s="4"/>
      <c r="Y6" s="4"/>
      <c r="Z6" s="4"/>
    </row>
    <row r="7" spans="1:26" ht="13.5" customHeight="1">
      <c r="A7" s="4" t="e">
        <v>#REF!</v>
      </c>
      <c r="B7" s="4" t="s">
        <v>82</v>
      </c>
      <c r="C7" s="36"/>
      <c r="D7" s="34" t="s">
        <v>82</v>
      </c>
      <c r="E7" s="35">
        <f>SUMIFS('CC Actuals'!E$7:E$51, 'CC Actuals'!$A$7:$A$51, "Kootha (1 Major Desal Unit)",  'CC Actuals'!$B$7:$B$51, "Other Production Costs")</f>
        <v>19203.259999999998</v>
      </c>
      <c r="F7" s="35">
        <f>SUMIFS('CC Actuals'!F$7:F$51, 'CC Actuals'!$A$7:$A$51, "Kootha (1 Major Desal Unit)",  'CC Actuals'!$B$7:$B$51, "Other Production Costs")</f>
        <v>31298.22</v>
      </c>
      <c r="G7" s="35">
        <f>SUMIFS('CC Actuals'!G$7:G$51, 'CC Actuals'!$A$7:$A$51, "Kootha (1 Major Desal Unit)",  'CC Actuals'!$B$7:$B$51, "Other Production Costs")</f>
        <v>21242.74</v>
      </c>
      <c r="H7" s="35">
        <f>SUMIFS('CC Actuals'!H$7:H$51, 'CC Actuals'!$A$7:$A$51, "Kootha (1 Major Desal Unit)",  'CC Actuals'!$B$7:$B$51, "Other Production Costs")</f>
        <v>25800</v>
      </c>
      <c r="I7" s="35">
        <f>SUMIFS('CC Actuals'!I$7:I$51, 'CC Actuals'!$A$7:$A$51, "Kootha (1 Major Desal Unit)",  'CC Actuals'!$B$7:$B$51, "Other Production Costs")</f>
        <v>28652</v>
      </c>
      <c r="J7" s="35">
        <f>SUMIFS('CC Actuals'!J$7:J$51, 'CC Actuals'!$A$7:$A$51, "Kootha (1 Major Desal Unit)",  'CC Actuals'!$B$7:$B$51, "Other Production Costs")</f>
        <v>31034</v>
      </c>
      <c r="K7" s="35">
        <f>SUMIFS('CC Actuals'!K$7:K$51, 'CC Actuals'!$A$7:$A$51, "Kootha (1 Major Desal Unit)",  'CC Actuals'!$B$7:$B$51, "Other Production Costs")</f>
        <v>29518</v>
      </c>
      <c r="L7" s="35">
        <f>SUMIFS('CC Actuals'!L$7:L$51, 'CC Actuals'!$A$7:$A$51, "Kootha (1 Major Desal Unit)",  'CC Actuals'!$B$7:$B$51, "Other Production Costs")</f>
        <v>28654</v>
      </c>
      <c r="M7" s="35">
        <f>SUMIFS('CC Actuals'!M$7:M$51, 'CC Actuals'!$A$7:$A$51, "Kootha (1 Major Desal Unit)",  'CC Actuals'!$B$7:$B$51, "Other Production Costs")</f>
        <v>21938</v>
      </c>
      <c r="N7" s="35">
        <f>SUMIFS('CC Actuals'!N$7:N$51, 'CC Actuals'!$A$7:$A$51, "Kootha (1 Major Desal Unit)",  'CC Actuals'!$B$7:$B$51, "Other Production Costs")</f>
        <v>30933</v>
      </c>
      <c r="O7" s="35">
        <f>SUMIFS('CC Actuals'!O$7:O$51, 'CC Actuals'!$A$7:$A$51, "Kootha (1 Major Desal Unit)",  'CC Actuals'!$B$7:$B$51, "Other Production Costs")</f>
        <v>27132</v>
      </c>
      <c r="P7" s="35">
        <f>SUMIFS('CC Actuals'!P$7:P$51, 'CC Actuals'!$A$7:$A$51, "Kootha (1 Major Desal Unit)",  'CC Actuals'!$B$7:$B$51, "Other Production Costs")</f>
        <v>29759</v>
      </c>
      <c r="Q7" s="33"/>
      <c r="R7" s="4"/>
      <c r="S7" s="4"/>
      <c r="T7" s="4"/>
      <c r="U7" s="4"/>
      <c r="V7" s="4"/>
      <c r="W7" s="4"/>
      <c r="X7" s="4"/>
      <c r="Y7" s="4"/>
      <c r="Z7" s="4"/>
    </row>
    <row r="8" spans="1:26" ht="12" customHeight="1">
      <c r="A8" s="4" t="s">
        <v>69</v>
      </c>
      <c r="B8" s="4" t="s">
        <v>56</v>
      </c>
      <c r="C8" s="227" t="s">
        <v>69</v>
      </c>
      <c r="D8" s="228" t="s">
        <v>56</v>
      </c>
      <c r="E8" s="229">
        <f>SUMIFS('CC Actuals'!E$7:E$51, 'CC Actuals'!$A$7:$A$51, "Surjek (4 Major Desal. Plants)",  'CC Actuals'!$B$7:$B$51, "Revenue")</f>
        <v>-19894012.739999998</v>
      </c>
      <c r="F8" s="229">
        <f>SUMIFS('CC Actuals'!F$7:F$51, 'CC Actuals'!$A$7:$A$51, "Surjek (4 Major Desal. Plants)",  'CC Actuals'!$B$7:$B$51, "Revenue")</f>
        <v>-16863304.57</v>
      </c>
      <c r="G8" s="229">
        <f>SUMIFS('CC Actuals'!G$7:G$51, 'CC Actuals'!$A$7:$A$51, "Surjek (4 Major Desal. Plants)",  'CC Actuals'!$B$7:$B$51, "Revenue")</f>
        <v>-18634437.710000001</v>
      </c>
      <c r="H8" s="229">
        <f>SUMIFS('CC Actuals'!H$7:H$51, 'CC Actuals'!$A$7:$A$51, "Surjek (4 Major Desal. Plants)",  'CC Actuals'!$B$7:$B$51, "Revenue")</f>
        <v>-17531805.759999998</v>
      </c>
      <c r="I8" s="229">
        <f>SUMIFS('CC Actuals'!I$7:I$51, 'CC Actuals'!$A$7:$A$51, "Surjek (4 Major Desal. Plants)",  'CC Actuals'!$B$7:$B$51, "Revenue")</f>
        <v>-16086473.6</v>
      </c>
      <c r="J8" s="229">
        <f>SUMIFS('CC Actuals'!J$7:J$51, 'CC Actuals'!$A$7:$A$51, "Surjek (4 Major Desal. Plants)",  'CC Actuals'!$B$7:$B$51, "Revenue")</f>
        <v>-17992774.75</v>
      </c>
      <c r="K8" s="229">
        <f>SUMIFS('CC Actuals'!K$7:K$51, 'CC Actuals'!$A$7:$A$51, "Surjek (4 Major Desal. Plants)",  'CC Actuals'!$B$7:$B$51, "Revenue")</f>
        <v>-25540140.41</v>
      </c>
      <c r="L8" s="229">
        <f>SUMIFS('CC Actuals'!L$7:L$51, 'CC Actuals'!$A$7:$A$51, "Surjek (4 Major Desal. Plants)",  'CC Actuals'!$B$7:$B$51, "Revenue")</f>
        <v>-23695398.210000001</v>
      </c>
      <c r="M8" s="229">
        <f>SUMIFS('CC Actuals'!M$7:M$51, 'CC Actuals'!$A$7:$A$51, "Surjek (4 Major Desal. Plants)",  'CC Actuals'!$B$7:$B$51, "Revenue")</f>
        <v>-22536666.82</v>
      </c>
      <c r="N8" s="229">
        <f>SUMIFS('CC Actuals'!N$7:N$51, 'CC Actuals'!$A$7:$A$51, "Surjek (4 Major Desal. Plants)",  'CC Actuals'!$B$7:$B$51, "Revenue")</f>
        <v>-18635306.310000002</v>
      </c>
      <c r="O8" s="229">
        <f>SUMIFS('CC Actuals'!O$7:O$51, 'CC Actuals'!$A$7:$A$51, "Surjek (4 Major Desal. Plants)",  'CC Actuals'!$B$7:$B$51, "Revenue")</f>
        <v>-17104640.780000001</v>
      </c>
      <c r="P8" s="229">
        <f>SUMIFS('CC Actuals'!P$7:P$51, 'CC Actuals'!$A$7:$A$51, "Surjek (4 Major Desal. Plants)",  'CC Actuals'!$B$7:$B$51, "Revenue")</f>
        <v>-18482607.449999999</v>
      </c>
      <c r="Q8" s="33"/>
      <c r="R8" s="4"/>
      <c r="S8" s="4"/>
      <c r="T8" s="4"/>
      <c r="U8" s="4"/>
      <c r="V8" s="4"/>
      <c r="W8" s="4"/>
      <c r="X8" s="4"/>
      <c r="Y8" s="4"/>
      <c r="Z8" s="4"/>
    </row>
    <row r="9" spans="1:26" ht="13.5" customHeight="1">
      <c r="A9" s="4" t="s">
        <v>69</v>
      </c>
      <c r="B9" s="4" t="s">
        <v>81</v>
      </c>
      <c r="C9" s="36"/>
      <c r="D9" s="34" t="s">
        <v>81</v>
      </c>
      <c r="E9" s="35">
        <f>SUMIFS('CC Actuals'!E$7:E$51, 'CC Actuals'!$A$7:$A$51, "Surjek (4 Major Desal. Plants)",  'CC Actuals'!$B$7:$B$51, "Production Costs")</f>
        <v>686673.01</v>
      </c>
      <c r="F9" s="35">
        <f>SUMIFS('CC Actuals'!F$7:F$51, 'CC Actuals'!$A$7:$A$51, "Surjek (4 Major Desal. Plants)",  'CC Actuals'!$B$7:$B$51, "Production Costs")</f>
        <v>867081.49</v>
      </c>
      <c r="G9" s="35">
        <f>SUMIFS('CC Actuals'!G$7:G$51, 'CC Actuals'!$A$7:$A$51, "Surjek (4 Major Desal. Plants)",  'CC Actuals'!$B$7:$B$51, "Production Costs")</f>
        <v>6727.15</v>
      </c>
      <c r="H9" s="35">
        <f>SUMIFS('CC Actuals'!H$7:H$51, 'CC Actuals'!$A$7:$A$51, "Surjek (4 Major Desal. Plants)",  'CC Actuals'!$B$7:$B$51, "Production Costs")</f>
        <v>401.530000000006</v>
      </c>
      <c r="I9" s="35">
        <f>SUMIFS('CC Actuals'!I$7:I$51, 'CC Actuals'!$A$7:$A$51, "Surjek (4 Major Desal. Plants)",  'CC Actuals'!$B$7:$B$51, "Production Costs")</f>
        <v>144797.4</v>
      </c>
      <c r="J9" s="35">
        <f>SUMIFS('CC Actuals'!J$7:J$51, 'CC Actuals'!$A$7:$A$51, "Surjek (4 Major Desal. Plants)",  'CC Actuals'!$B$7:$B$51, "Production Costs")</f>
        <v>652415.07999999996</v>
      </c>
      <c r="K9" s="35">
        <f>SUMIFS('CC Actuals'!K$7:K$51, 'CC Actuals'!$A$7:$A$51, "Surjek (4 Major Desal. Plants)",  'CC Actuals'!$B$7:$B$51, "Production Costs")</f>
        <v>27790.66</v>
      </c>
      <c r="L9" s="35">
        <f>SUMIFS('CC Actuals'!L$7:L$51, 'CC Actuals'!$A$7:$A$51, "Surjek (4 Major Desal. Plants)",  'CC Actuals'!$B$7:$B$51, "Production Costs")</f>
        <v>507467.89</v>
      </c>
      <c r="M9" s="35">
        <f>SUMIFS('CC Actuals'!M$7:M$51, 'CC Actuals'!$A$7:$A$51, "Surjek (4 Major Desal. Plants)",  'CC Actuals'!$B$7:$B$51, "Production Costs")</f>
        <v>241353.12</v>
      </c>
      <c r="N9" s="35">
        <f>SUMIFS('CC Actuals'!N$7:N$51, 'CC Actuals'!$A$7:$A$51, "Surjek (4 Major Desal. Plants)",  'CC Actuals'!$B$7:$B$51, "Production Costs")</f>
        <v>95261.1</v>
      </c>
      <c r="O9" s="35">
        <f>SUMIFS('CC Actuals'!O$7:O$51, 'CC Actuals'!$A$7:$A$51, "Surjek (4 Major Desal. Plants)",  'CC Actuals'!$B$7:$B$51, "Production Costs")</f>
        <v>197723.18</v>
      </c>
      <c r="P9" s="35">
        <f>SUMIFS('CC Actuals'!P$7:P$51, 'CC Actuals'!$A$7:$A$51, "Surjek (4 Major Desal. Plants)",  'CC Actuals'!$B$7:$B$51, "Production Costs")</f>
        <v>175247.34</v>
      </c>
      <c r="Q9" s="33"/>
      <c r="R9" s="4"/>
      <c r="S9" s="4"/>
      <c r="T9" s="4"/>
      <c r="U9" s="4"/>
      <c r="V9" s="4"/>
      <c r="W9" s="4"/>
      <c r="X9" s="4"/>
      <c r="Y9" s="4"/>
      <c r="Z9" s="4"/>
    </row>
    <row r="10" spans="1:26" ht="13.5" customHeight="1">
      <c r="A10" s="4" t="e">
        <v>#REF!</v>
      </c>
      <c r="B10" s="4" t="s">
        <v>82</v>
      </c>
      <c r="C10" s="36"/>
      <c r="D10" s="34" t="s">
        <v>82</v>
      </c>
      <c r="E10" s="35">
        <f>SUMIFS('CC Actuals'!E$7:E$51, 'CC Actuals'!$A$7:$A$51, "Surjek (4 Major Desal. Plants)",  'CC Actuals'!$B$7:$B$51, "Other Production Costs")</f>
        <v>241931.03000000003</v>
      </c>
      <c r="F10" s="35">
        <f>SUMIFS('CC Actuals'!F$7:F$51, 'CC Actuals'!$A$7:$A$51, "Surjek (4 Major Desal. Plants)",  'CC Actuals'!$B$7:$B$51, "Other Production Costs")</f>
        <v>228177.66</v>
      </c>
      <c r="G10" s="35">
        <f>SUMIFS('CC Actuals'!G$7:G$51, 'CC Actuals'!$A$7:$A$51, "Surjek (4 Major Desal. Plants)",  'CC Actuals'!$B$7:$B$51, "Other Production Costs")</f>
        <v>362088.43</v>
      </c>
      <c r="H10" s="35">
        <f>SUMIFS('CC Actuals'!H$7:H$51, 'CC Actuals'!$A$7:$A$51, "Surjek (4 Major Desal. Plants)",  'CC Actuals'!$B$7:$B$51, "Other Production Costs")</f>
        <v>211688.28</v>
      </c>
      <c r="I10" s="35">
        <f>SUMIFS('CC Actuals'!I$7:I$51, 'CC Actuals'!$A$7:$A$51, "Surjek (4 Major Desal. Plants)",  'CC Actuals'!$B$7:$B$51, "Other Production Costs")</f>
        <v>237346.23</v>
      </c>
      <c r="J10" s="35">
        <f>SUMIFS('CC Actuals'!J$7:J$51, 'CC Actuals'!$A$7:$A$51, "Surjek (4 Major Desal. Plants)",  'CC Actuals'!$B$7:$B$51, "Other Production Costs")</f>
        <v>293131.57</v>
      </c>
      <c r="K10" s="35">
        <f>SUMIFS('CC Actuals'!K$7:K$51, 'CC Actuals'!$A$7:$A$51, "Surjek (4 Major Desal. Plants)",  'CC Actuals'!$B$7:$B$51, "Other Production Costs")</f>
        <v>335872.34</v>
      </c>
      <c r="L10" s="35">
        <f>SUMIFS('CC Actuals'!L$7:L$51, 'CC Actuals'!$A$7:$A$51, "Surjek (4 Major Desal. Plants)",  'CC Actuals'!$B$7:$B$51, "Other Production Costs")</f>
        <v>333612.56</v>
      </c>
      <c r="M10" s="35">
        <f>SUMIFS('CC Actuals'!M$7:M$51, 'CC Actuals'!$A$7:$A$51, "Surjek (4 Major Desal. Plants)",  'CC Actuals'!$B$7:$B$51, "Other Production Costs")</f>
        <v>288580.33</v>
      </c>
      <c r="N10" s="35">
        <f>SUMIFS('CC Actuals'!N$7:N$51, 'CC Actuals'!$A$7:$A$51, "Surjek (4 Major Desal. Plants)",  'CC Actuals'!$B$7:$B$51, "Other Production Costs")</f>
        <v>270114.8</v>
      </c>
      <c r="O10" s="35">
        <f>SUMIFS('CC Actuals'!O$7:O$51, 'CC Actuals'!$A$7:$A$51, "Surjek (4 Major Desal. Plants)",  'CC Actuals'!$B$7:$B$51, "Other Production Costs")</f>
        <v>279543.5</v>
      </c>
      <c r="P10" s="35">
        <f>SUMIFS('CC Actuals'!P$7:P$51, 'CC Actuals'!$A$7:$A$51, "Surjek (4 Major Desal. Plants)",  'CC Actuals'!$B$7:$B$51, "Other Production Costs")</f>
        <v>423607.52</v>
      </c>
      <c r="Q10" s="33"/>
      <c r="R10" s="4"/>
      <c r="S10" s="4"/>
      <c r="T10" s="4"/>
      <c r="U10" s="4"/>
      <c r="V10" s="4"/>
      <c r="W10" s="4"/>
      <c r="X10" s="4"/>
      <c r="Y10" s="4"/>
      <c r="Z10" s="4"/>
    </row>
    <row r="11" spans="1:26" ht="13.5" customHeight="1">
      <c r="A11" s="4" t="s">
        <v>83</v>
      </c>
      <c r="B11" s="4" t="s">
        <v>56</v>
      </c>
      <c r="C11" s="227" t="s">
        <v>83</v>
      </c>
      <c r="D11" s="228" t="s">
        <v>56</v>
      </c>
      <c r="E11" s="229">
        <f>SUM(E$5, E$8)</f>
        <v>-28354402.579999998</v>
      </c>
      <c r="F11" s="229">
        <f t="shared" ref="F11:P11" si="0">SUM(F$5, F$8)</f>
        <v>-25013164.27</v>
      </c>
      <c r="G11" s="229">
        <f t="shared" si="0"/>
        <v>-26166139</v>
      </c>
      <c r="H11" s="229">
        <f t="shared" si="0"/>
        <v>-25005577.569999997</v>
      </c>
      <c r="I11" s="229">
        <f t="shared" si="0"/>
        <v>-23978630.640000001</v>
      </c>
      <c r="J11" s="229">
        <f t="shared" si="0"/>
        <v>-25692122.399999999</v>
      </c>
      <c r="K11" s="229">
        <f t="shared" si="0"/>
        <v>-36718298.780000001</v>
      </c>
      <c r="L11" s="229">
        <f t="shared" si="0"/>
        <v>-33589997.409999996</v>
      </c>
      <c r="M11" s="229">
        <f t="shared" si="0"/>
        <v>-32970723.25</v>
      </c>
      <c r="N11" s="229">
        <f t="shared" si="0"/>
        <v>-26270409.400000002</v>
      </c>
      <c r="O11" s="229">
        <f t="shared" si="0"/>
        <v>-24815370.960000001</v>
      </c>
      <c r="P11" s="229">
        <f t="shared" si="0"/>
        <v>-25897998.789999999</v>
      </c>
      <c r="Q11" s="33"/>
      <c r="R11" s="4"/>
      <c r="S11" s="4"/>
      <c r="T11" s="4"/>
      <c r="U11" s="4"/>
      <c r="V11" s="4"/>
      <c r="W11" s="4"/>
      <c r="X11" s="4"/>
      <c r="Y11" s="4"/>
      <c r="Z11" s="4"/>
    </row>
    <row r="12" spans="1:26" ht="13.5" customHeight="1">
      <c r="A12" s="4" t="s">
        <v>83</v>
      </c>
      <c r="B12" s="4" t="s">
        <v>81</v>
      </c>
      <c r="C12" s="36"/>
      <c r="D12" s="37" t="s">
        <v>81</v>
      </c>
      <c r="E12" s="35">
        <f>SUM(E6, E9)</f>
        <v>722173.96</v>
      </c>
      <c r="F12" s="35">
        <f>SUM(F6, F9)</f>
        <v>891292.44</v>
      </c>
      <c r="G12" s="35">
        <f t="shared" ref="G12:P12" si="1">SUM(G6, G9)</f>
        <v>47968.47</v>
      </c>
      <c r="H12" s="35">
        <f t="shared" si="1"/>
        <v>26524.530000000006</v>
      </c>
      <c r="I12" s="35">
        <f t="shared" si="1"/>
        <v>177030.39999999999</v>
      </c>
      <c r="J12" s="35">
        <f t="shared" si="1"/>
        <v>683942.08</v>
      </c>
      <c r="K12" s="35">
        <f t="shared" si="1"/>
        <v>60261.66</v>
      </c>
      <c r="L12" s="35">
        <f t="shared" si="1"/>
        <v>542755.89</v>
      </c>
      <c r="M12" s="35">
        <f t="shared" si="1"/>
        <v>268702.12</v>
      </c>
      <c r="N12" s="35">
        <f t="shared" si="1"/>
        <v>122604.1</v>
      </c>
      <c r="O12" s="35">
        <f t="shared" si="1"/>
        <v>225895.18</v>
      </c>
      <c r="P12" s="35">
        <f t="shared" si="1"/>
        <v>208836.34</v>
      </c>
      <c r="Q12" s="33"/>
      <c r="R12" s="4"/>
      <c r="S12" s="4"/>
      <c r="T12" s="4"/>
      <c r="U12" s="4"/>
      <c r="V12" s="4"/>
      <c r="W12" s="4"/>
      <c r="X12" s="4"/>
      <c r="Y12" s="4"/>
      <c r="Z12" s="4"/>
    </row>
    <row r="13" spans="1:26" ht="13.5" customHeight="1">
      <c r="A13" s="4" t="e">
        <v>#REF!</v>
      </c>
      <c r="B13" s="4" t="s">
        <v>82</v>
      </c>
      <c r="C13" s="36"/>
      <c r="D13" s="37" t="s">
        <v>82</v>
      </c>
      <c r="E13" s="35">
        <f>SUM(E7, E10)</f>
        <v>261134.29000000004</v>
      </c>
      <c r="F13" s="35">
        <f t="shared" ref="F13:P13" si="2">SUM(F7, F10)</f>
        <v>259475.88</v>
      </c>
      <c r="G13" s="35">
        <f t="shared" si="2"/>
        <v>383331.17</v>
      </c>
      <c r="H13" s="35">
        <f t="shared" si="2"/>
        <v>237488.28</v>
      </c>
      <c r="I13" s="35">
        <f t="shared" si="2"/>
        <v>265998.23</v>
      </c>
      <c r="J13" s="35">
        <f t="shared" si="2"/>
        <v>324165.57</v>
      </c>
      <c r="K13" s="35">
        <f t="shared" si="2"/>
        <v>365390.34</v>
      </c>
      <c r="L13" s="35">
        <f t="shared" si="2"/>
        <v>362266.56</v>
      </c>
      <c r="M13" s="35">
        <f t="shared" si="2"/>
        <v>310518.33</v>
      </c>
      <c r="N13" s="35">
        <f t="shared" si="2"/>
        <v>301047.8</v>
      </c>
      <c r="O13" s="35">
        <f t="shared" si="2"/>
        <v>306675.5</v>
      </c>
      <c r="P13" s="35">
        <f t="shared" si="2"/>
        <v>453366.52</v>
      </c>
      <c r="Q13" s="33"/>
      <c r="R13" s="4"/>
      <c r="S13" s="4"/>
      <c r="T13" s="4"/>
      <c r="U13" s="4"/>
      <c r="V13" s="4"/>
      <c r="W13" s="4"/>
      <c r="X13" s="4"/>
      <c r="Y13" s="4"/>
      <c r="Z13" s="4"/>
    </row>
    <row r="14" spans="1:26" ht="13.5" customHeight="1" thickBot="1">
      <c r="A14" s="4" t="s">
        <v>84</v>
      </c>
      <c r="B14" s="4" t="s">
        <v>56</v>
      </c>
      <c r="C14" s="227" t="s">
        <v>84</v>
      </c>
      <c r="D14" s="228" t="s">
        <v>56</v>
      </c>
      <c r="E14" s="229">
        <f>SUMIFS('CC Actuals'!E$7:E$51, 'CC Actuals'!$A$7:$A$51, "Jutik (New Desalination Plant)",  'CC Actuals'!$B$7:$B$51, "Revenue")</f>
        <v>-14823183.890000001</v>
      </c>
      <c r="F14" s="229">
        <f>SUMIFS('CC Actuals'!F$7:F$51, 'CC Actuals'!$A$7:$A$51, "Jutik (New Desalination Plant)",  'CC Actuals'!$B$7:$B$51, "Revenue")</f>
        <v>-16339448.65</v>
      </c>
      <c r="G14" s="229">
        <f>SUMIFS('CC Actuals'!G$7:G$51, 'CC Actuals'!$A$7:$A$51, "Jutik (New Desalination Plant)",  'CC Actuals'!$B$7:$B$51, "Revenue")</f>
        <v>-14895162.68</v>
      </c>
      <c r="H14" s="229">
        <f>SUMIFS('CC Actuals'!H$7:H$51, 'CC Actuals'!$A$7:$A$51, "Jutik (New Desalination Plant)",  'CC Actuals'!$B$7:$B$51, "Revenue")</f>
        <v>-12698823.350000001</v>
      </c>
      <c r="I14" s="229">
        <f>SUMIFS('CC Actuals'!I$7:I$51, 'CC Actuals'!$A$7:$A$51, "Jutik (New Desalination Plant)",  'CC Actuals'!$B$7:$B$51, "Revenue")</f>
        <v>-14008587.450000001</v>
      </c>
      <c r="J14" s="229">
        <f>SUMIFS('CC Actuals'!J$7:J$51, 'CC Actuals'!$A$7:$A$51, "Jutik (New Desalination Plant)",  'CC Actuals'!$B$7:$B$51, "Revenue")</f>
        <v>-12192418.84</v>
      </c>
      <c r="K14" s="229">
        <f>SUMIFS('CC Actuals'!K$7:K$51, 'CC Actuals'!$A$7:$A$51, "Jutik (New Desalination Plant)",  'CC Actuals'!$B$7:$B$51, "Revenue")</f>
        <v>-17974980.299999997</v>
      </c>
      <c r="L14" s="229">
        <f>SUMIFS('CC Actuals'!L$7:L$51, 'CC Actuals'!$A$7:$A$51, "Jutik (New Desalination Plant)",  'CC Actuals'!$B$7:$B$51, "Revenue")</f>
        <v>-17248286.52</v>
      </c>
      <c r="M14" s="229">
        <f>SUMIFS('CC Actuals'!M$7:M$51, 'CC Actuals'!$A$7:$A$51, "Jutik (New Desalination Plant)",  'CC Actuals'!$B$7:$B$51, "Revenue")</f>
        <v>-17157766.699999999</v>
      </c>
      <c r="N14" s="229">
        <f>SUMIFS('CC Actuals'!N$7:N$51, 'CC Actuals'!$A$7:$A$51, "Jutik (New Desalination Plant)",  'CC Actuals'!$B$7:$B$51, "Revenue")</f>
        <v>-17481320.02</v>
      </c>
      <c r="O14" s="229">
        <f>SUMIFS('CC Actuals'!O$7:O$51, 'CC Actuals'!$A$7:$A$51, "Jutik (New Desalination Plant)",  'CC Actuals'!$B$7:$B$51, "Revenue")</f>
        <v>-17365877.739999998</v>
      </c>
      <c r="P14" s="229">
        <f>SUMIFS('CC Actuals'!P$7:P$51, 'CC Actuals'!$A$7:$A$51, "Jutik (New Desalination Plant)",  'CC Actuals'!$B$7:$B$51, "Revenue")</f>
        <v>-18008731.18</v>
      </c>
      <c r="Q14" s="33"/>
      <c r="R14" s="4"/>
      <c r="S14" s="4"/>
      <c r="T14" s="4"/>
      <c r="U14" s="4"/>
      <c r="V14" s="4"/>
      <c r="W14" s="4"/>
      <c r="X14" s="4"/>
      <c r="Y14" s="4"/>
      <c r="Z14" s="4"/>
    </row>
    <row r="15" spans="1:26" ht="13.5" customHeight="1" thickBot="1">
      <c r="A15" s="4" t="s">
        <v>84</v>
      </c>
      <c r="B15" s="4" t="s">
        <v>81</v>
      </c>
      <c r="C15" s="38"/>
      <c r="D15" s="39" t="s">
        <v>81</v>
      </c>
      <c r="E15" s="233">
        <f>SUMIFS('CC Actuals'!E$7:E$51, 'CC Actuals'!$A$7:$A$51, "Jutik (New Desalination Plant)",  'CC Actuals'!$B$7:$B$51, "Production Costs")</f>
        <v>125993.22</v>
      </c>
      <c r="F15" s="233">
        <f>SUMIFS('CC Actuals'!F$7:F$51, 'CC Actuals'!$A$7:$A$51, "Jutik (New Desalination Plant)",  'CC Actuals'!$B$7:$B$51, "Production Costs")</f>
        <v>75075.8</v>
      </c>
      <c r="G15" s="233">
        <f>SUMIFS('CC Actuals'!G$7:G$51, 'CC Actuals'!$A$7:$A$51, "Jutik (New Desalination Plant)",  'CC Actuals'!$B$7:$B$51, "Production Costs")</f>
        <v>44153.440000000002</v>
      </c>
      <c r="H15" s="233">
        <f>SUMIFS('CC Actuals'!H$7:H$51, 'CC Actuals'!$A$7:$A$51, "Jutik (New Desalination Plant)",  'CC Actuals'!$B$7:$B$51, "Production Costs")</f>
        <v>71345.01999999999</v>
      </c>
      <c r="I15" s="233">
        <f>SUMIFS('CC Actuals'!I$7:I$51, 'CC Actuals'!$A$7:$A$51, "Jutik (New Desalination Plant)",  'CC Actuals'!$B$7:$B$51, "Production Costs")</f>
        <v>-20479.969999999998</v>
      </c>
      <c r="J15" s="233">
        <f>SUMIFS('CC Actuals'!J$7:J$51, 'CC Actuals'!$A$7:$A$51, "Jutik (New Desalination Plant)",  'CC Actuals'!$B$7:$B$51, "Production Costs")</f>
        <v>9632.59</v>
      </c>
      <c r="K15" s="233">
        <f>SUMIFS('CC Actuals'!K$7:K$51, 'CC Actuals'!$A$7:$A$51, "Jutik (New Desalination Plant)",  'CC Actuals'!$B$7:$B$51, "Production Costs")</f>
        <v>476546.05</v>
      </c>
      <c r="L15" s="233">
        <f>SUMIFS('CC Actuals'!L$7:L$51, 'CC Actuals'!$A$7:$A$51, "Jutik (New Desalination Plant)",  'CC Actuals'!$B$7:$B$51, "Production Costs")</f>
        <v>464219.42</v>
      </c>
      <c r="M15" s="233">
        <f>SUMIFS('CC Actuals'!M$7:M$51, 'CC Actuals'!$A$7:$A$51, "Jutik (New Desalination Plant)",  'CC Actuals'!$B$7:$B$51, "Production Costs")</f>
        <v>221113.88999999998</v>
      </c>
      <c r="N15" s="233">
        <f>SUMIFS('CC Actuals'!N$7:N$51, 'CC Actuals'!$A$7:$A$51, "Jutik (New Desalination Plant)",  'CC Actuals'!$B$7:$B$51, "Production Costs")</f>
        <v>224277.79</v>
      </c>
      <c r="O15" s="233">
        <f>SUMIFS('CC Actuals'!O$7:O$51, 'CC Actuals'!$A$7:$A$51, "Jutik (New Desalination Plant)",  'CC Actuals'!$B$7:$B$51, "Production Costs")</f>
        <v>263709.95</v>
      </c>
      <c r="P15" s="233">
        <f>SUMIFS('CC Actuals'!P$7:P$51, 'CC Actuals'!$A$7:$A$51, "Jutik (New Desalination Plant)",  'CC Actuals'!$B$7:$B$51, "Production Costs")</f>
        <v>-77601.91</v>
      </c>
      <c r="Q15" s="33"/>
      <c r="R15" s="4"/>
      <c r="S15" s="4"/>
      <c r="T15" s="4"/>
      <c r="U15" s="4"/>
      <c r="V15" s="4"/>
      <c r="W15" s="4"/>
      <c r="X15" s="4"/>
      <c r="Y15" s="4"/>
      <c r="Z15" s="4"/>
    </row>
    <row r="16" spans="1:26" ht="13.5" customHeight="1">
      <c r="A16" s="4" t="e">
        <v>#REF!</v>
      </c>
      <c r="B16" s="4" t="s">
        <v>82</v>
      </c>
      <c r="C16" s="35"/>
      <c r="D16" s="34" t="s">
        <v>82</v>
      </c>
      <c r="E16" s="233">
        <f>SUMIFS('CC Actuals'!E$7:E$51, 'CC Actuals'!$A$7:$A$51, "Jutik (New Desalination Plant)",  'CC Actuals'!$B$7:$B$51, "Other Production Costs")</f>
        <v>855.07000000000016</v>
      </c>
      <c r="F16" s="233">
        <f>SUMIFS('CC Actuals'!F$7:F$51, 'CC Actuals'!$A$7:$A$51, "Jutik (New Desalination Plant)",  'CC Actuals'!$B$7:$B$51, "Other Production Costs")</f>
        <v>8643.11</v>
      </c>
      <c r="G16" s="233">
        <f>SUMIFS('CC Actuals'!G$7:G$51, 'CC Actuals'!$A$7:$A$51, "Jutik (New Desalination Plant)",  'CC Actuals'!$B$7:$B$51, "Other Production Costs")</f>
        <v>7004.54</v>
      </c>
      <c r="H16" s="233">
        <f>SUMIFS('CC Actuals'!H$7:H$51, 'CC Actuals'!$A$7:$A$51, "Jutik (New Desalination Plant)",  'CC Actuals'!$B$7:$B$51, "Other Production Costs")</f>
        <v>-4277.2699999999986</v>
      </c>
      <c r="I16" s="233">
        <f>SUMIFS('CC Actuals'!I$7:I$51, 'CC Actuals'!$A$7:$A$51, "Jutik (New Desalination Plant)",  'CC Actuals'!$B$7:$B$51, "Other Production Costs")</f>
        <v>9314.75</v>
      </c>
      <c r="J16" s="233">
        <f>SUMIFS('CC Actuals'!J$7:J$51, 'CC Actuals'!$A$7:$A$51, "Jutik (New Desalination Plant)",  'CC Actuals'!$B$7:$B$51, "Other Production Costs")</f>
        <v>8194.59</v>
      </c>
      <c r="K16" s="233">
        <f>SUMIFS('CC Actuals'!K$7:K$51, 'CC Actuals'!$A$7:$A$51, "Jutik (New Desalination Plant)",  'CC Actuals'!$B$7:$B$51, "Other Production Costs")</f>
        <v>12985.24</v>
      </c>
      <c r="L16" s="233">
        <f>SUMIFS('CC Actuals'!L$7:L$51, 'CC Actuals'!$A$7:$A$51, "Jutik (New Desalination Plant)",  'CC Actuals'!$B$7:$B$51, "Other Production Costs")</f>
        <v>8327.32</v>
      </c>
      <c r="M16" s="233">
        <f>SUMIFS('CC Actuals'!M$7:M$51, 'CC Actuals'!$A$7:$A$51, "Jutik (New Desalination Plant)",  'CC Actuals'!$B$7:$B$51, "Other Production Costs")</f>
        <v>12745.36</v>
      </c>
      <c r="N16" s="233">
        <f>SUMIFS('CC Actuals'!N$7:N$51, 'CC Actuals'!$A$7:$A$51, "Jutik (New Desalination Plant)",  'CC Actuals'!$B$7:$B$51, "Other Production Costs")</f>
        <v>7073.15</v>
      </c>
      <c r="O16" s="233">
        <f>SUMIFS('CC Actuals'!O$7:O$51, 'CC Actuals'!$A$7:$A$51, "Jutik (New Desalination Plant)",  'CC Actuals'!$B$7:$B$51, "Other Production Costs")</f>
        <v>8678.7800000000007</v>
      </c>
      <c r="P16" s="233">
        <f>SUMIFS('CC Actuals'!P$7:P$51, 'CC Actuals'!$A$7:$A$51, "Jutik (New Desalination Plant)",  'CC Actuals'!$B$7:$B$51, "Other Production Costs")</f>
        <v>12419.05</v>
      </c>
      <c r="Q16" s="33"/>
      <c r="R16" s="4"/>
      <c r="S16" s="4"/>
      <c r="T16" s="4"/>
      <c r="U16" s="4"/>
      <c r="V16" s="4"/>
      <c r="W16" s="4"/>
      <c r="X16" s="4"/>
      <c r="Y16" s="4"/>
      <c r="Z16" s="4"/>
    </row>
    <row r="17" spans="1:26" ht="13.5" customHeight="1">
      <c r="A17" s="4" t="s">
        <v>59</v>
      </c>
      <c r="B17" s="4" t="s">
        <v>56</v>
      </c>
      <c r="C17" s="227" t="s">
        <v>59</v>
      </c>
      <c r="D17" s="228" t="s">
        <v>56</v>
      </c>
      <c r="E17" s="229">
        <f t="shared" ref="E17:P17" si="3">E11+E14</f>
        <v>-43177586.469999999</v>
      </c>
      <c r="F17" s="229">
        <f t="shared" si="3"/>
        <v>-41352612.920000002</v>
      </c>
      <c r="G17" s="229">
        <f t="shared" si="3"/>
        <v>-41061301.68</v>
      </c>
      <c r="H17" s="229">
        <f t="shared" si="3"/>
        <v>-37704400.920000002</v>
      </c>
      <c r="I17" s="229">
        <f t="shared" si="3"/>
        <v>-37987218.090000004</v>
      </c>
      <c r="J17" s="229">
        <f t="shared" si="3"/>
        <v>-37884541.239999995</v>
      </c>
      <c r="K17" s="229">
        <f t="shared" si="3"/>
        <v>-54693279.079999998</v>
      </c>
      <c r="L17" s="229">
        <f t="shared" si="3"/>
        <v>-50838283.929999992</v>
      </c>
      <c r="M17" s="229">
        <f t="shared" si="3"/>
        <v>-50128489.950000003</v>
      </c>
      <c r="N17" s="229">
        <f t="shared" si="3"/>
        <v>-43751729.420000002</v>
      </c>
      <c r="O17" s="229">
        <f t="shared" si="3"/>
        <v>-42181248.700000003</v>
      </c>
      <c r="P17" s="229">
        <f t="shared" si="3"/>
        <v>-43906729.969999999</v>
      </c>
      <c r="Q17" s="33"/>
      <c r="R17" s="4"/>
      <c r="S17" s="4"/>
      <c r="T17" s="4"/>
      <c r="U17" s="4"/>
      <c r="V17" s="4"/>
      <c r="W17" s="4"/>
      <c r="X17" s="4"/>
      <c r="Y17" s="4"/>
      <c r="Z17" s="4"/>
    </row>
    <row r="18" spans="1:26" ht="13.5" customHeight="1">
      <c r="A18" s="4" t="s">
        <v>59</v>
      </c>
      <c r="B18" s="4" t="s">
        <v>81</v>
      </c>
      <c r="C18" s="36"/>
      <c r="D18" s="34" t="s">
        <v>81</v>
      </c>
      <c r="E18" s="35">
        <f t="shared" ref="E18:P18" si="4">E12+E15</f>
        <v>848167.17999999993</v>
      </c>
      <c r="F18" s="35">
        <f t="shared" si="4"/>
        <v>966368.24</v>
      </c>
      <c r="G18" s="35">
        <f t="shared" si="4"/>
        <v>92121.91</v>
      </c>
      <c r="H18" s="35">
        <f t="shared" si="4"/>
        <v>97869.549999999988</v>
      </c>
      <c r="I18" s="35">
        <f t="shared" si="4"/>
        <v>156550.43</v>
      </c>
      <c r="J18" s="35">
        <f t="shared" si="4"/>
        <v>693574.66999999993</v>
      </c>
      <c r="K18" s="35">
        <f t="shared" si="4"/>
        <v>536807.71</v>
      </c>
      <c r="L18" s="35">
        <f t="shared" si="4"/>
        <v>1006975.31</v>
      </c>
      <c r="M18" s="35">
        <f t="shared" si="4"/>
        <v>489816.01</v>
      </c>
      <c r="N18" s="35">
        <f t="shared" si="4"/>
        <v>346881.89</v>
      </c>
      <c r="O18" s="35">
        <f t="shared" si="4"/>
        <v>489605.13</v>
      </c>
      <c r="P18" s="35">
        <f t="shared" si="4"/>
        <v>131234.43</v>
      </c>
      <c r="Q18" s="33"/>
      <c r="R18" s="4"/>
      <c r="S18" s="4"/>
      <c r="T18" s="4"/>
      <c r="U18" s="4"/>
      <c r="V18" s="4"/>
      <c r="W18" s="4"/>
      <c r="X18" s="4"/>
      <c r="Y18" s="4"/>
      <c r="Z18" s="4"/>
    </row>
    <row r="19" spans="1:26" ht="13.5" customHeight="1">
      <c r="A19" s="4" t="e">
        <v>#REF!</v>
      </c>
      <c r="B19" s="4" t="s">
        <v>82</v>
      </c>
      <c r="C19" s="36"/>
      <c r="D19" s="37" t="s">
        <v>82</v>
      </c>
      <c r="E19" s="35">
        <f t="shared" ref="E19:P19" si="5">E13+E16</f>
        <v>261989.36000000004</v>
      </c>
      <c r="F19" s="35">
        <f t="shared" si="5"/>
        <v>268118.99</v>
      </c>
      <c r="G19" s="35">
        <f t="shared" si="5"/>
        <v>390335.70999999996</v>
      </c>
      <c r="H19" s="35">
        <f t="shared" si="5"/>
        <v>233211.01</v>
      </c>
      <c r="I19" s="35">
        <f t="shared" si="5"/>
        <v>275312.98</v>
      </c>
      <c r="J19" s="35">
        <f t="shared" si="5"/>
        <v>332360.16000000003</v>
      </c>
      <c r="K19" s="35">
        <f t="shared" si="5"/>
        <v>378375.58</v>
      </c>
      <c r="L19" s="35">
        <f t="shared" si="5"/>
        <v>370593.88</v>
      </c>
      <c r="M19" s="35">
        <f t="shared" si="5"/>
        <v>323263.69</v>
      </c>
      <c r="N19" s="35">
        <f t="shared" si="5"/>
        <v>308120.95</v>
      </c>
      <c r="O19" s="35">
        <f t="shared" si="5"/>
        <v>315354.28000000003</v>
      </c>
      <c r="P19" s="35">
        <f t="shared" si="5"/>
        <v>465785.57</v>
      </c>
      <c r="Q19" s="33"/>
      <c r="R19" s="4"/>
      <c r="S19" s="4"/>
      <c r="T19" s="4"/>
      <c r="U19" s="4"/>
      <c r="V19" s="4"/>
      <c r="W19" s="4"/>
      <c r="X19" s="4"/>
      <c r="Y19" s="4"/>
      <c r="Z19" s="4"/>
    </row>
    <row r="20" spans="1:26" ht="13.5" customHeight="1">
      <c r="A20" s="155" t="e">
        <v>#REF!</v>
      </c>
      <c r="B20" s="155" t="e">
        <v>#REF!</v>
      </c>
      <c r="C20" s="40"/>
      <c r="D20" s="40"/>
      <c r="E20" s="41"/>
      <c r="F20" s="41"/>
      <c r="G20" s="41"/>
      <c r="H20" s="41"/>
      <c r="I20" s="41"/>
      <c r="J20" s="41"/>
      <c r="K20" s="41"/>
      <c r="L20" s="41"/>
      <c r="M20" s="41"/>
      <c r="N20" s="41"/>
      <c r="O20" s="41"/>
      <c r="P20" s="41"/>
      <c r="Q20" s="4"/>
      <c r="R20" s="4"/>
      <c r="S20" s="4"/>
      <c r="T20" s="4"/>
      <c r="U20" s="4"/>
      <c r="V20" s="4"/>
      <c r="W20" s="4"/>
      <c r="X20" s="4"/>
      <c r="Y20" s="4"/>
      <c r="Z20" s="4"/>
    </row>
    <row r="21" spans="1:26" ht="49.5" customHeight="1">
      <c r="A21" s="151" t="s">
        <v>85</v>
      </c>
      <c r="B21" s="151" t="e">
        <v>#REF!</v>
      </c>
      <c r="C21" s="42" t="s">
        <v>86</v>
      </c>
      <c r="D21" s="43"/>
      <c r="E21" s="44"/>
      <c r="F21" s="44"/>
      <c r="G21" s="44"/>
      <c r="H21" s="44"/>
      <c r="I21" s="44"/>
      <c r="J21" s="44"/>
      <c r="K21" s="44"/>
      <c r="L21" s="44"/>
      <c r="M21" s="44"/>
      <c r="N21" s="44"/>
      <c r="O21" s="44"/>
      <c r="P21" s="44"/>
      <c r="Q21" s="151"/>
      <c r="R21" s="156"/>
      <c r="S21" s="156"/>
      <c r="T21" s="151"/>
      <c r="U21" s="151"/>
      <c r="V21" s="151"/>
      <c r="W21" s="151"/>
      <c r="X21" s="151"/>
      <c r="Y21" s="151"/>
      <c r="Z21" s="151"/>
    </row>
    <row r="22" spans="1:26" ht="13.5" customHeight="1">
      <c r="A22" s="157" t="s">
        <v>80</v>
      </c>
      <c r="B22" s="157" t="e">
        <v>#REF!</v>
      </c>
      <c r="C22" s="45" t="s">
        <v>80</v>
      </c>
      <c r="D22" s="46"/>
      <c r="E22" s="47" t="s">
        <v>43</v>
      </c>
      <c r="F22" s="47" t="s">
        <v>44</v>
      </c>
      <c r="G22" s="47" t="s">
        <v>45</v>
      </c>
      <c r="H22" s="47" t="s">
        <v>46</v>
      </c>
      <c r="I22" s="47" t="s">
        <v>47</v>
      </c>
      <c r="J22" s="47" t="s">
        <v>48</v>
      </c>
      <c r="K22" s="47" t="s">
        <v>49</v>
      </c>
      <c r="L22" s="47" t="s">
        <v>50</v>
      </c>
      <c r="M22" s="47" t="s">
        <v>51</v>
      </c>
      <c r="N22" s="47" t="s">
        <v>52</v>
      </c>
      <c r="O22" s="47" t="s">
        <v>53</v>
      </c>
      <c r="P22" s="47" t="s">
        <v>54</v>
      </c>
      <c r="Q22" s="2"/>
      <c r="R22" s="48"/>
      <c r="S22" s="48"/>
      <c r="T22" s="2"/>
      <c r="U22" s="2"/>
      <c r="V22" s="2"/>
      <c r="W22" s="2"/>
      <c r="X22" s="2"/>
      <c r="Y22" s="2"/>
      <c r="Z22" s="2"/>
    </row>
    <row r="23" spans="1:26" ht="13.5" customHeight="1">
      <c r="A23" s="155" t="s">
        <v>55</v>
      </c>
      <c r="B23" s="155" t="s">
        <v>87</v>
      </c>
      <c r="C23" s="45" t="s">
        <v>55</v>
      </c>
      <c r="D23" s="49" t="s">
        <v>61</v>
      </c>
      <c r="E23" s="50">
        <v>1660775.16</v>
      </c>
      <c r="F23" s="50">
        <v>1882661.78</v>
      </c>
      <c r="G23" s="50">
        <v>1878601.17</v>
      </c>
      <c r="H23" s="50">
        <v>1759792.56</v>
      </c>
      <c r="I23" s="50">
        <v>1854687.19</v>
      </c>
      <c r="J23" s="50">
        <v>1753760.55</v>
      </c>
      <c r="K23" s="50">
        <v>1620793.23</v>
      </c>
      <c r="L23" s="50">
        <v>1915139.62</v>
      </c>
      <c r="M23" s="50">
        <v>1887212.38</v>
      </c>
      <c r="N23" s="50">
        <v>1899981.36</v>
      </c>
      <c r="O23" s="50">
        <v>2063628.24</v>
      </c>
      <c r="P23" s="50">
        <v>1347335.77</v>
      </c>
      <c r="Q23" s="33"/>
      <c r="R23" s="51"/>
      <c r="S23" s="51"/>
      <c r="T23" s="4"/>
      <c r="U23" s="4"/>
      <c r="V23" s="4"/>
      <c r="W23" s="4"/>
      <c r="X23" s="4"/>
      <c r="Y23" s="4"/>
      <c r="Z23" s="4"/>
    </row>
    <row r="24" spans="1:26" ht="13.5" customHeight="1">
      <c r="A24" s="155" t="s">
        <v>55</v>
      </c>
      <c r="B24" s="155" t="s">
        <v>88</v>
      </c>
      <c r="C24" s="52"/>
      <c r="D24" s="53" t="s">
        <v>72</v>
      </c>
      <c r="E24" s="50">
        <v>7709.15</v>
      </c>
      <c r="F24" s="50">
        <v>1066401.06</v>
      </c>
      <c r="G24" s="50">
        <v>72158.179999999993</v>
      </c>
      <c r="H24" s="50">
        <v>15978.49</v>
      </c>
      <c r="I24" s="50">
        <v>11562.7</v>
      </c>
      <c r="J24" s="50">
        <v>-18117.099999999999</v>
      </c>
      <c r="K24" s="50">
        <v>17085</v>
      </c>
      <c r="L24" s="50">
        <v>17485.009999999998</v>
      </c>
      <c r="M24" s="50">
        <v>46677.75</v>
      </c>
      <c r="N24" s="50">
        <v>16900.28</v>
      </c>
      <c r="O24" s="50">
        <v>48263.63</v>
      </c>
      <c r="P24" s="50">
        <v>250129.47</v>
      </c>
      <c r="Q24" s="33"/>
      <c r="R24" s="51"/>
      <c r="S24" s="51"/>
      <c r="T24" s="4"/>
      <c r="U24" s="4"/>
      <c r="V24" s="4"/>
      <c r="W24" s="4"/>
      <c r="X24" s="4"/>
      <c r="Y24" s="4"/>
      <c r="Z24" s="4"/>
    </row>
    <row r="25" spans="1:26" ht="13.5" customHeight="1">
      <c r="A25" s="155" t="s">
        <v>55</v>
      </c>
      <c r="B25" s="155" t="s">
        <v>89</v>
      </c>
      <c r="C25" s="52"/>
      <c r="D25" s="53" t="s">
        <v>62</v>
      </c>
      <c r="E25" s="50">
        <v>1685877.8999999899</v>
      </c>
      <c r="F25" s="50">
        <v>1685901.65</v>
      </c>
      <c r="G25" s="50">
        <v>1668238.51999999</v>
      </c>
      <c r="H25" s="50">
        <v>1651823.96</v>
      </c>
      <c r="I25" s="50">
        <v>1659145.69</v>
      </c>
      <c r="J25" s="50">
        <v>1647704.55</v>
      </c>
      <c r="K25" s="50">
        <v>2619960.0499999998</v>
      </c>
      <c r="L25" s="50">
        <v>1647287.49</v>
      </c>
      <c r="M25" s="50">
        <v>1636136.29</v>
      </c>
      <c r="N25" s="50">
        <v>1665275.95</v>
      </c>
      <c r="O25" s="50">
        <v>1689141.38</v>
      </c>
      <c r="P25" s="50">
        <v>2741563.9</v>
      </c>
      <c r="Q25" s="33"/>
      <c r="R25" s="51"/>
      <c r="S25" s="51"/>
      <c r="T25" s="4"/>
      <c r="U25" s="4"/>
      <c r="V25" s="4"/>
      <c r="W25" s="4"/>
      <c r="X25" s="4"/>
      <c r="Y25" s="4"/>
      <c r="Z25" s="4"/>
    </row>
    <row r="26" spans="1:26" ht="13.5" customHeight="1">
      <c r="A26" s="155" t="s">
        <v>55</v>
      </c>
      <c r="B26" s="155" t="s">
        <v>90</v>
      </c>
      <c r="C26" s="52"/>
      <c r="D26" s="53" t="s">
        <v>63</v>
      </c>
      <c r="E26" s="50">
        <v>878.82</v>
      </c>
      <c r="F26" s="50">
        <v>1006.6</v>
      </c>
      <c r="G26" s="50">
        <v>10537.1</v>
      </c>
      <c r="H26" s="50">
        <v>17428.5</v>
      </c>
      <c r="I26" s="50">
        <v>12490.52</v>
      </c>
      <c r="J26" s="50">
        <v>19369.400000000001</v>
      </c>
      <c r="K26" s="50">
        <v>16824.599999999999</v>
      </c>
      <c r="L26" s="50">
        <v>18901.259999999998</v>
      </c>
      <c r="M26" s="50">
        <v>20589.740000000002</v>
      </c>
      <c r="N26" s="50">
        <v>16258.14</v>
      </c>
      <c r="O26" s="50">
        <v>20075.5</v>
      </c>
      <c r="P26" s="50">
        <v>17316.689999999999</v>
      </c>
      <c r="Q26" s="33"/>
      <c r="R26" s="51"/>
      <c r="S26" s="51"/>
      <c r="T26" s="4"/>
      <c r="U26" s="4"/>
      <c r="V26" s="4"/>
      <c r="W26" s="4"/>
      <c r="X26" s="4"/>
      <c r="Y26" s="4"/>
      <c r="Z26" s="4"/>
    </row>
    <row r="27" spans="1:26" ht="13.5" customHeight="1">
      <c r="A27" s="157" t="e">
        <v>#REF!</v>
      </c>
      <c r="B27" s="157" t="s">
        <v>91</v>
      </c>
      <c r="C27" s="45"/>
      <c r="D27" s="46" t="s">
        <v>59</v>
      </c>
      <c r="E27" s="47">
        <f t="shared" ref="E27:P27" si="6">SUM(E23:E26)</f>
        <v>3355241.0299999896</v>
      </c>
      <c r="F27" s="47">
        <f t="shared" si="6"/>
        <v>4635971.09</v>
      </c>
      <c r="G27" s="47">
        <f t="shared" si="6"/>
        <v>3629534.96999999</v>
      </c>
      <c r="H27" s="47">
        <f t="shared" si="6"/>
        <v>3445023.51</v>
      </c>
      <c r="I27" s="47">
        <f t="shared" si="6"/>
        <v>3537886.1</v>
      </c>
      <c r="J27" s="47">
        <f t="shared" si="6"/>
        <v>3402717.4</v>
      </c>
      <c r="K27" s="47">
        <f t="shared" si="6"/>
        <v>4274662.879999999</v>
      </c>
      <c r="L27" s="47">
        <f t="shared" si="6"/>
        <v>3598813.38</v>
      </c>
      <c r="M27" s="47">
        <f t="shared" si="6"/>
        <v>3590616.16</v>
      </c>
      <c r="N27" s="47">
        <f t="shared" si="6"/>
        <v>3598415.73</v>
      </c>
      <c r="O27" s="47">
        <f t="shared" si="6"/>
        <v>3821108.75</v>
      </c>
      <c r="P27" s="47">
        <f t="shared" si="6"/>
        <v>4356345.83</v>
      </c>
      <c r="Q27" s="33"/>
      <c r="R27" s="48"/>
      <c r="S27" s="48"/>
      <c r="T27" s="2"/>
      <c r="U27" s="2"/>
      <c r="V27" s="2"/>
      <c r="W27" s="2"/>
      <c r="X27" s="2"/>
      <c r="Y27" s="2"/>
      <c r="Z27" s="2"/>
    </row>
    <row r="28" spans="1:26" ht="13.5" customHeight="1">
      <c r="A28" s="155" t="s">
        <v>69</v>
      </c>
      <c r="B28" s="155" t="s">
        <v>87</v>
      </c>
      <c r="C28" s="45" t="s">
        <v>69</v>
      </c>
      <c r="D28" s="49" t="s">
        <v>61</v>
      </c>
      <c r="E28" s="50">
        <v>8236650.0599999996</v>
      </c>
      <c r="F28" s="50">
        <v>8019736.71</v>
      </c>
      <c r="G28" s="50">
        <v>6010164.9299999997</v>
      </c>
      <c r="H28" s="50">
        <v>6104730.9699999997</v>
      </c>
      <c r="I28" s="50">
        <v>5605441.4000000004</v>
      </c>
      <c r="J28" s="50">
        <v>4339200.82</v>
      </c>
      <c r="K28" s="50">
        <v>6746235.25</v>
      </c>
      <c r="L28" s="50">
        <v>6392627.5199999996</v>
      </c>
      <c r="M28" s="50">
        <v>6555421.1399999997</v>
      </c>
      <c r="N28" s="50">
        <v>6696727.5300000003</v>
      </c>
      <c r="O28" s="50">
        <v>7848392.9500000002</v>
      </c>
      <c r="P28" s="50">
        <v>4237225.5199999996</v>
      </c>
      <c r="Q28" s="33"/>
      <c r="R28" s="51"/>
      <c r="S28" s="4"/>
      <c r="T28" s="4"/>
      <c r="U28" s="4"/>
      <c r="V28" s="4"/>
      <c r="W28" s="4"/>
      <c r="X28" s="4"/>
      <c r="Y28" s="4"/>
      <c r="Z28" s="4"/>
    </row>
    <row r="29" spans="1:26" ht="13.5" customHeight="1">
      <c r="A29" s="155" t="s">
        <v>69</v>
      </c>
      <c r="B29" s="155" t="s">
        <v>88</v>
      </c>
      <c r="C29" s="52"/>
      <c r="D29" s="53" t="s">
        <v>72</v>
      </c>
      <c r="E29" s="50">
        <v>575840.04</v>
      </c>
      <c r="F29" s="50">
        <v>742046.31</v>
      </c>
      <c r="G29" s="50">
        <v>3531242.58</v>
      </c>
      <c r="H29" s="50">
        <v>6871281.2999999998</v>
      </c>
      <c r="I29" s="50">
        <v>10153894.52</v>
      </c>
      <c r="J29" s="50">
        <v>2413342.09</v>
      </c>
      <c r="K29" s="50">
        <v>-1735046.71</v>
      </c>
      <c r="L29" s="50">
        <v>142274.4</v>
      </c>
      <c r="M29" s="50">
        <v>30111.13</v>
      </c>
      <c r="N29" s="50">
        <v>-31339</v>
      </c>
      <c r="O29" s="50">
        <v>848921.26</v>
      </c>
      <c r="P29" s="50">
        <v>184027.21</v>
      </c>
      <c r="Q29" s="33"/>
      <c r="R29" s="4"/>
      <c r="S29" s="4"/>
      <c r="T29" s="4"/>
      <c r="U29" s="4"/>
      <c r="V29" s="4"/>
      <c r="W29" s="4"/>
      <c r="X29" s="4"/>
      <c r="Y29" s="4"/>
      <c r="Z29" s="4"/>
    </row>
    <row r="30" spans="1:26" ht="13.5" customHeight="1">
      <c r="A30" s="155" t="e">
        <v>#REF!</v>
      </c>
      <c r="B30" s="155" t="s">
        <v>89</v>
      </c>
      <c r="C30" s="52"/>
      <c r="D30" s="53" t="s">
        <v>62</v>
      </c>
      <c r="E30" s="50">
        <v>2410257.9</v>
      </c>
      <c r="F30" s="50">
        <v>4486991.42</v>
      </c>
      <c r="G30" s="50">
        <v>4325446.47</v>
      </c>
      <c r="H30" s="50">
        <v>5280190.1399999997</v>
      </c>
      <c r="I30" s="50">
        <v>4134832.09</v>
      </c>
      <c r="J30" s="50">
        <v>3333289.66</v>
      </c>
      <c r="K30" s="50">
        <v>4421187.67</v>
      </c>
      <c r="L30" s="50">
        <v>4776648.3099999996</v>
      </c>
      <c r="M30" s="50">
        <v>3382388.78</v>
      </c>
      <c r="N30" s="50">
        <v>4275968.68</v>
      </c>
      <c r="O30" s="50">
        <v>4142342.03</v>
      </c>
      <c r="P30" s="50">
        <v>2128528.12</v>
      </c>
      <c r="Q30" s="33"/>
      <c r="R30" s="4"/>
      <c r="S30" s="4"/>
      <c r="T30" s="4"/>
      <c r="U30" s="4"/>
      <c r="V30" s="4"/>
      <c r="W30" s="4"/>
      <c r="X30" s="4"/>
      <c r="Y30" s="4"/>
      <c r="Z30" s="4"/>
    </row>
    <row r="31" spans="1:26" ht="12" customHeight="1" thickBot="1">
      <c r="A31" s="155" t="e">
        <v>#REF!</v>
      </c>
      <c r="B31" s="155" t="s">
        <v>90</v>
      </c>
      <c r="C31" s="52"/>
      <c r="D31" s="53" t="s">
        <v>63</v>
      </c>
      <c r="E31" s="50">
        <v>199665.93</v>
      </c>
      <c r="F31" s="50">
        <v>511931.56</v>
      </c>
      <c r="G31" s="50">
        <v>40986.74</v>
      </c>
      <c r="H31" s="50">
        <v>390996.21</v>
      </c>
      <c r="I31" s="50">
        <v>277530.65000000002</v>
      </c>
      <c r="J31" s="50">
        <v>226542.21</v>
      </c>
      <c r="K31" s="50">
        <v>209630.52</v>
      </c>
      <c r="L31" s="50">
        <v>40707.440000000002</v>
      </c>
      <c r="M31" s="50">
        <v>381418.97</v>
      </c>
      <c r="N31" s="50">
        <v>181359.76</v>
      </c>
      <c r="O31" s="50">
        <v>203449.96</v>
      </c>
      <c r="P31" s="50">
        <v>205591.67</v>
      </c>
      <c r="Q31" s="33"/>
      <c r="R31" s="4"/>
      <c r="S31" s="4"/>
      <c r="T31" s="4"/>
      <c r="U31" s="4"/>
      <c r="V31" s="4"/>
      <c r="W31" s="4"/>
      <c r="X31" s="4"/>
      <c r="Y31" s="4"/>
      <c r="Z31" s="4"/>
    </row>
    <row r="32" spans="1:26" ht="12" customHeight="1">
      <c r="A32" s="157" t="e">
        <v>#REF!</v>
      </c>
      <c r="B32" s="157" t="s">
        <v>91</v>
      </c>
      <c r="C32" s="54"/>
      <c r="D32" s="55" t="s">
        <v>59</v>
      </c>
      <c r="E32" s="238">
        <f t="shared" ref="E32:P32" si="7">SUM(E28:E31)</f>
        <v>11422413.93</v>
      </c>
      <c r="F32" s="238">
        <f t="shared" si="7"/>
        <v>13760706</v>
      </c>
      <c r="G32" s="238">
        <f t="shared" si="7"/>
        <v>13907840.720000001</v>
      </c>
      <c r="H32" s="238">
        <f t="shared" si="7"/>
        <v>18647198.620000001</v>
      </c>
      <c r="I32" s="238">
        <f t="shared" si="7"/>
        <v>20171698.659999996</v>
      </c>
      <c r="J32" s="238">
        <f t="shared" si="7"/>
        <v>10312374.780000001</v>
      </c>
      <c r="K32" s="238">
        <f t="shared" si="7"/>
        <v>9642006.7300000004</v>
      </c>
      <c r="L32" s="238">
        <f t="shared" si="7"/>
        <v>11352257.67</v>
      </c>
      <c r="M32" s="238">
        <f t="shared" si="7"/>
        <v>10349340.02</v>
      </c>
      <c r="N32" s="238">
        <f t="shared" si="7"/>
        <v>11122716.970000001</v>
      </c>
      <c r="O32" s="238">
        <f t="shared" si="7"/>
        <v>13043106.200000001</v>
      </c>
      <c r="P32" s="238">
        <f t="shared" si="7"/>
        <v>6755372.5199999996</v>
      </c>
      <c r="Q32" s="33"/>
      <c r="R32" s="2"/>
      <c r="S32" s="2"/>
      <c r="T32" s="2"/>
      <c r="U32" s="2"/>
      <c r="V32" s="2"/>
      <c r="W32" s="2"/>
      <c r="X32" s="2"/>
      <c r="Y32" s="2"/>
      <c r="Z32" s="2"/>
    </row>
    <row r="33" spans="1:26" ht="12" customHeight="1">
      <c r="A33" s="155" t="s">
        <v>84</v>
      </c>
      <c r="B33" s="155" t="e">
        <v>#REF!</v>
      </c>
      <c r="C33" s="45" t="s">
        <v>84</v>
      </c>
      <c r="D33" s="53"/>
      <c r="E33" s="50"/>
      <c r="F33" s="50"/>
      <c r="G33" s="50"/>
      <c r="H33" s="50"/>
      <c r="I33" s="50"/>
      <c r="J33" s="50"/>
      <c r="K33" s="50"/>
      <c r="L33" s="50"/>
      <c r="M33" s="50"/>
      <c r="N33" s="50"/>
      <c r="O33" s="50"/>
      <c r="P33" s="50"/>
      <c r="Q33" s="33"/>
      <c r="R33" s="4"/>
      <c r="S33" s="4"/>
      <c r="T33" s="4"/>
      <c r="U33" s="4"/>
      <c r="V33" s="4"/>
      <c r="W33" s="4"/>
      <c r="X33" s="4"/>
      <c r="Y33" s="4"/>
      <c r="Z33" s="4"/>
    </row>
    <row r="34" spans="1:26" ht="12" customHeight="1">
      <c r="A34" s="155" t="s">
        <v>84</v>
      </c>
      <c r="B34" s="155" t="s">
        <v>87</v>
      </c>
      <c r="C34" s="52"/>
      <c r="D34" s="53" t="s">
        <v>61</v>
      </c>
      <c r="E34" s="50">
        <v>1584926.3</v>
      </c>
      <c r="F34" s="50">
        <v>1965578.13</v>
      </c>
      <c r="G34" s="50">
        <v>1710315.75</v>
      </c>
      <c r="H34" s="50">
        <v>1970319.43</v>
      </c>
      <c r="I34" s="50">
        <v>1676646.07</v>
      </c>
      <c r="J34" s="50">
        <v>1665841.08</v>
      </c>
      <c r="K34" s="50">
        <v>2913995.81</v>
      </c>
      <c r="L34" s="50">
        <v>1779367.99</v>
      </c>
      <c r="M34" s="50">
        <v>1105732.53</v>
      </c>
      <c r="N34" s="50">
        <v>528678.19999999995</v>
      </c>
      <c r="O34" s="50">
        <v>782268.79</v>
      </c>
      <c r="P34" s="50">
        <v>1275673.75</v>
      </c>
      <c r="Q34" s="33"/>
      <c r="R34" s="4"/>
      <c r="S34" s="4"/>
      <c r="T34" s="4"/>
      <c r="U34" s="4"/>
      <c r="V34" s="4"/>
      <c r="W34" s="4"/>
      <c r="X34" s="4"/>
      <c r="Y34" s="4"/>
      <c r="Z34" s="4"/>
    </row>
    <row r="35" spans="1:26" ht="12" customHeight="1">
      <c r="A35" s="155" t="s">
        <v>84</v>
      </c>
      <c r="B35" s="155" t="s">
        <v>88</v>
      </c>
      <c r="C35" s="52"/>
      <c r="D35" s="53" t="s">
        <v>72</v>
      </c>
      <c r="E35" s="50">
        <v>1275400.27</v>
      </c>
      <c r="F35" s="50">
        <v>1150303.1499999999</v>
      </c>
      <c r="G35" s="50">
        <v>1716925.39</v>
      </c>
      <c r="H35" s="50">
        <v>643390.05000000005</v>
      </c>
      <c r="I35" s="50">
        <v>929947.65</v>
      </c>
      <c r="J35" s="50">
        <v>168938.16</v>
      </c>
      <c r="K35" s="50">
        <v>-416525.42</v>
      </c>
      <c r="L35" s="50">
        <v>-36101.42</v>
      </c>
      <c r="M35" s="50">
        <v>1480756.03</v>
      </c>
      <c r="N35" s="50">
        <v>434296.79</v>
      </c>
      <c r="O35" s="50">
        <v>468872.97</v>
      </c>
      <c r="P35" s="50">
        <v>1844875.1</v>
      </c>
      <c r="Q35" s="33"/>
      <c r="R35" s="4"/>
      <c r="S35" s="4"/>
      <c r="T35" s="4"/>
      <c r="U35" s="4"/>
      <c r="V35" s="4"/>
      <c r="W35" s="4"/>
      <c r="X35" s="4"/>
      <c r="Y35" s="4"/>
      <c r="Z35" s="4"/>
    </row>
    <row r="36" spans="1:26" ht="12" customHeight="1">
      <c r="A36" s="155" t="e">
        <v>#REF!</v>
      </c>
      <c r="B36" s="155" t="s">
        <v>89</v>
      </c>
      <c r="C36" s="52"/>
      <c r="D36" s="53" t="s">
        <v>62</v>
      </c>
      <c r="E36" s="50">
        <v>1813732.65</v>
      </c>
      <c r="F36" s="50">
        <v>1048170.75</v>
      </c>
      <c r="G36" s="50">
        <v>1872648.41</v>
      </c>
      <c r="H36" s="50">
        <v>1889759.54</v>
      </c>
      <c r="I36" s="50">
        <v>1113563.7</v>
      </c>
      <c r="J36" s="50">
        <v>1034356.38</v>
      </c>
      <c r="K36" s="50">
        <v>269892.73</v>
      </c>
      <c r="L36" s="50">
        <v>919150.37</v>
      </c>
      <c r="M36" s="50">
        <v>942683.48</v>
      </c>
      <c r="N36" s="50">
        <v>995364.67</v>
      </c>
      <c r="O36" s="50">
        <v>1011943.25</v>
      </c>
      <c r="P36" s="50">
        <v>1223544.05</v>
      </c>
      <c r="Q36" s="33"/>
      <c r="R36" s="4"/>
      <c r="S36" s="4"/>
      <c r="T36" s="4"/>
      <c r="U36" s="4"/>
      <c r="V36" s="4"/>
      <c r="W36" s="4"/>
      <c r="X36" s="4"/>
      <c r="Y36" s="4"/>
      <c r="Z36" s="4"/>
    </row>
    <row r="37" spans="1:26" ht="12" customHeight="1">
      <c r="A37" s="155" t="e">
        <v>#REF!</v>
      </c>
      <c r="B37" s="155" t="s">
        <v>92</v>
      </c>
      <c r="C37" s="52"/>
      <c r="D37" s="53" t="s">
        <v>70</v>
      </c>
      <c r="E37" s="50">
        <v>24299.040000000001</v>
      </c>
      <c r="F37" s="50">
        <v>10507.23</v>
      </c>
      <c r="G37" s="50">
        <v>16048.67</v>
      </c>
      <c r="H37" s="50">
        <v>-1397.87</v>
      </c>
      <c r="I37" s="50">
        <v>53153.16</v>
      </c>
      <c r="J37" s="50">
        <v>-42386.63</v>
      </c>
      <c r="K37" s="50">
        <v>-15946.92</v>
      </c>
      <c r="L37" s="50">
        <v>16406.28</v>
      </c>
      <c r="M37" s="50">
        <v>10269.700000000001</v>
      </c>
      <c r="N37" s="50">
        <v>40859.49</v>
      </c>
      <c r="O37" s="50">
        <v>114800.28</v>
      </c>
      <c r="P37" s="50">
        <v>281820.46000000002</v>
      </c>
      <c r="Q37" s="33"/>
      <c r="R37" s="4"/>
      <c r="S37" s="4"/>
      <c r="T37" s="4"/>
      <c r="U37" s="4"/>
      <c r="V37" s="4"/>
      <c r="W37" s="4"/>
      <c r="X37" s="4"/>
      <c r="Y37" s="4"/>
      <c r="Z37" s="4"/>
    </row>
    <row r="38" spans="1:26" ht="12" customHeight="1">
      <c r="A38" s="155" t="e">
        <v>#REF!</v>
      </c>
      <c r="B38" s="155" t="s">
        <v>90</v>
      </c>
      <c r="C38" s="254"/>
      <c r="D38" s="255" t="s">
        <v>63</v>
      </c>
      <c r="E38" s="256">
        <v>457109.56</v>
      </c>
      <c r="F38" s="256">
        <v>-67339.98</v>
      </c>
      <c r="G38" s="256">
        <v>236049.1</v>
      </c>
      <c r="H38" s="256">
        <v>167955.29</v>
      </c>
      <c r="I38" s="256">
        <v>197957.81</v>
      </c>
      <c r="J38" s="256">
        <v>117851.06</v>
      </c>
      <c r="K38" s="256">
        <v>392402.96</v>
      </c>
      <c r="L38" s="256">
        <v>20863.52</v>
      </c>
      <c r="M38" s="256">
        <v>256058.33</v>
      </c>
      <c r="N38" s="256">
        <v>67489.41</v>
      </c>
      <c r="O38" s="256">
        <v>290816.99</v>
      </c>
      <c r="P38" s="256">
        <v>135589.07</v>
      </c>
      <c r="Q38" s="33"/>
      <c r="R38" s="4"/>
      <c r="S38" s="4"/>
      <c r="T38" s="4"/>
      <c r="U38" s="4"/>
      <c r="V38" s="4"/>
      <c r="W38" s="4"/>
      <c r="X38" s="4"/>
      <c r="Y38" s="4"/>
      <c r="Z38" s="4"/>
    </row>
    <row r="39" spans="1:26" ht="12" customHeight="1">
      <c r="A39" s="155" t="e">
        <v>#REF!</v>
      </c>
      <c r="B39" s="155" t="s">
        <v>91</v>
      </c>
      <c r="C39" s="257"/>
      <c r="D39" s="258" t="s">
        <v>59</v>
      </c>
      <c r="E39" s="259">
        <f t="shared" ref="E39:P39" si="8">SUM(E34:E38)</f>
        <v>5155467.82</v>
      </c>
      <c r="F39" s="259">
        <f t="shared" si="8"/>
        <v>4107219.28</v>
      </c>
      <c r="G39" s="259">
        <f t="shared" si="8"/>
        <v>5551987.3199999994</v>
      </c>
      <c r="H39" s="259">
        <f t="shared" si="8"/>
        <v>4670026.4399999995</v>
      </c>
      <c r="I39" s="259">
        <f t="shared" si="8"/>
        <v>3971268.39</v>
      </c>
      <c r="J39" s="259">
        <f t="shared" si="8"/>
        <v>2944600.0500000003</v>
      </c>
      <c r="K39" s="259">
        <f t="shared" si="8"/>
        <v>3143819.16</v>
      </c>
      <c r="L39" s="259">
        <f t="shared" si="8"/>
        <v>2699686.7399999998</v>
      </c>
      <c r="M39" s="259">
        <f t="shared" si="8"/>
        <v>3795500.0700000003</v>
      </c>
      <c r="N39" s="259">
        <f t="shared" si="8"/>
        <v>2066688.56</v>
      </c>
      <c r="O39" s="259">
        <f t="shared" si="8"/>
        <v>2668702.2799999993</v>
      </c>
      <c r="P39" s="259">
        <f t="shared" si="8"/>
        <v>4761502.4300000006</v>
      </c>
      <c r="Q39" s="4"/>
      <c r="R39" s="4"/>
      <c r="S39" s="4"/>
      <c r="T39" s="4"/>
      <c r="U39" s="4"/>
      <c r="V39" s="4"/>
      <c r="W39" s="4"/>
      <c r="X39" s="4"/>
      <c r="Y39" s="4"/>
      <c r="Z39" s="4"/>
    </row>
    <row r="40" spans="1:26" ht="36.75" customHeight="1">
      <c r="A40" s="151"/>
      <c r="B40" s="151"/>
      <c r="C40" s="56" t="s">
        <v>93</v>
      </c>
      <c r="D40" s="57"/>
      <c r="E40" s="58"/>
      <c r="F40" s="58"/>
      <c r="G40" s="58"/>
      <c r="H40" s="58"/>
      <c r="I40" s="58"/>
      <c r="J40" s="58"/>
      <c r="K40" s="58"/>
      <c r="L40" s="58"/>
      <c r="M40" s="58"/>
      <c r="N40" s="58"/>
      <c r="O40" s="58"/>
      <c r="P40" s="58"/>
      <c r="Q40" s="151"/>
      <c r="R40" s="151"/>
      <c r="S40" s="151"/>
      <c r="T40" s="151"/>
      <c r="U40" s="151"/>
      <c r="V40" s="151"/>
      <c r="W40" s="151"/>
      <c r="X40" s="151"/>
      <c r="Y40" s="151"/>
      <c r="Z40" s="151"/>
    </row>
    <row r="41" spans="1:26" ht="12" customHeight="1">
      <c r="A41" s="4" t="s">
        <v>94</v>
      </c>
      <c r="B41" s="4" t="e">
        <v>#REF!</v>
      </c>
      <c r="C41" s="59" t="s">
        <v>94</v>
      </c>
      <c r="D41" s="31"/>
      <c r="E41" s="30" t="s">
        <v>43</v>
      </c>
      <c r="F41" s="30" t="s">
        <v>44</v>
      </c>
      <c r="G41" s="30" t="s">
        <v>45</v>
      </c>
      <c r="H41" s="30" t="s">
        <v>46</v>
      </c>
      <c r="I41" s="30" t="s">
        <v>47</v>
      </c>
      <c r="J41" s="30" t="s">
        <v>48</v>
      </c>
      <c r="K41" s="30" t="s">
        <v>49</v>
      </c>
      <c r="L41" s="30" t="s">
        <v>50</v>
      </c>
      <c r="M41" s="30" t="s">
        <v>51</v>
      </c>
      <c r="N41" s="30" t="s">
        <v>52</v>
      </c>
      <c r="O41" s="30" t="s">
        <v>53</v>
      </c>
      <c r="P41" s="30" t="s">
        <v>54</v>
      </c>
      <c r="Q41" s="2"/>
      <c r="R41" s="4"/>
      <c r="S41" s="4"/>
      <c r="T41" s="4"/>
      <c r="U41" s="4"/>
      <c r="V41" s="4"/>
      <c r="W41" s="4"/>
      <c r="X41" s="4"/>
      <c r="Y41" s="4"/>
      <c r="Z41" s="4"/>
    </row>
    <row r="42" spans="1:26" ht="12" customHeight="1">
      <c r="A42" s="4" t="s">
        <v>94</v>
      </c>
      <c r="B42" s="4" t="s">
        <v>87</v>
      </c>
      <c r="C42" s="35"/>
      <c r="D42" s="34" t="s">
        <v>61</v>
      </c>
      <c r="E42" s="35">
        <f>SUMIFS(E23:E39, $D23:$D39, "Plant Maintenance (1200)")</f>
        <v>11482351.52</v>
      </c>
      <c r="F42" s="35">
        <f t="shared" ref="F42:P42" si="9">SUMIFS(F23:F39, $D23:$D39, "Plant Maintenance (1200)")</f>
        <v>11867976.620000001</v>
      </c>
      <c r="G42" s="35">
        <f t="shared" si="9"/>
        <v>9599081.8499999996</v>
      </c>
      <c r="H42" s="35">
        <f t="shared" si="9"/>
        <v>9834842.959999999</v>
      </c>
      <c r="I42" s="35">
        <f t="shared" si="9"/>
        <v>9136774.6600000001</v>
      </c>
      <c r="J42" s="35">
        <f t="shared" si="9"/>
        <v>7758802.4500000002</v>
      </c>
      <c r="K42" s="35">
        <f t="shared" si="9"/>
        <v>11281024.290000001</v>
      </c>
      <c r="L42" s="35">
        <f t="shared" si="9"/>
        <v>10087135.129999999</v>
      </c>
      <c r="M42" s="35">
        <f t="shared" si="9"/>
        <v>9548366.0499999989</v>
      </c>
      <c r="N42" s="35">
        <f t="shared" si="9"/>
        <v>9125387.0899999999</v>
      </c>
      <c r="O42" s="35">
        <f t="shared" si="9"/>
        <v>10694289.98</v>
      </c>
      <c r="P42" s="35">
        <f t="shared" si="9"/>
        <v>6860235.0399999991</v>
      </c>
      <c r="Q42" s="33"/>
      <c r="R42" s="4"/>
      <c r="S42" s="4"/>
      <c r="T42" s="4"/>
      <c r="U42" s="4"/>
      <c r="V42" s="4"/>
      <c r="W42" s="4"/>
      <c r="X42" s="4"/>
      <c r="Y42" s="4"/>
      <c r="Z42" s="4"/>
    </row>
    <row r="43" spans="1:26" ht="12" customHeight="1">
      <c r="A43" s="4" t="s">
        <v>94</v>
      </c>
      <c r="B43" s="4" t="s">
        <v>88</v>
      </c>
      <c r="C43" s="36"/>
      <c r="D43" s="37" t="s">
        <v>72</v>
      </c>
      <c r="E43" s="35">
        <f>SUMIFS(E23:E39, $D23:$D39, "Plant Outages (1100)")</f>
        <v>1858949.46</v>
      </c>
      <c r="F43" s="35">
        <f t="shared" ref="F43:P43" si="10">SUMIFS(F23:F39, $D23:$D39, "Plant Outages (1100)")</f>
        <v>2958750.52</v>
      </c>
      <c r="G43" s="35">
        <f t="shared" si="10"/>
        <v>5320326.1500000004</v>
      </c>
      <c r="H43" s="35">
        <f t="shared" si="10"/>
        <v>7530649.8399999999</v>
      </c>
      <c r="I43" s="35">
        <f t="shared" si="10"/>
        <v>11095404.869999999</v>
      </c>
      <c r="J43" s="35">
        <f t="shared" si="10"/>
        <v>2564163.15</v>
      </c>
      <c r="K43" s="35">
        <f t="shared" si="10"/>
        <v>-2134487.13</v>
      </c>
      <c r="L43" s="35">
        <f t="shared" si="10"/>
        <v>123657.99</v>
      </c>
      <c r="M43" s="35">
        <f t="shared" si="10"/>
        <v>1557544.9100000001</v>
      </c>
      <c r="N43" s="35">
        <f t="shared" si="10"/>
        <v>419858.06999999995</v>
      </c>
      <c r="O43" s="35">
        <f t="shared" si="10"/>
        <v>1366057.8599999999</v>
      </c>
      <c r="P43" s="35">
        <f t="shared" si="10"/>
        <v>2279031.7800000003</v>
      </c>
      <c r="Q43" s="33"/>
      <c r="R43" s="4"/>
      <c r="S43" s="4"/>
      <c r="T43" s="4"/>
      <c r="U43" s="4"/>
      <c r="V43" s="4"/>
      <c r="W43" s="4"/>
      <c r="X43" s="4"/>
      <c r="Y43" s="4"/>
      <c r="Z43" s="4"/>
    </row>
    <row r="44" spans="1:26" ht="12" customHeight="1">
      <c r="A44" s="4" t="s">
        <v>94</v>
      </c>
      <c r="B44" s="4" t="s">
        <v>89</v>
      </c>
      <c r="C44" s="36"/>
      <c r="D44" s="37" t="s">
        <v>62</v>
      </c>
      <c r="E44" s="35">
        <f>SUMIFS(E24:E40, $D24:$D40, "Plant Op. Costs (1300)")</f>
        <v>5909868.4499999899</v>
      </c>
      <c r="F44" s="35">
        <f t="shared" ref="F44:P44" si="11">SUMIFS(F24:F40, $D24:$D40, "Plant Op. Costs (1300)")</f>
        <v>7221063.8200000003</v>
      </c>
      <c r="G44" s="35">
        <f t="shared" si="11"/>
        <v>7866333.3999999901</v>
      </c>
      <c r="H44" s="35">
        <f t="shared" si="11"/>
        <v>8821773.6400000006</v>
      </c>
      <c r="I44" s="35">
        <f t="shared" si="11"/>
        <v>6907541.4799999995</v>
      </c>
      <c r="J44" s="35">
        <f t="shared" si="11"/>
        <v>6015350.5899999999</v>
      </c>
      <c r="K44" s="35">
        <f t="shared" si="11"/>
        <v>7311040.4499999993</v>
      </c>
      <c r="L44" s="35">
        <f t="shared" si="11"/>
        <v>7343086.1699999999</v>
      </c>
      <c r="M44" s="35">
        <f t="shared" si="11"/>
        <v>5961208.5500000007</v>
      </c>
      <c r="N44" s="35">
        <f t="shared" si="11"/>
        <v>6936609.2999999998</v>
      </c>
      <c r="O44" s="35">
        <f t="shared" si="11"/>
        <v>6843426.6600000001</v>
      </c>
      <c r="P44" s="35">
        <f t="shared" si="11"/>
        <v>6093636.0699999994</v>
      </c>
      <c r="Q44" s="33"/>
      <c r="R44" s="4"/>
      <c r="S44" s="4"/>
      <c r="T44" s="4"/>
      <c r="U44" s="4"/>
      <c r="V44" s="4"/>
      <c r="W44" s="4"/>
      <c r="X44" s="4"/>
      <c r="Y44" s="4"/>
      <c r="Z44" s="4"/>
    </row>
    <row r="45" spans="1:26" ht="12" customHeight="1">
      <c r="A45" s="4" t="s">
        <v>94</v>
      </c>
      <c r="B45" s="4" t="s">
        <v>90</v>
      </c>
      <c r="C45" s="36"/>
      <c r="D45" s="37" t="s">
        <v>70</v>
      </c>
      <c r="E45" s="35">
        <f>SUMIFS(E25:E41, $D25:$D41, $D45)</f>
        <v>24299.040000000001</v>
      </c>
      <c r="F45" s="35">
        <f t="shared" ref="F45:P45" si="12">SUMIFS(F25:F41, $D25:$D41, "Projects Opex (4438)")</f>
        <v>10507.23</v>
      </c>
      <c r="G45" s="35">
        <f t="shared" si="12"/>
        <v>16048.67</v>
      </c>
      <c r="H45" s="35">
        <f t="shared" si="12"/>
        <v>-1397.87</v>
      </c>
      <c r="I45" s="35">
        <f t="shared" si="12"/>
        <v>53153.16</v>
      </c>
      <c r="J45" s="35">
        <f t="shared" si="12"/>
        <v>-42386.63</v>
      </c>
      <c r="K45" s="35">
        <f t="shared" si="12"/>
        <v>-15946.92</v>
      </c>
      <c r="L45" s="35">
        <f t="shared" si="12"/>
        <v>16406.28</v>
      </c>
      <c r="M45" s="35">
        <f t="shared" si="12"/>
        <v>10269.700000000001</v>
      </c>
      <c r="N45" s="35">
        <f t="shared" si="12"/>
        <v>40859.49</v>
      </c>
      <c r="O45" s="35">
        <f t="shared" si="12"/>
        <v>114800.28</v>
      </c>
      <c r="P45" s="35">
        <f t="shared" si="12"/>
        <v>281820.46000000002</v>
      </c>
      <c r="Q45" s="33"/>
      <c r="R45" s="4"/>
      <c r="S45" s="4"/>
      <c r="T45" s="4"/>
      <c r="U45" s="4"/>
      <c r="V45" s="4"/>
      <c r="W45" s="4"/>
      <c r="X45" s="4"/>
      <c r="Y45" s="4"/>
      <c r="Z45" s="4"/>
    </row>
    <row r="46" spans="1:26" ht="12" customHeight="1">
      <c r="A46" s="4" t="s">
        <v>94</v>
      </c>
      <c r="B46" s="4" t="s">
        <v>92</v>
      </c>
      <c r="C46" s="36"/>
      <c r="D46" s="37" t="s">
        <v>63</v>
      </c>
      <c r="E46" s="35">
        <f>SUMIFS(E26:E42, $D26:$D42, "Admin (100)")</f>
        <v>657654.31000000006</v>
      </c>
      <c r="F46" s="35">
        <f t="shared" ref="F46:P46" si="13">SUMIFS(F26:F42, $D26:$D42, "Admin (100)")</f>
        <v>445598.18</v>
      </c>
      <c r="G46" s="35">
        <f t="shared" si="13"/>
        <v>287572.94</v>
      </c>
      <c r="H46" s="35">
        <f t="shared" si="13"/>
        <v>576380</v>
      </c>
      <c r="I46" s="35">
        <f t="shared" si="13"/>
        <v>487978.98000000004</v>
      </c>
      <c r="J46" s="35">
        <f t="shared" si="13"/>
        <v>363762.67</v>
      </c>
      <c r="K46" s="35">
        <f t="shared" si="13"/>
        <v>618858.08000000007</v>
      </c>
      <c r="L46" s="35">
        <f t="shared" si="13"/>
        <v>80472.22</v>
      </c>
      <c r="M46" s="35">
        <f t="shared" si="13"/>
        <v>658067.03999999992</v>
      </c>
      <c r="N46" s="35">
        <f t="shared" si="13"/>
        <v>265107.31000000006</v>
      </c>
      <c r="O46" s="35">
        <f t="shared" si="13"/>
        <v>514342.44999999995</v>
      </c>
      <c r="P46" s="35">
        <f t="shared" si="13"/>
        <v>358497.43000000005</v>
      </c>
      <c r="Q46" s="33"/>
      <c r="R46" s="4"/>
      <c r="S46" s="4"/>
      <c r="T46" s="4"/>
      <c r="U46" s="4"/>
      <c r="V46" s="4"/>
      <c r="W46" s="4"/>
      <c r="X46" s="4"/>
      <c r="Y46" s="4"/>
      <c r="Z46" s="4"/>
    </row>
    <row r="47" spans="1:26" ht="12" customHeight="1">
      <c r="A47" s="4" t="s">
        <v>94</v>
      </c>
      <c r="B47" s="4" t="s">
        <v>92</v>
      </c>
      <c r="C47" s="36"/>
      <c r="D47" s="37"/>
      <c r="E47" s="35"/>
      <c r="F47" s="35"/>
      <c r="G47" s="35"/>
      <c r="H47" s="35"/>
      <c r="I47" s="35"/>
      <c r="J47" s="35"/>
      <c r="K47" s="35"/>
      <c r="L47" s="35"/>
      <c r="M47" s="35"/>
      <c r="N47" s="35"/>
      <c r="O47" s="35"/>
      <c r="P47" s="35"/>
      <c r="Q47" s="4"/>
      <c r="R47" s="4"/>
      <c r="S47" s="4"/>
      <c r="T47" s="4"/>
      <c r="U47" s="4"/>
      <c r="V47" s="4"/>
      <c r="W47" s="4"/>
      <c r="X47" s="4"/>
      <c r="Y47" s="4"/>
      <c r="Z47" s="4"/>
    </row>
    <row r="48" spans="1:26" ht="12" customHeight="1">
      <c r="A48" s="4" t="s">
        <v>94</v>
      </c>
      <c r="B48" s="4" t="s">
        <v>92</v>
      </c>
      <c r="C48" s="36"/>
      <c r="D48" s="34"/>
      <c r="E48" s="35"/>
      <c r="F48" s="35"/>
      <c r="G48" s="35"/>
      <c r="H48" s="35"/>
      <c r="I48" s="35"/>
      <c r="J48" s="35"/>
      <c r="K48" s="35"/>
      <c r="L48" s="35"/>
      <c r="M48" s="35"/>
      <c r="N48" s="35"/>
      <c r="O48" s="35"/>
      <c r="P48" s="35"/>
      <c r="Q48" s="4"/>
      <c r="R48" s="4"/>
      <c r="S48" s="4"/>
      <c r="T48" s="4"/>
      <c r="U48" s="4"/>
      <c r="V48" s="4"/>
      <c r="W48" s="4"/>
      <c r="X48" s="4"/>
      <c r="Y48" s="4"/>
      <c r="Z48" s="4"/>
    </row>
    <row r="49" spans="1:26" ht="12" customHeight="1">
      <c r="A49" s="4" t="s">
        <v>94</v>
      </c>
      <c r="B49" s="4" t="s">
        <v>92</v>
      </c>
      <c r="C49" s="36"/>
      <c r="D49" s="37"/>
      <c r="E49" s="35"/>
      <c r="F49" s="35"/>
      <c r="G49" s="35"/>
      <c r="H49" s="35"/>
      <c r="I49" s="35"/>
      <c r="J49" s="35"/>
      <c r="K49" s="35"/>
      <c r="L49" s="35"/>
      <c r="M49" s="35"/>
      <c r="N49" s="35"/>
      <c r="O49" s="35"/>
      <c r="P49" s="35"/>
      <c r="Q49" s="4"/>
      <c r="R49" s="4"/>
      <c r="S49" s="4"/>
      <c r="T49" s="4"/>
      <c r="U49" s="4"/>
      <c r="V49" s="4"/>
      <c r="W49" s="4"/>
      <c r="X49" s="4"/>
      <c r="Y49" s="4"/>
      <c r="Z49" s="4"/>
    </row>
    <row r="50" spans="1:26" ht="12" customHeight="1">
      <c r="A50" s="4" t="s">
        <v>94</v>
      </c>
      <c r="B50" s="4" t="s">
        <v>92</v>
      </c>
      <c r="C50" s="36"/>
      <c r="D50" s="34"/>
      <c r="E50" s="35"/>
      <c r="F50" s="35"/>
      <c r="G50" s="35"/>
      <c r="H50" s="35"/>
      <c r="I50" s="35"/>
      <c r="J50" s="35"/>
      <c r="K50" s="35"/>
      <c r="L50" s="35"/>
      <c r="M50" s="35"/>
      <c r="N50" s="35"/>
      <c r="O50" s="35"/>
      <c r="P50" s="35"/>
      <c r="Q50" s="4"/>
      <c r="R50" s="4"/>
      <c r="S50" s="4"/>
      <c r="T50" s="4"/>
      <c r="U50" s="4"/>
      <c r="V50" s="4"/>
      <c r="W50" s="4"/>
      <c r="X50" s="4"/>
      <c r="Y50" s="4"/>
      <c r="Z50" s="4"/>
    </row>
    <row r="51" spans="1:26" ht="12" customHeight="1">
      <c r="A51" s="4" t="s">
        <v>94</v>
      </c>
      <c r="B51" s="4" t="s">
        <v>92</v>
      </c>
      <c r="C51" s="36"/>
      <c r="D51" s="37"/>
      <c r="E51" s="35"/>
      <c r="F51" s="35"/>
      <c r="G51" s="35"/>
      <c r="H51" s="35"/>
      <c r="I51" s="35"/>
      <c r="J51" s="35"/>
      <c r="K51" s="35"/>
      <c r="L51" s="35"/>
      <c r="M51" s="35"/>
      <c r="N51" s="35"/>
      <c r="O51" s="35"/>
      <c r="P51" s="35"/>
      <c r="Q51" s="4"/>
      <c r="R51" s="4"/>
      <c r="S51" s="4"/>
      <c r="T51" s="4"/>
      <c r="U51" s="4"/>
      <c r="V51" s="4"/>
      <c r="W51" s="4"/>
      <c r="X51" s="4"/>
      <c r="Y51" s="4"/>
      <c r="Z51" s="4"/>
    </row>
    <row r="52" spans="1:26" ht="12" customHeight="1">
      <c r="A52" s="4" t="s">
        <v>94</v>
      </c>
      <c r="B52" s="4" t="s">
        <v>92</v>
      </c>
      <c r="C52" s="36"/>
      <c r="D52" s="34"/>
      <c r="E52" s="35"/>
      <c r="F52" s="35"/>
      <c r="G52" s="35"/>
      <c r="H52" s="35"/>
      <c r="I52" s="35"/>
      <c r="J52" s="35"/>
      <c r="K52" s="35"/>
      <c r="L52" s="35"/>
      <c r="M52" s="35"/>
      <c r="N52" s="35"/>
      <c r="O52" s="35"/>
      <c r="P52" s="35"/>
      <c r="Q52" s="4"/>
      <c r="R52" s="4"/>
      <c r="S52" s="4"/>
      <c r="T52" s="4"/>
      <c r="U52" s="4"/>
      <c r="V52" s="4"/>
      <c r="W52" s="4"/>
      <c r="X52" s="4"/>
      <c r="Y52" s="4"/>
      <c r="Z52" s="4"/>
    </row>
    <row r="53" spans="1:26" ht="12" customHeight="1">
      <c r="A53" s="4" t="s">
        <v>94</v>
      </c>
      <c r="B53" s="4" t="s">
        <v>92</v>
      </c>
      <c r="C53" s="36"/>
      <c r="D53" s="37"/>
      <c r="E53" s="35"/>
      <c r="F53" s="35"/>
      <c r="G53" s="35"/>
      <c r="H53" s="35"/>
      <c r="I53" s="35"/>
      <c r="J53" s="35"/>
      <c r="K53" s="35"/>
      <c r="L53" s="35"/>
      <c r="M53" s="35"/>
      <c r="N53" s="35"/>
      <c r="O53" s="35"/>
      <c r="P53" s="35"/>
      <c r="Q53" s="4"/>
      <c r="R53" s="4"/>
      <c r="S53" s="4"/>
      <c r="T53" s="4"/>
      <c r="U53" s="4"/>
      <c r="V53" s="4"/>
      <c r="W53" s="4"/>
      <c r="X53" s="4"/>
      <c r="Y53" s="4"/>
      <c r="Z53" s="4"/>
    </row>
    <row r="54" spans="1:26" ht="12" customHeight="1">
      <c r="A54" s="4" t="s">
        <v>94</v>
      </c>
      <c r="B54" s="4" t="s">
        <v>92</v>
      </c>
      <c r="C54" s="36"/>
      <c r="D54" s="37"/>
      <c r="E54" s="35"/>
      <c r="F54" s="35"/>
      <c r="G54" s="35"/>
      <c r="H54" s="35"/>
      <c r="I54" s="35"/>
      <c r="J54" s="35"/>
      <c r="K54" s="35"/>
      <c r="L54" s="35"/>
      <c r="M54" s="35"/>
      <c r="N54" s="35"/>
      <c r="O54" s="35"/>
      <c r="P54" s="35"/>
      <c r="Q54" s="4"/>
      <c r="R54" s="4"/>
      <c r="S54" s="4"/>
      <c r="T54" s="4"/>
      <c r="U54" s="4"/>
      <c r="V54" s="4"/>
      <c r="W54" s="4"/>
      <c r="X54" s="4"/>
      <c r="Y54" s="4"/>
      <c r="Z54" s="4"/>
    </row>
    <row r="55" spans="1:26" ht="12" customHeight="1">
      <c r="A55" s="4" t="s">
        <v>94</v>
      </c>
      <c r="B55" s="4" t="s">
        <v>92</v>
      </c>
      <c r="C55" s="36"/>
      <c r="D55" s="37"/>
      <c r="E55" s="35"/>
      <c r="F55" s="35"/>
      <c r="G55" s="35"/>
      <c r="H55" s="35"/>
      <c r="I55" s="35"/>
      <c r="J55" s="35"/>
      <c r="K55" s="35"/>
      <c r="L55" s="35"/>
      <c r="M55" s="35"/>
      <c r="N55" s="35"/>
      <c r="O55" s="35"/>
      <c r="P55" s="35"/>
      <c r="Q55" s="4"/>
      <c r="R55" s="4"/>
      <c r="S55" s="4"/>
      <c r="T55" s="4"/>
      <c r="U55" s="4"/>
      <c r="V55" s="4"/>
      <c r="W55" s="4"/>
      <c r="X55" s="4"/>
      <c r="Y55" s="4"/>
      <c r="Z55" s="4"/>
    </row>
    <row r="56" spans="1:26" ht="12" customHeight="1">
      <c r="A56" s="4" t="s">
        <v>94</v>
      </c>
      <c r="B56" s="4" t="s">
        <v>92</v>
      </c>
      <c r="C56" s="36"/>
      <c r="D56" s="37"/>
      <c r="E56" s="35"/>
      <c r="F56" s="35"/>
      <c r="G56" s="35"/>
      <c r="H56" s="35"/>
      <c r="I56" s="35"/>
      <c r="J56" s="35"/>
      <c r="K56" s="35"/>
      <c r="L56" s="35"/>
      <c r="M56" s="35"/>
      <c r="N56" s="35"/>
      <c r="O56" s="35"/>
      <c r="P56" s="35"/>
      <c r="Q56" s="4"/>
      <c r="R56" s="4"/>
      <c r="S56" s="4"/>
      <c r="T56" s="4"/>
      <c r="U56" s="4"/>
      <c r="V56" s="4"/>
      <c r="W56" s="4"/>
      <c r="X56" s="4"/>
      <c r="Y56" s="4"/>
      <c r="Z56" s="4"/>
    </row>
    <row r="57" spans="1:26" ht="12" customHeight="1">
      <c r="A57" s="4" t="s">
        <v>94</v>
      </c>
      <c r="B57" s="4" t="s">
        <v>92</v>
      </c>
      <c r="C57" s="36"/>
      <c r="D57" s="37"/>
      <c r="E57" s="35"/>
      <c r="F57" s="35"/>
      <c r="G57" s="35"/>
      <c r="H57" s="35"/>
      <c r="I57" s="35"/>
      <c r="J57" s="35"/>
      <c r="K57" s="35"/>
      <c r="L57" s="35"/>
      <c r="M57" s="35"/>
      <c r="N57" s="35"/>
      <c r="O57" s="35"/>
      <c r="P57" s="35"/>
      <c r="Q57" s="4"/>
      <c r="R57" s="4"/>
      <c r="S57" s="4"/>
      <c r="T57" s="4"/>
      <c r="U57" s="4"/>
      <c r="V57" s="4"/>
      <c r="W57" s="4"/>
      <c r="X57" s="4"/>
      <c r="Y57" s="4"/>
      <c r="Z57" s="4"/>
    </row>
    <row r="58" spans="1:26" ht="12" customHeight="1">
      <c r="A58" s="4" t="s">
        <v>94</v>
      </c>
      <c r="B58" s="4" t="s">
        <v>92</v>
      </c>
      <c r="C58" s="36"/>
      <c r="D58" s="34"/>
      <c r="E58" s="35"/>
      <c r="F58" s="35"/>
      <c r="G58" s="35"/>
      <c r="H58" s="35"/>
      <c r="I58" s="35"/>
      <c r="J58" s="35"/>
      <c r="K58" s="35"/>
      <c r="L58" s="35"/>
      <c r="M58" s="35"/>
      <c r="N58" s="35"/>
      <c r="O58" s="35"/>
      <c r="P58" s="35"/>
      <c r="Q58" s="4"/>
      <c r="R58" s="4"/>
      <c r="S58" s="4"/>
      <c r="T58" s="4"/>
      <c r="U58" s="4"/>
      <c r="V58" s="4"/>
      <c r="W58" s="4"/>
      <c r="X58" s="4"/>
      <c r="Y58" s="4"/>
      <c r="Z58" s="4"/>
    </row>
    <row r="59" spans="1:26" ht="12" customHeight="1">
      <c r="A59" s="4" t="s">
        <v>94</v>
      </c>
      <c r="B59" s="4" t="s">
        <v>92</v>
      </c>
      <c r="C59" s="36"/>
      <c r="D59" s="37"/>
      <c r="E59" s="35"/>
      <c r="F59" s="35"/>
      <c r="G59" s="35"/>
      <c r="H59" s="35"/>
      <c r="I59" s="35"/>
      <c r="J59" s="35"/>
      <c r="K59" s="35"/>
      <c r="L59" s="35"/>
      <c r="M59" s="35"/>
      <c r="N59" s="35"/>
      <c r="O59" s="35"/>
      <c r="P59" s="35"/>
      <c r="Q59" s="4"/>
      <c r="R59" s="4"/>
      <c r="S59" s="4"/>
      <c r="T59" s="4"/>
      <c r="U59" s="4"/>
      <c r="V59" s="4"/>
      <c r="W59" s="4"/>
      <c r="X59" s="4"/>
      <c r="Y59" s="4"/>
      <c r="Z59" s="4"/>
    </row>
    <row r="60" spans="1:26" ht="12" customHeight="1">
      <c r="A60" s="4" t="s">
        <v>94</v>
      </c>
      <c r="B60" s="4" t="s">
        <v>92</v>
      </c>
      <c r="C60" s="36"/>
      <c r="D60" s="37"/>
      <c r="E60" s="35"/>
      <c r="F60" s="35"/>
      <c r="G60" s="35"/>
      <c r="H60" s="35"/>
      <c r="I60" s="35"/>
      <c r="J60" s="35"/>
      <c r="K60" s="35"/>
      <c r="L60" s="35"/>
      <c r="M60" s="35"/>
      <c r="N60" s="35"/>
      <c r="O60" s="35"/>
      <c r="P60" s="35"/>
      <c r="Q60" s="4"/>
      <c r="R60" s="4"/>
      <c r="S60" s="4"/>
      <c r="T60" s="4"/>
      <c r="U60" s="4"/>
      <c r="V60" s="4"/>
      <c r="W60" s="4"/>
      <c r="X60" s="4"/>
      <c r="Y60" s="4"/>
      <c r="Z60" s="4"/>
    </row>
    <row r="61" spans="1:26" ht="12" customHeight="1">
      <c r="A61" s="4" t="s">
        <v>94</v>
      </c>
      <c r="B61" s="4" t="s">
        <v>92</v>
      </c>
      <c r="C61" s="36"/>
      <c r="D61" s="37"/>
      <c r="E61" s="35"/>
      <c r="F61" s="35"/>
      <c r="G61" s="35"/>
      <c r="H61" s="35"/>
      <c r="I61" s="35"/>
      <c r="J61" s="35"/>
      <c r="K61" s="35"/>
      <c r="L61" s="35"/>
      <c r="M61" s="35"/>
      <c r="N61" s="35"/>
      <c r="O61" s="35"/>
      <c r="P61" s="35"/>
      <c r="Q61" s="4"/>
      <c r="R61" s="4"/>
      <c r="S61" s="4"/>
      <c r="T61" s="4"/>
      <c r="U61" s="4"/>
      <c r="V61" s="4"/>
      <c r="W61" s="4"/>
      <c r="X61" s="4"/>
      <c r="Y61" s="4"/>
      <c r="Z61" s="4"/>
    </row>
    <row r="62" spans="1:26" ht="12" customHeight="1">
      <c r="A62" s="4" t="s">
        <v>94</v>
      </c>
      <c r="B62" s="4" t="s">
        <v>92</v>
      </c>
      <c r="C62" s="36"/>
      <c r="D62" s="37"/>
      <c r="E62" s="35"/>
      <c r="F62" s="35"/>
      <c r="G62" s="35"/>
      <c r="H62" s="35"/>
      <c r="I62" s="35"/>
      <c r="J62" s="35"/>
      <c r="K62" s="35"/>
      <c r="L62" s="35"/>
      <c r="M62" s="35"/>
      <c r="N62" s="35"/>
      <c r="O62" s="35"/>
      <c r="P62" s="35"/>
      <c r="Q62" s="4"/>
      <c r="R62" s="4"/>
      <c r="S62" s="4"/>
      <c r="T62" s="4"/>
      <c r="U62" s="4"/>
      <c r="V62" s="4"/>
      <c r="W62" s="4"/>
      <c r="X62" s="4"/>
      <c r="Y62" s="4"/>
      <c r="Z62" s="4"/>
    </row>
    <row r="63" spans="1:26" ht="12" customHeight="1">
      <c r="A63" s="4" t="s">
        <v>94</v>
      </c>
      <c r="B63" s="4" t="s">
        <v>92</v>
      </c>
      <c r="C63" s="36"/>
      <c r="D63" s="37"/>
      <c r="E63" s="35"/>
      <c r="F63" s="35"/>
      <c r="G63" s="35"/>
      <c r="H63" s="35"/>
      <c r="I63" s="35"/>
      <c r="J63" s="35"/>
      <c r="K63" s="35"/>
      <c r="L63" s="35"/>
      <c r="M63" s="35"/>
      <c r="N63" s="35"/>
      <c r="O63" s="35"/>
      <c r="P63" s="35"/>
      <c r="Q63" s="4"/>
      <c r="R63" s="4"/>
      <c r="S63" s="4"/>
      <c r="T63" s="4"/>
      <c r="U63" s="4"/>
      <c r="V63" s="4"/>
      <c r="W63" s="4"/>
      <c r="X63" s="4"/>
      <c r="Y63" s="4"/>
      <c r="Z63" s="4"/>
    </row>
    <row r="64" spans="1:26" ht="12" customHeight="1">
      <c r="A64" s="4" t="s">
        <v>94</v>
      </c>
      <c r="B64" s="4" t="s">
        <v>92</v>
      </c>
      <c r="C64" s="36"/>
      <c r="D64" s="37"/>
      <c r="E64" s="35"/>
      <c r="F64" s="35"/>
      <c r="G64" s="35"/>
      <c r="H64" s="35"/>
      <c r="I64" s="35"/>
      <c r="J64" s="35"/>
      <c r="K64" s="35"/>
      <c r="L64" s="35"/>
      <c r="M64" s="35"/>
      <c r="N64" s="35"/>
      <c r="O64" s="35"/>
      <c r="P64" s="35"/>
      <c r="Q64" s="4"/>
      <c r="R64" s="4"/>
      <c r="S64" s="4"/>
      <c r="T64" s="4"/>
      <c r="U64" s="4"/>
      <c r="V64" s="4"/>
      <c r="W64" s="4"/>
      <c r="X64" s="4"/>
      <c r="Y64" s="4"/>
      <c r="Z64" s="4"/>
    </row>
    <row r="65" spans="1:26" ht="12" customHeight="1">
      <c r="A65" s="4" t="s">
        <v>94</v>
      </c>
      <c r="B65" s="4" t="s">
        <v>92</v>
      </c>
      <c r="C65" s="36"/>
      <c r="D65" s="37"/>
      <c r="E65" s="35"/>
      <c r="F65" s="35"/>
      <c r="G65" s="35"/>
      <c r="H65" s="35"/>
      <c r="I65" s="35"/>
      <c r="J65" s="35"/>
      <c r="K65" s="35"/>
      <c r="L65" s="35"/>
      <c r="M65" s="35"/>
      <c r="N65" s="35"/>
      <c r="O65" s="35"/>
      <c r="P65" s="35"/>
      <c r="Q65" s="4"/>
      <c r="R65" s="4"/>
      <c r="S65" s="4"/>
      <c r="T65" s="4"/>
      <c r="U65" s="4"/>
      <c r="V65" s="4"/>
      <c r="W65" s="4"/>
      <c r="X65" s="4"/>
      <c r="Y65" s="4"/>
      <c r="Z65" s="4"/>
    </row>
    <row r="66" spans="1:26" ht="12" customHeight="1">
      <c r="A66" s="4" t="s">
        <v>94</v>
      </c>
      <c r="B66" s="4" t="s">
        <v>92</v>
      </c>
      <c r="C66" s="38"/>
      <c r="D66" s="39"/>
      <c r="E66" s="38"/>
      <c r="F66" s="38"/>
      <c r="G66" s="38"/>
      <c r="H66" s="38"/>
      <c r="I66" s="38"/>
      <c r="J66" s="38"/>
      <c r="K66" s="38"/>
      <c r="L66" s="38"/>
      <c r="M66" s="38"/>
      <c r="N66" s="38"/>
      <c r="O66" s="38"/>
      <c r="P66" s="38"/>
      <c r="Q66" s="4"/>
      <c r="R66" s="4"/>
      <c r="S66" s="4"/>
      <c r="T66" s="4"/>
      <c r="U66" s="4"/>
      <c r="V66" s="4"/>
      <c r="W66" s="4"/>
      <c r="X66" s="4"/>
      <c r="Y66" s="4"/>
      <c r="Z66" s="4"/>
    </row>
    <row r="67" spans="1:26" ht="12" customHeight="1">
      <c r="A67" s="4" t="s">
        <v>94</v>
      </c>
      <c r="B67" s="4" t="s">
        <v>92</v>
      </c>
      <c r="C67" s="60"/>
      <c r="D67" s="31"/>
      <c r="E67" s="32"/>
      <c r="F67" s="32"/>
      <c r="G67" s="32"/>
      <c r="H67" s="32"/>
      <c r="I67" s="32"/>
      <c r="J67" s="32"/>
      <c r="K67" s="32"/>
      <c r="L67" s="32"/>
      <c r="M67" s="32"/>
      <c r="N67" s="32"/>
      <c r="O67" s="32"/>
      <c r="P67" s="32"/>
      <c r="Q67" s="4"/>
      <c r="R67" s="4"/>
      <c r="S67" s="4"/>
      <c r="T67" s="4"/>
      <c r="U67" s="4"/>
      <c r="V67" s="4"/>
      <c r="W67" s="4"/>
      <c r="X67" s="4"/>
      <c r="Y67" s="4"/>
      <c r="Z67" s="4"/>
    </row>
    <row r="68" spans="1:26" ht="12" customHeight="1">
      <c r="A68" s="4" t="s">
        <v>94</v>
      </c>
      <c r="B68" s="4" t="s">
        <v>92</v>
      </c>
      <c r="C68" s="35"/>
      <c r="D68" s="34"/>
      <c r="E68" s="35"/>
      <c r="F68" s="35"/>
      <c r="G68" s="35"/>
      <c r="H68" s="35"/>
      <c r="I68" s="35"/>
      <c r="J68" s="35"/>
      <c r="K68" s="35"/>
      <c r="L68" s="35"/>
      <c r="M68" s="35"/>
      <c r="N68" s="35"/>
      <c r="O68" s="35"/>
      <c r="P68" s="35"/>
      <c r="Q68" s="4"/>
      <c r="R68" s="4"/>
      <c r="S68" s="4"/>
      <c r="T68" s="4"/>
      <c r="U68" s="4"/>
      <c r="V68" s="4"/>
      <c r="W68" s="4"/>
      <c r="X68" s="4"/>
      <c r="Y68" s="4"/>
      <c r="Z68" s="4"/>
    </row>
    <row r="69" spans="1:26" ht="12" customHeight="1">
      <c r="A69" s="4" t="s">
        <v>94</v>
      </c>
      <c r="B69" s="4" t="s">
        <v>92</v>
      </c>
      <c r="C69" s="36"/>
      <c r="D69" s="37"/>
      <c r="E69" s="35"/>
      <c r="F69" s="35"/>
      <c r="G69" s="35"/>
      <c r="H69" s="35"/>
      <c r="I69" s="35"/>
      <c r="J69" s="35"/>
      <c r="K69" s="35"/>
      <c r="L69" s="35"/>
      <c r="M69" s="35"/>
      <c r="N69" s="35"/>
      <c r="O69" s="35"/>
      <c r="P69" s="35"/>
      <c r="Q69" s="4"/>
      <c r="R69" s="4"/>
      <c r="S69" s="4"/>
      <c r="T69" s="4"/>
      <c r="U69" s="4"/>
      <c r="V69" s="4"/>
      <c r="W69" s="4"/>
      <c r="X69" s="4"/>
      <c r="Y69" s="4"/>
      <c r="Z69" s="4"/>
    </row>
    <row r="70" spans="1:26" ht="12" customHeight="1">
      <c r="A70" s="4" t="s">
        <v>94</v>
      </c>
      <c r="B70" s="4" t="s">
        <v>92</v>
      </c>
      <c r="C70" s="36"/>
      <c r="D70" s="34"/>
      <c r="E70" s="35"/>
      <c r="F70" s="35"/>
      <c r="G70" s="35"/>
      <c r="H70" s="35"/>
      <c r="I70" s="35"/>
      <c r="J70" s="35"/>
      <c r="K70" s="35"/>
      <c r="L70" s="35"/>
      <c r="M70" s="35"/>
      <c r="N70" s="35"/>
      <c r="O70" s="35"/>
      <c r="P70" s="35"/>
      <c r="Q70" s="4"/>
      <c r="R70" s="4"/>
      <c r="S70" s="4"/>
      <c r="T70" s="4"/>
      <c r="U70" s="4"/>
      <c r="V70" s="4"/>
      <c r="W70" s="4"/>
      <c r="X70" s="4"/>
      <c r="Y70" s="4"/>
      <c r="Z70" s="4"/>
    </row>
    <row r="71" spans="1:26" ht="12" customHeight="1">
      <c r="A71" s="4" t="s">
        <v>94</v>
      </c>
      <c r="B71" s="4" t="s">
        <v>92</v>
      </c>
      <c r="C71" s="36"/>
      <c r="D71" s="37"/>
      <c r="E71" s="35"/>
      <c r="F71" s="35"/>
      <c r="G71" s="35"/>
      <c r="H71" s="35"/>
      <c r="I71" s="35"/>
      <c r="J71" s="35"/>
      <c r="K71" s="35"/>
      <c r="L71" s="35"/>
      <c r="M71" s="35"/>
      <c r="N71" s="35"/>
      <c r="O71" s="35"/>
      <c r="P71" s="35"/>
      <c r="Q71" s="4"/>
      <c r="R71" s="4"/>
      <c r="S71" s="4"/>
      <c r="T71" s="4"/>
      <c r="U71" s="4"/>
      <c r="V71" s="4"/>
      <c r="W71" s="4"/>
      <c r="X71" s="4"/>
      <c r="Y71" s="4"/>
      <c r="Z71" s="4"/>
    </row>
    <row r="72" spans="1:26" ht="12"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2">
    <mergeCell ref="C2:K2"/>
    <mergeCell ref="C3:K3"/>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Z1009"/>
  <sheetViews>
    <sheetView showGridLines="0" topLeftCell="A28" zoomScale="90" zoomScaleNormal="136" workbookViewId="0">
      <selection activeCell="C112" sqref="C112"/>
    </sheetView>
  </sheetViews>
  <sheetFormatPr baseColWidth="10" defaultColWidth="14.5" defaultRowHeight="15" customHeight="1"/>
  <cols>
    <col min="1" max="14" width="26.83203125" customWidth="1"/>
    <col min="15" max="22" width="8.6640625" customWidth="1"/>
  </cols>
  <sheetData>
    <row r="1" spans="1:26" ht="42" customHeight="1">
      <c r="A1" s="281" t="s">
        <v>95</v>
      </c>
      <c r="B1" s="272"/>
      <c r="C1" s="272"/>
      <c r="D1" s="272"/>
      <c r="E1" s="272"/>
      <c r="F1" s="132"/>
      <c r="G1" s="132"/>
      <c r="H1" s="132"/>
      <c r="I1" s="132"/>
      <c r="J1" s="132"/>
      <c r="K1" s="132"/>
      <c r="L1" s="132"/>
      <c r="M1" s="132"/>
      <c r="N1" s="132"/>
      <c r="O1" s="132"/>
      <c r="P1" s="132"/>
      <c r="Q1" s="132"/>
      <c r="R1" s="132"/>
      <c r="S1" s="132"/>
      <c r="T1" s="132"/>
      <c r="U1" s="132"/>
      <c r="V1" s="132"/>
      <c r="W1" s="132"/>
      <c r="X1" s="132"/>
      <c r="Y1" s="132"/>
      <c r="Z1" s="132"/>
    </row>
    <row r="2" spans="1:26" ht="119.25" customHeight="1">
      <c r="A2" s="282" t="s">
        <v>96</v>
      </c>
      <c r="B2" s="272"/>
      <c r="C2" s="272"/>
      <c r="D2" s="272"/>
      <c r="E2" s="272"/>
      <c r="F2" s="272"/>
      <c r="G2" s="272"/>
      <c r="H2" s="272"/>
      <c r="I2" s="272"/>
      <c r="J2" s="272"/>
      <c r="K2" s="272"/>
      <c r="L2" s="3"/>
      <c r="M2" s="3"/>
      <c r="N2" s="3"/>
      <c r="O2" s="3"/>
      <c r="P2" s="3"/>
      <c r="Q2" s="3"/>
      <c r="R2" s="3"/>
      <c r="S2" s="3"/>
      <c r="T2" s="3"/>
      <c r="U2" s="3"/>
      <c r="V2" s="3"/>
      <c r="W2" s="3"/>
      <c r="X2" s="3"/>
      <c r="Y2" s="3"/>
      <c r="Z2" s="3"/>
    </row>
    <row r="3" spans="1:26" ht="12.75" customHeight="1">
      <c r="A3" s="61"/>
      <c r="B3" s="3"/>
      <c r="C3" s="3"/>
      <c r="D3" s="3"/>
      <c r="E3" s="3"/>
      <c r="F3" s="3"/>
      <c r="G3" s="3"/>
      <c r="H3" s="3"/>
      <c r="I3" s="3"/>
      <c r="J3" s="3"/>
      <c r="K3" s="3"/>
      <c r="L3" s="3"/>
      <c r="M3" s="3"/>
      <c r="N3" s="3"/>
      <c r="O3" s="3"/>
      <c r="P3" s="3"/>
      <c r="Q3" s="3"/>
      <c r="R3" s="3"/>
      <c r="S3" s="3"/>
      <c r="T3" s="3"/>
      <c r="U3" s="3"/>
      <c r="V3" s="3"/>
      <c r="W3" s="3"/>
      <c r="X3" s="3"/>
      <c r="Y3" s="3"/>
      <c r="Z3" s="3"/>
    </row>
    <row r="4" spans="1:26" ht="72" customHeight="1">
      <c r="A4" s="283" t="s">
        <v>97</v>
      </c>
      <c r="B4" s="272"/>
      <c r="C4" s="272"/>
      <c r="D4" s="272"/>
      <c r="E4" s="272"/>
      <c r="F4" s="272"/>
      <c r="G4" s="272"/>
      <c r="H4" s="272"/>
      <c r="I4" s="272"/>
      <c r="J4" s="272"/>
      <c r="K4" s="132"/>
      <c r="L4" s="132"/>
      <c r="M4" s="132"/>
      <c r="N4" s="132"/>
      <c r="O4" s="132"/>
      <c r="P4" s="132"/>
      <c r="Q4" s="132"/>
      <c r="R4" s="132"/>
      <c r="S4" s="132"/>
      <c r="T4" s="132"/>
      <c r="U4" s="132"/>
      <c r="V4" s="132"/>
      <c r="W4" s="132"/>
      <c r="X4" s="132"/>
      <c r="Y4" s="132"/>
      <c r="Z4" s="132"/>
    </row>
    <row r="5" spans="1:26" ht="20.25" customHeight="1">
      <c r="A5" s="158"/>
      <c r="B5" s="138"/>
      <c r="C5" s="138"/>
      <c r="D5" s="138"/>
      <c r="E5" s="138"/>
      <c r="F5" s="138"/>
      <c r="G5" s="138"/>
      <c r="H5" s="138"/>
      <c r="I5" s="138"/>
      <c r="J5" s="138"/>
      <c r="K5" s="132"/>
      <c r="L5" s="132"/>
      <c r="M5" s="132"/>
      <c r="N5" s="132"/>
      <c r="O5" s="132"/>
      <c r="P5" s="132"/>
      <c r="Q5" s="132"/>
      <c r="R5" s="132"/>
      <c r="S5" s="132"/>
      <c r="T5" s="132"/>
      <c r="U5" s="132"/>
      <c r="V5" s="132"/>
      <c r="W5" s="132"/>
      <c r="X5" s="132"/>
      <c r="Y5" s="132"/>
      <c r="Z5" s="132"/>
    </row>
    <row r="6" spans="1:26" ht="12.75" customHeight="1">
      <c r="A6" s="283" t="s">
        <v>98</v>
      </c>
      <c r="B6" s="272"/>
      <c r="C6" s="272"/>
      <c r="D6" s="272"/>
      <c r="E6" s="272"/>
      <c r="F6" s="272"/>
      <c r="G6" s="272"/>
      <c r="H6" s="272"/>
      <c r="I6" s="272"/>
      <c r="J6" s="272"/>
      <c r="K6" s="272"/>
      <c r="L6" s="272"/>
      <c r="M6" s="272"/>
      <c r="N6" s="272"/>
      <c r="O6" s="272"/>
      <c r="P6" s="272"/>
      <c r="Q6" s="272"/>
      <c r="R6" s="272"/>
      <c r="S6" s="272"/>
      <c r="T6" s="272"/>
      <c r="U6" s="272"/>
      <c r="V6" s="272"/>
      <c r="W6" s="272"/>
      <c r="X6" s="272"/>
      <c r="Y6" s="272"/>
      <c r="Z6" s="272"/>
    </row>
    <row r="7" spans="1:26" ht="30" customHeight="1">
      <c r="A7" s="159" t="s">
        <v>99</v>
      </c>
      <c r="B7" s="132"/>
      <c r="C7" s="132"/>
      <c r="D7" s="132"/>
      <c r="E7" s="132"/>
      <c r="F7" s="132"/>
      <c r="G7" s="132"/>
      <c r="H7" s="132"/>
      <c r="I7" s="132"/>
      <c r="J7" s="132"/>
      <c r="K7" s="132"/>
      <c r="L7" s="132"/>
      <c r="M7" s="132"/>
      <c r="N7" s="132"/>
      <c r="O7" s="132"/>
      <c r="P7" s="132"/>
      <c r="Q7" s="132"/>
      <c r="R7" s="132"/>
      <c r="S7" s="132"/>
      <c r="T7" s="132"/>
      <c r="U7" s="132"/>
      <c r="V7" s="132"/>
      <c r="W7" s="132"/>
      <c r="X7" s="132"/>
      <c r="Y7" s="132"/>
      <c r="Z7" s="132"/>
    </row>
    <row r="8" spans="1:26" ht="12.75" customHeight="1">
      <c r="A8" s="62" t="s">
        <v>94</v>
      </c>
      <c r="B8" s="160"/>
      <c r="C8" s="221" t="s">
        <v>43</v>
      </c>
      <c r="D8" s="221" t="s">
        <v>44</v>
      </c>
      <c r="E8" s="221" t="s">
        <v>45</v>
      </c>
      <c r="F8" s="221" t="s">
        <v>46</v>
      </c>
      <c r="G8" s="221" t="s">
        <v>47</v>
      </c>
      <c r="H8" s="221" t="s">
        <v>48</v>
      </c>
      <c r="I8" s="221" t="s">
        <v>49</v>
      </c>
      <c r="J8" s="221" t="s">
        <v>50</v>
      </c>
      <c r="K8" s="221" t="s">
        <v>51</v>
      </c>
      <c r="L8" s="221" t="s">
        <v>52</v>
      </c>
      <c r="M8" s="221" t="s">
        <v>53</v>
      </c>
      <c r="N8" s="221" t="s">
        <v>54</v>
      </c>
      <c r="O8" s="132"/>
      <c r="P8" s="132"/>
      <c r="Q8" s="132"/>
      <c r="R8" s="132"/>
      <c r="S8" s="132"/>
      <c r="T8" s="132"/>
      <c r="U8" s="132"/>
      <c r="V8" s="132"/>
      <c r="W8" s="132"/>
      <c r="X8" s="132"/>
      <c r="Y8" s="132"/>
      <c r="Z8" s="132"/>
    </row>
    <row r="9" spans="1:26" ht="12.75" customHeight="1">
      <c r="A9" s="234" t="s">
        <v>55</v>
      </c>
      <c r="B9" s="235" t="s">
        <v>56</v>
      </c>
      <c r="C9" s="236">
        <f>'Financial BUDGET'!C3</f>
        <v>-8213375.7000000002</v>
      </c>
      <c r="D9" s="236">
        <f>'Financial BUDGET'!D3</f>
        <v>-5968279.7000000002</v>
      </c>
      <c r="E9" s="236">
        <f>'Financial BUDGET'!E3</f>
        <v>-5943759.7000000002</v>
      </c>
      <c r="F9" s="236">
        <f>'Financial BUDGET'!F3</f>
        <v>-4405551.2300000004</v>
      </c>
      <c r="G9" s="236">
        <f>'Financial BUDGET'!G3</f>
        <v>-7250656.2300000004</v>
      </c>
      <c r="H9" s="236">
        <f>'Financial BUDGET'!H3</f>
        <v>-8001217.2300000004</v>
      </c>
      <c r="I9" s="236">
        <f>'Financial BUDGET'!I3</f>
        <v>-10464692.23</v>
      </c>
      <c r="J9" s="236">
        <f>'Financial BUDGET'!J3</f>
        <v>-9728864.2300000004</v>
      </c>
      <c r="K9" s="236">
        <f>'Financial BUDGET'!K3</f>
        <v>-10439474.23</v>
      </c>
      <c r="L9" s="236">
        <f>'Financial BUDGET'!L3</f>
        <v>-8093996.2300000004</v>
      </c>
      <c r="M9" s="236">
        <f>'Financial BUDGET'!M3</f>
        <v>-7467847.2300000004</v>
      </c>
      <c r="N9" s="236">
        <f>'Financial BUDGET'!N3</f>
        <v>-8015833.2300000004</v>
      </c>
      <c r="O9" s="4"/>
      <c r="P9" s="4"/>
      <c r="Q9" s="4"/>
      <c r="R9" s="4"/>
      <c r="S9" s="4"/>
      <c r="T9" s="4"/>
      <c r="U9" s="4"/>
      <c r="V9" s="4"/>
      <c r="W9" s="3"/>
      <c r="X9" s="3"/>
      <c r="Y9" s="3"/>
      <c r="Z9" s="3"/>
    </row>
    <row r="10" spans="1:26" ht="12.75" customHeight="1">
      <c r="A10" s="15"/>
      <c r="B10" s="15" t="s">
        <v>81</v>
      </c>
      <c r="C10" s="261">
        <f>'Financial BUDGET'!C4</f>
        <v>30000</v>
      </c>
      <c r="D10" s="261">
        <f>'Financial BUDGET'!D4</f>
        <v>30000</v>
      </c>
      <c r="E10" s="261">
        <f>'Financial BUDGET'!E4</f>
        <v>30000</v>
      </c>
      <c r="F10" s="261">
        <f>'Financial BUDGET'!F4</f>
        <v>30000</v>
      </c>
      <c r="G10" s="261">
        <f>'Financial BUDGET'!G4</f>
        <v>30000</v>
      </c>
      <c r="H10" s="261">
        <f>'Financial BUDGET'!H4</f>
        <v>30000</v>
      </c>
      <c r="I10" s="261">
        <f>'Financial BUDGET'!I4</f>
        <v>30000</v>
      </c>
      <c r="J10" s="261">
        <f>'Financial BUDGET'!J4</f>
        <v>30000</v>
      </c>
      <c r="K10" s="261">
        <f>'Financial BUDGET'!K4</f>
        <v>30000</v>
      </c>
      <c r="L10" s="261">
        <f>'Financial BUDGET'!L4</f>
        <v>30000</v>
      </c>
      <c r="M10" s="261">
        <f>'Financial BUDGET'!M4</f>
        <v>30000</v>
      </c>
      <c r="N10" s="261">
        <f>'Financial BUDGET'!N4</f>
        <v>30000</v>
      </c>
      <c r="O10" s="4"/>
      <c r="P10" s="4"/>
      <c r="Q10" s="4"/>
      <c r="R10" s="4"/>
      <c r="S10" s="4"/>
      <c r="T10" s="4"/>
      <c r="U10" s="4"/>
      <c r="V10" s="4"/>
      <c r="W10" s="3"/>
      <c r="X10" s="3"/>
      <c r="Y10" s="3"/>
      <c r="Z10" s="3"/>
    </row>
    <row r="11" spans="1:26" ht="12.75" customHeight="1">
      <c r="A11" s="15"/>
      <c r="B11" s="15" t="s">
        <v>82</v>
      </c>
      <c r="C11" s="261">
        <f>'Financial BUDGET'!C5</f>
        <v>30000</v>
      </c>
      <c r="D11" s="261">
        <f>'Financial BUDGET'!D5</f>
        <v>30000</v>
      </c>
      <c r="E11" s="261">
        <f>'Financial BUDGET'!E5</f>
        <v>29923.74</v>
      </c>
      <c r="F11" s="261">
        <f>'Financial BUDGET'!F5</f>
        <v>30000</v>
      </c>
      <c r="G11" s="261">
        <f>'Financial BUDGET'!G5</f>
        <v>30000</v>
      </c>
      <c r="H11" s="261">
        <f>'Financial BUDGET'!H5</f>
        <v>30000</v>
      </c>
      <c r="I11" s="261">
        <f>'Financial BUDGET'!I5</f>
        <v>30000</v>
      </c>
      <c r="J11" s="261">
        <f>'Financial BUDGET'!J5</f>
        <v>30000</v>
      </c>
      <c r="K11" s="261">
        <f>'Financial BUDGET'!K5</f>
        <v>30000</v>
      </c>
      <c r="L11" s="261">
        <f>'Financial BUDGET'!L5</f>
        <v>30000</v>
      </c>
      <c r="M11" s="261">
        <f>'Financial BUDGET'!M5</f>
        <v>30000</v>
      </c>
      <c r="N11" s="261">
        <f>'Financial BUDGET'!N5</f>
        <v>30000</v>
      </c>
      <c r="O11" s="4"/>
      <c r="P11" s="4"/>
      <c r="Q11" s="4"/>
      <c r="R11" s="4"/>
      <c r="S11" s="4"/>
      <c r="T11" s="4"/>
      <c r="U11" s="4"/>
      <c r="V11" s="4"/>
      <c r="W11" s="3"/>
      <c r="X11" s="3"/>
      <c r="Y11" s="3"/>
      <c r="Z11" s="3"/>
    </row>
    <row r="12" spans="1:26" ht="12.75" customHeight="1">
      <c r="A12" s="15"/>
      <c r="B12" s="15" t="s">
        <v>100</v>
      </c>
      <c r="C12" s="261">
        <f>'Financial BUDGET'!C26</f>
        <v>2870946.71</v>
      </c>
      <c r="D12" s="34">
        <f>ABS('Financial BUDGET'!D26)</f>
        <v>2893964.8600000003</v>
      </c>
      <c r="E12" s="34">
        <f>ABS('Financial BUDGET'!E26)</f>
        <v>4946553.25</v>
      </c>
      <c r="F12" s="34">
        <f>ABS('Financial BUDGET'!F26)</f>
        <v>3649852.2800000003</v>
      </c>
      <c r="G12" s="34">
        <f>ABS('Financial BUDGET'!G26)</f>
        <v>3390311.38</v>
      </c>
      <c r="H12" s="34">
        <f>ABS('Financial BUDGET'!H26)</f>
        <v>3296135.35</v>
      </c>
      <c r="I12" s="34">
        <f>ABS('Financial BUDGET'!I26)</f>
        <v>3371678.94</v>
      </c>
      <c r="J12" s="34">
        <f>ABS('Financial BUDGET'!J26)</f>
        <v>3486089.18</v>
      </c>
      <c r="K12" s="34">
        <f>ABS('Financial BUDGET'!K26)</f>
        <v>3420874.4299999997</v>
      </c>
      <c r="L12" s="34">
        <f>ABS('Financial BUDGET'!L26)</f>
        <v>3482686.52</v>
      </c>
      <c r="M12" s="34">
        <f>ABS('Financial BUDGET'!M26)</f>
        <v>3359577.0700000003</v>
      </c>
      <c r="N12" s="34">
        <f>ABS('Financial BUDGET'!N26)</f>
        <v>3881716.73</v>
      </c>
      <c r="O12" s="4"/>
      <c r="P12" s="4"/>
      <c r="Q12" s="4"/>
      <c r="R12" s="4"/>
      <c r="S12" s="4"/>
      <c r="T12" s="4"/>
      <c r="U12" s="4"/>
      <c r="V12" s="4"/>
      <c r="W12" s="3"/>
      <c r="X12" s="3"/>
      <c r="Y12" s="3"/>
      <c r="Z12" s="3"/>
    </row>
    <row r="13" spans="1:26" ht="12.75" customHeight="1">
      <c r="A13" s="237" t="s">
        <v>69</v>
      </c>
      <c r="B13" s="237" t="s">
        <v>56</v>
      </c>
      <c r="C13" s="260">
        <f>'Financial BUDGET'!C7</f>
        <v>-16539850.560000001</v>
      </c>
      <c r="D13" s="236">
        <f>ABS('Financial BUDGET'!D$7)</f>
        <v>14936115.32</v>
      </c>
      <c r="E13" s="236">
        <f>ABS('Financial BUDGET'!E$7)</f>
        <v>14911829.35</v>
      </c>
      <c r="F13" s="236">
        <f>ABS('Financial BUDGET'!F$7)</f>
        <v>12812490.02</v>
      </c>
      <c r="G13" s="236">
        <f>ABS('Financial BUDGET'!G$7)</f>
        <v>13725254.119999999</v>
      </c>
      <c r="H13" s="236">
        <f>ABS('Financial BUDGET'!H$7)</f>
        <v>12969085.51</v>
      </c>
      <c r="I13" s="236">
        <f>ABS('Financial BUDGET'!I$7)</f>
        <v>17691646.970000003</v>
      </c>
      <c r="J13" s="236">
        <f>ABS('Financial BUDGET'!J$7)</f>
        <v>16929153.190000001</v>
      </c>
      <c r="K13" s="236">
        <f>ABS('Financial BUDGET'!K$7)</f>
        <v>15974433.369999999</v>
      </c>
      <c r="L13" s="236">
        <f>ABS('Financial BUDGET'!L$7)</f>
        <v>19039986.690000001</v>
      </c>
      <c r="M13" s="236">
        <f>ABS('Financial BUDGET'!M$7)</f>
        <v>17082544.41</v>
      </c>
      <c r="N13" s="236">
        <f>ABS('Financial BUDGET'!N$7)</f>
        <v>18945397.850000001</v>
      </c>
      <c r="O13" s="4"/>
      <c r="P13" s="4"/>
      <c r="Q13" s="4"/>
      <c r="R13" s="4"/>
      <c r="S13" s="4"/>
      <c r="T13" s="4"/>
      <c r="U13" s="4"/>
      <c r="V13" s="4"/>
      <c r="W13" s="3"/>
      <c r="X13" s="3"/>
      <c r="Y13" s="3"/>
      <c r="Z13" s="3"/>
    </row>
    <row r="14" spans="1:26" ht="12.75" customHeight="1">
      <c r="A14" s="15"/>
      <c r="B14" s="15" t="s">
        <v>81</v>
      </c>
      <c r="C14" s="262">
        <f>'Financial BUDGET'!C8</f>
        <v>169981</v>
      </c>
      <c r="D14" s="262">
        <f>'Financial BUDGET'!D8</f>
        <v>169981</v>
      </c>
      <c r="E14" s="262">
        <f>'Financial BUDGET'!E8</f>
        <v>169981</v>
      </c>
      <c r="F14" s="262">
        <f>'Financial BUDGET'!F8</f>
        <v>166888</v>
      </c>
      <c r="G14" s="262">
        <f>'Financial BUDGET'!G8</f>
        <v>166888</v>
      </c>
      <c r="H14" s="262">
        <f>'Financial BUDGET'!H8</f>
        <v>392677</v>
      </c>
      <c r="I14" s="262">
        <f>'Financial BUDGET'!I8</f>
        <v>392677</v>
      </c>
      <c r="J14" s="262">
        <f>'Financial BUDGET'!J8</f>
        <v>608648</v>
      </c>
      <c r="K14" s="262">
        <f>'Financial BUDGET'!K8</f>
        <v>608648</v>
      </c>
      <c r="L14" s="262">
        <f>'Financial BUDGET'!L8</f>
        <v>166888</v>
      </c>
      <c r="M14" s="262">
        <f>'Financial BUDGET'!M8</f>
        <v>166888</v>
      </c>
      <c r="N14" s="262">
        <f>'Financial BUDGET'!N8</f>
        <v>166888</v>
      </c>
      <c r="O14" s="4"/>
      <c r="P14" s="4"/>
      <c r="Q14" s="4"/>
      <c r="R14" s="4"/>
      <c r="S14" s="4"/>
      <c r="T14" s="4"/>
      <c r="U14" s="4"/>
      <c r="V14" s="4"/>
      <c r="W14" s="3"/>
      <c r="X14" s="3"/>
      <c r="Y14" s="3"/>
      <c r="Z14" s="3"/>
    </row>
    <row r="15" spans="1:26" ht="12.75" customHeight="1">
      <c r="A15" s="15"/>
      <c r="B15" s="15" t="s">
        <v>82</v>
      </c>
      <c r="C15" s="262">
        <f>'Financial BUDGET'!C9</f>
        <v>479062.54</v>
      </c>
      <c r="D15" s="262">
        <f>'Financial BUDGET'!D9</f>
        <v>479062.54</v>
      </c>
      <c r="E15" s="262">
        <f>'Financial BUDGET'!E9</f>
        <v>479062.54</v>
      </c>
      <c r="F15" s="262">
        <f>'Financial BUDGET'!F9</f>
        <v>479062.54</v>
      </c>
      <c r="G15" s="262">
        <f>'Financial BUDGET'!G9</f>
        <v>479062.54</v>
      </c>
      <c r="H15" s="262">
        <f>'Financial BUDGET'!H9</f>
        <v>479062.54</v>
      </c>
      <c r="I15" s="262">
        <f>'Financial BUDGET'!I9</f>
        <v>479062.54</v>
      </c>
      <c r="J15" s="262">
        <f>'Financial BUDGET'!J9</f>
        <v>479062.54</v>
      </c>
      <c r="K15" s="262">
        <f>'Financial BUDGET'!K9</f>
        <v>479062.54</v>
      </c>
      <c r="L15" s="262">
        <f>'Financial BUDGET'!L9</f>
        <v>479062.54</v>
      </c>
      <c r="M15" s="262">
        <f>'Financial BUDGET'!M9</f>
        <v>479062.54</v>
      </c>
      <c r="N15" s="262">
        <f>'Financial BUDGET'!N9</f>
        <v>479062.54</v>
      </c>
      <c r="O15" s="4"/>
      <c r="P15" s="4"/>
      <c r="Q15" s="4"/>
      <c r="R15" s="4"/>
      <c r="S15" s="4"/>
      <c r="T15" s="4"/>
      <c r="U15" s="4"/>
      <c r="V15" s="4"/>
      <c r="W15" s="3"/>
      <c r="X15" s="3"/>
      <c r="Y15" s="3"/>
      <c r="Z15" s="3"/>
    </row>
    <row r="16" spans="1:26" ht="12.75" customHeight="1">
      <c r="A16" s="15"/>
      <c r="B16" s="15" t="s">
        <v>100</v>
      </c>
      <c r="C16" s="262">
        <f>'Financial BUDGET'!C32</f>
        <v>10156042.75</v>
      </c>
      <c r="D16" s="262">
        <f>'Financial BUDGET'!D32</f>
        <v>10507931.76</v>
      </c>
      <c r="E16" s="262">
        <f>'Financial BUDGET'!E32</f>
        <v>14876453.26</v>
      </c>
      <c r="F16" s="262">
        <f>'Financial BUDGET'!F32</f>
        <v>17913936.32</v>
      </c>
      <c r="G16" s="262">
        <f>'Financial BUDGET'!G32</f>
        <v>16602328.669999998</v>
      </c>
      <c r="H16" s="262">
        <f>'Financial BUDGET'!H32</f>
        <v>11716587.91</v>
      </c>
      <c r="I16" s="262">
        <f>'Financial BUDGET'!I32</f>
        <v>8737662.6500000004</v>
      </c>
      <c r="J16" s="262">
        <f>'Financial BUDGET'!J32</f>
        <v>8769854.0099999998</v>
      </c>
      <c r="K16" s="262">
        <f>'Financial BUDGET'!K32</f>
        <v>10564946.010000002</v>
      </c>
      <c r="L16" s="262">
        <f>'Financial BUDGET'!L32</f>
        <v>10222269.529999999</v>
      </c>
      <c r="M16" s="262">
        <f>'Financial BUDGET'!M32</f>
        <v>10608268.550000001</v>
      </c>
      <c r="N16" s="262">
        <f>'Financial BUDGET'!N32</f>
        <v>12229507.550000001</v>
      </c>
      <c r="O16" s="4"/>
      <c r="P16" s="4"/>
      <c r="Q16" s="4"/>
      <c r="R16" s="4"/>
      <c r="S16" s="4"/>
      <c r="T16" s="4"/>
      <c r="U16" s="4"/>
      <c r="V16" s="4"/>
      <c r="W16" s="3"/>
      <c r="X16" s="3"/>
      <c r="Y16" s="3"/>
      <c r="Z16" s="3"/>
    </row>
    <row r="17" spans="1:26" ht="12.75" customHeight="1">
      <c r="A17" s="237" t="s">
        <v>84</v>
      </c>
      <c r="B17" s="237" t="s">
        <v>56</v>
      </c>
      <c r="C17" s="236">
        <f>'Financial BUDGET'!C11</f>
        <v>-17486457.32</v>
      </c>
      <c r="D17" s="236">
        <f>'Financial BUDGET'!D11</f>
        <v>-17080683.32</v>
      </c>
      <c r="E17" s="236">
        <f>'Financial BUDGET'!E11</f>
        <v>-18779074.32</v>
      </c>
      <c r="F17" s="236">
        <f>'Financial BUDGET'!F11</f>
        <v>-16393725.940000001</v>
      </c>
      <c r="G17" s="236">
        <f>'Financial BUDGET'!G11</f>
        <v>-18198123.939999998</v>
      </c>
      <c r="H17" s="236">
        <f>'Financial BUDGET'!H11</f>
        <v>-18745041.939999998</v>
      </c>
      <c r="I17" s="236">
        <f>'Financial BUDGET'!I11</f>
        <v>-20438972.939999998</v>
      </c>
      <c r="J17" s="236">
        <f>'Financial BUDGET'!J11</f>
        <v>-19896925.939999998</v>
      </c>
      <c r="K17" s="236">
        <f>'Financial BUDGET'!K11</f>
        <v>-20741539.48</v>
      </c>
      <c r="L17" s="236">
        <f>'Financial BUDGET'!L11</f>
        <v>-17125160.940000001</v>
      </c>
      <c r="M17" s="236">
        <f>'Financial BUDGET'!M11</f>
        <v>-18572607.939999998</v>
      </c>
      <c r="N17" s="236">
        <f>'Financial BUDGET'!N11</f>
        <v>-19240921.939999998</v>
      </c>
      <c r="O17" s="4"/>
      <c r="P17" s="4"/>
      <c r="Q17" s="4"/>
      <c r="R17" s="4"/>
      <c r="S17" s="4"/>
      <c r="T17" s="4"/>
      <c r="U17" s="4"/>
      <c r="V17" s="4"/>
      <c r="W17" s="3"/>
      <c r="X17" s="3"/>
      <c r="Y17" s="3"/>
      <c r="Z17" s="3"/>
    </row>
    <row r="18" spans="1:26" ht="12.75" customHeight="1">
      <c r="A18" s="15"/>
      <c r="B18" s="15" t="s">
        <v>81</v>
      </c>
      <c r="C18" s="261">
        <f>'Financial BUDGET'!C12</f>
        <v>150914</v>
      </c>
      <c r="D18" s="261">
        <f>'Financial BUDGET'!D12</f>
        <v>150914</v>
      </c>
      <c r="E18" s="261">
        <f>'Financial BUDGET'!E12</f>
        <v>150914</v>
      </c>
      <c r="F18" s="261">
        <f>'Financial BUDGET'!F12</f>
        <v>145582</v>
      </c>
      <c r="G18" s="261">
        <f>'Financial BUDGET'!G12</f>
        <v>145582</v>
      </c>
      <c r="H18" s="261">
        <f>'Financial BUDGET'!H12</f>
        <v>341130</v>
      </c>
      <c r="I18" s="261">
        <f>'Financial BUDGET'!I12</f>
        <v>341130</v>
      </c>
      <c r="J18" s="261">
        <f>'Financial BUDGET'!J12</f>
        <v>528180</v>
      </c>
      <c r="K18" s="261">
        <f>'Financial BUDGET'!K12</f>
        <v>528180</v>
      </c>
      <c r="L18" s="261">
        <f>'Financial BUDGET'!L12</f>
        <v>145582</v>
      </c>
      <c r="M18" s="261">
        <f>'Financial BUDGET'!M12</f>
        <v>145582</v>
      </c>
      <c r="N18" s="261">
        <f>'Financial BUDGET'!N12</f>
        <v>145582</v>
      </c>
      <c r="O18" s="4"/>
      <c r="P18" s="4"/>
      <c r="Q18" s="4"/>
      <c r="R18" s="4"/>
      <c r="S18" s="4"/>
      <c r="T18" s="4"/>
      <c r="U18" s="4"/>
      <c r="V18" s="4"/>
      <c r="W18" s="3"/>
      <c r="X18" s="3"/>
      <c r="Y18" s="3"/>
      <c r="Z18" s="3"/>
    </row>
    <row r="19" spans="1:26" ht="12.75" customHeight="1">
      <c r="A19" s="15"/>
      <c r="B19" s="15" t="s">
        <v>82</v>
      </c>
      <c r="C19" s="261">
        <f>'Financial BUDGET'!C13</f>
        <v>4850</v>
      </c>
      <c r="D19" s="261">
        <f>'Financial BUDGET'!D13</f>
        <v>9600</v>
      </c>
      <c r="E19" s="261">
        <f>'Financial BUDGET'!E13</f>
        <v>4850</v>
      </c>
      <c r="F19" s="261">
        <f>'Financial BUDGET'!F13</f>
        <v>4850</v>
      </c>
      <c r="G19" s="261">
        <f>'Financial BUDGET'!G13</f>
        <v>4850</v>
      </c>
      <c r="H19" s="261">
        <f>'Financial BUDGET'!H13</f>
        <v>4850</v>
      </c>
      <c r="I19" s="261">
        <f>'Financial BUDGET'!I13</f>
        <v>4850</v>
      </c>
      <c r="J19" s="261">
        <f>'Financial BUDGET'!J13</f>
        <v>9600</v>
      </c>
      <c r="K19" s="261">
        <f>'Financial BUDGET'!K13</f>
        <v>4850</v>
      </c>
      <c r="L19" s="261">
        <f>'Financial BUDGET'!L13</f>
        <v>4850</v>
      </c>
      <c r="M19" s="261">
        <f>'Financial BUDGET'!M13</f>
        <v>4850</v>
      </c>
      <c r="N19" s="261">
        <f>'Financial BUDGET'!N13</f>
        <v>4850</v>
      </c>
      <c r="O19" s="4"/>
      <c r="P19" s="4"/>
      <c r="Q19" s="4"/>
      <c r="R19" s="4"/>
      <c r="S19" s="4"/>
      <c r="T19" s="4"/>
      <c r="U19" s="4"/>
      <c r="V19" s="4"/>
      <c r="W19" s="3"/>
      <c r="X19" s="3"/>
      <c r="Y19" s="3"/>
      <c r="Z19" s="3"/>
    </row>
    <row r="20" spans="1:26" ht="12.75" customHeight="1">
      <c r="A20" s="15"/>
      <c r="B20" s="15" t="s">
        <v>100</v>
      </c>
      <c r="C20" s="261">
        <f>'Financial BUDGET'!C38</f>
        <v>5306245.1399999997</v>
      </c>
      <c r="D20" s="261">
        <f>'Financial BUDGET'!D38</f>
        <v>4773912.8199999994</v>
      </c>
      <c r="E20" s="261">
        <f>'Financial BUDGET'!E38</f>
        <v>4697833.7299999995</v>
      </c>
      <c r="F20" s="261">
        <f>'Financial BUDGET'!F38</f>
        <v>2982712.6999999997</v>
      </c>
      <c r="G20" s="261">
        <f>'Financial BUDGET'!G38</f>
        <v>6311780.6000000006</v>
      </c>
      <c r="H20" s="261">
        <f>'Financial BUDGET'!H38</f>
        <v>2025499.16</v>
      </c>
      <c r="I20" s="261">
        <f>'Financial BUDGET'!I38</f>
        <v>3457616.66</v>
      </c>
      <c r="J20" s="261">
        <f>'Financial BUDGET'!J38</f>
        <v>2884003.88</v>
      </c>
      <c r="K20" s="261">
        <f>'Financial BUDGET'!K38</f>
        <v>2408511.39</v>
      </c>
      <c r="L20" s="261">
        <f>'Financial BUDGET'!L38</f>
        <v>4555248.4799999995</v>
      </c>
      <c r="M20" s="261">
        <f>'Financial BUDGET'!M38</f>
        <v>4548727.24</v>
      </c>
      <c r="N20" s="261">
        <f>'Financial BUDGET'!N38</f>
        <v>4544356.8599999994</v>
      </c>
      <c r="O20" s="4"/>
      <c r="P20" s="4"/>
      <c r="Q20" s="4"/>
      <c r="R20" s="4"/>
      <c r="S20" s="4"/>
      <c r="T20" s="4"/>
      <c r="U20" s="4"/>
      <c r="V20" s="4"/>
      <c r="W20" s="3"/>
      <c r="X20" s="3"/>
      <c r="Y20" s="3"/>
      <c r="Z20" s="3"/>
    </row>
    <row r="21" spans="1:26" ht="12.75" customHeight="1">
      <c r="A21" s="237" t="s">
        <v>94</v>
      </c>
      <c r="B21" s="237" t="s">
        <v>56</v>
      </c>
      <c r="C21" s="236">
        <f>'Financial BUDGET'!C15</f>
        <v>-42239683.579999998</v>
      </c>
      <c r="D21" s="236">
        <f>'Financial BUDGET'!D15</f>
        <v>-37985078.340000004</v>
      </c>
      <c r="E21" s="236">
        <f>'Financial BUDGET'!E15</f>
        <v>-39634663.370000005</v>
      </c>
      <c r="F21" s="236">
        <f>'Financial BUDGET'!F15</f>
        <v>-33611767.189999998</v>
      </c>
      <c r="G21" s="236">
        <f>'Financial BUDGET'!G15</f>
        <v>-39174034.289999999</v>
      </c>
      <c r="H21" s="236">
        <f>'Financial BUDGET'!H15</f>
        <v>-39715344.68</v>
      </c>
      <c r="I21" s="236">
        <f>'Financial BUDGET'!I15</f>
        <v>-48595312.140000001</v>
      </c>
      <c r="J21" s="236">
        <f>'Financial BUDGET'!J15</f>
        <v>-46554943.359999999</v>
      </c>
      <c r="K21" s="236">
        <f>'Financial BUDGET'!K15</f>
        <v>-47155447.079999998</v>
      </c>
      <c r="L21" s="236">
        <f>'Financial BUDGET'!L15</f>
        <v>-44259143.859999999</v>
      </c>
      <c r="M21" s="236">
        <f>'Financial BUDGET'!M15</f>
        <v>-43122999.579999998</v>
      </c>
      <c r="N21" s="236">
        <f>'Financial BUDGET'!N15</f>
        <v>-46202153.019999996</v>
      </c>
      <c r="O21" s="4"/>
      <c r="P21" s="4"/>
      <c r="Q21" s="4"/>
      <c r="R21" s="4"/>
      <c r="S21" s="4"/>
      <c r="T21" s="4"/>
      <c r="U21" s="4"/>
      <c r="V21" s="4"/>
      <c r="W21" s="3"/>
      <c r="X21" s="3"/>
      <c r="Y21" s="3"/>
      <c r="Z21" s="3"/>
    </row>
    <row r="22" spans="1:26" ht="12.75" customHeight="1">
      <c r="A22" s="15"/>
      <c r="B22" s="15" t="s">
        <v>81</v>
      </c>
      <c r="C22" s="261">
        <f>'Financial BUDGET'!C16</f>
        <v>350895</v>
      </c>
      <c r="D22" s="261">
        <f>'Financial BUDGET'!D16</f>
        <v>350895</v>
      </c>
      <c r="E22" s="261">
        <f>'Financial BUDGET'!E16</f>
        <v>350895</v>
      </c>
      <c r="F22" s="261">
        <f>'Financial BUDGET'!F16</f>
        <v>342470</v>
      </c>
      <c r="G22" s="261">
        <f>'Financial BUDGET'!G16</f>
        <v>342470</v>
      </c>
      <c r="H22" s="261">
        <f>'Financial BUDGET'!H16</f>
        <v>763807</v>
      </c>
      <c r="I22" s="261">
        <f>'Financial BUDGET'!I16</f>
        <v>763807</v>
      </c>
      <c r="J22" s="261">
        <f>'Financial BUDGET'!J16</f>
        <v>1166828</v>
      </c>
      <c r="K22" s="261">
        <f>'Financial BUDGET'!K16</f>
        <v>1166828</v>
      </c>
      <c r="L22" s="261">
        <f>'Financial BUDGET'!L16</f>
        <v>342470</v>
      </c>
      <c r="M22" s="261">
        <f>'Financial BUDGET'!M16</f>
        <v>342470</v>
      </c>
      <c r="N22" s="261">
        <f>'Financial BUDGET'!N16</f>
        <v>342470</v>
      </c>
      <c r="O22" s="4"/>
      <c r="P22" s="4"/>
      <c r="Q22" s="4"/>
      <c r="R22" s="4"/>
      <c r="S22" s="4"/>
      <c r="T22" s="4"/>
      <c r="U22" s="4"/>
      <c r="V22" s="4"/>
      <c r="W22" s="3"/>
      <c r="X22" s="3"/>
      <c r="Y22" s="3"/>
      <c r="Z22" s="3"/>
    </row>
    <row r="23" spans="1:26" ht="12.75" customHeight="1">
      <c r="A23" s="15"/>
      <c r="B23" s="15" t="s">
        <v>82</v>
      </c>
      <c r="C23" s="261">
        <f>'Financial BUDGET'!C17</f>
        <v>513912.54</v>
      </c>
      <c r="D23" s="261">
        <f>'Financial BUDGET'!D17</f>
        <v>518662.54</v>
      </c>
      <c r="E23" s="261">
        <f>'Financial BUDGET'!E17</f>
        <v>513836.27999999997</v>
      </c>
      <c r="F23" s="261">
        <f>'Financial BUDGET'!F17</f>
        <v>513912.54</v>
      </c>
      <c r="G23" s="261">
        <f>'Financial BUDGET'!G17</f>
        <v>513912.54</v>
      </c>
      <c r="H23" s="261">
        <f>'Financial BUDGET'!H17</f>
        <v>513912.54</v>
      </c>
      <c r="I23" s="261">
        <f>'Financial BUDGET'!I17</f>
        <v>513912.54</v>
      </c>
      <c r="J23" s="261">
        <f>'Financial BUDGET'!J17</f>
        <v>518662.54</v>
      </c>
      <c r="K23" s="261">
        <f>'Financial BUDGET'!K17</f>
        <v>513912.54</v>
      </c>
      <c r="L23" s="261">
        <f>'Financial BUDGET'!L17</f>
        <v>513912.54</v>
      </c>
      <c r="M23" s="261">
        <f>'Financial BUDGET'!M17</f>
        <v>513912.54</v>
      </c>
      <c r="N23" s="261">
        <f>'Financial BUDGET'!N17</f>
        <v>513912.54</v>
      </c>
      <c r="O23" s="4"/>
      <c r="P23" s="4"/>
      <c r="Q23" s="4"/>
      <c r="R23" s="4"/>
      <c r="S23" s="4"/>
      <c r="T23" s="4"/>
      <c r="U23" s="4"/>
      <c r="V23" s="4"/>
      <c r="W23" s="3"/>
      <c r="X23" s="3"/>
      <c r="Y23" s="3"/>
      <c r="Z23" s="3"/>
    </row>
    <row r="24" spans="1:26" ht="12.75" customHeight="1">
      <c r="A24" s="3"/>
      <c r="B24" s="3" t="s">
        <v>100</v>
      </c>
      <c r="C24" s="261">
        <f>'Financial BUDGET'!C46</f>
        <v>18333234.599999998</v>
      </c>
      <c r="D24" s="261">
        <f>'Financial BUDGET'!D46</f>
        <v>18175809.440000001</v>
      </c>
      <c r="E24" s="261">
        <f>'Financial BUDGET'!E46</f>
        <v>24520840.240000002</v>
      </c>
      <c r="F24" s="261">
        <f>'Financial BUDGET'!F46</f>
        <v>24546501.299999997</v>
      </c>
      <c r="G24" s="261">
        <f>'Financial BUDGET'!G46</f>
        <v>26304420.650000002</v>
      </c>
      <c r="H24" s="261">
        <f>'Financial BUDGET'!H46</f>
        <v>17038222.419999998</v>
      </c>
      <c r="I24" s="261">
        <f>'Financial BUDGET'!I46</f>
        <v>15566958.25</v>
      </c>
      <c r="J24" s="261">
        <f>'Financial BUDGET'!J46</f>
        <v>15139947.07</v>
      </c>
      <c r="K24" s="261">
        <f>'Financial BUDGET'!K46</f>
        <v>16394331.83</v>
      </c>
      <c r="L24" s="261">
        <f>'Financial BUDGET'!L46</f>
        <v>18260204.530000001</v>
      </c>
      <c r="M24" s="261">
        <f>'Financial BUDGET'!M46</f>
        <v>18516572.860000003</v>
      </c>
      <c r="N24" s="261">
        <f>'Financial BUDGET'!N46</f>
        <v>20655581.139999997</v>
      </c>
      <c r="O24" s="3"/>
      <c r="P24" s="3"/>
      <c r="Q24" s="3"/>
      <c r="R24" s="3"/>
      <c r="S24" s="3"/>
      <c r="T24" s="3"/>
      <c r="U24" s="3"/>
      <c r="V24" s="3"/>
      <c r="W24" s="3"/>
      <c r="X24" s="3"/>
      <c r="Y24" s="3"/>
      <c r="Z24" s="3"/>
    </row>
    <row r="25" spans="1:26" ht="27" customHeight="1">
      <c r="A25" s="159" t="s">
        <v>101</v>
      </c>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row>
    <row r="26" spans="1:26" ht="57.75" customHeight="1">
      <c r="A26" s="283" t="s">
        <v>102</v>
      </c>
      <c r="B26" s="272"/>
      <c r="C26" s="272"/>
      <c r="D26" s="272"/>
      <c r="E26" s="272"/>
      <c r="F26" s="272"/>
      <c r="G26" s="272"/>
      <c r="H26" s="272"/>
      <c r="I26" s="272"/>
      <c r="J26" s="272"/>
      <c r="K26" s="272"/>
      <c r="L26" s="132"/>
      <c r="M26" s="132"/>
      <c r="N26" s="132"/>
      <c r="O26" s="132"/>
      <c r="P26" s="132"/>
      <c r="Q26" s="132"/>
      <c r="R26" s="132"/>
      <c r="S26" s="132"/>
      <c r="T26" s="132"/>
      <c r="U26" s="132"/>
      <c r="V26" s="132"/>
      <c r="W26" s="132"/>
      <c r="X26" s="132"/>
      <c r="Y26" s="132"/>
      <c r="Z26" s="132"/>
    </row>
    <row r="27" spans="1:26" ht="15" customHeight="1">
      <c r="A27" s="163"/>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row>
    <row r="28" spans="1:26" ht="12.75" customHeight="1">
      <c r="A28" s="283" t="s">
        <v>162</v>
      </c>
      <c r="B28" s="272"/>
      <c r="C28" s="272"/>
      <c r="D28" s="272"/>
      <c r="E28" s="272"/>
      <c r="F28" s="272"/>
      <c r="G28" s="272"/>
      <c r="H28" s="272"/>
      <c r="I28" s="272"/>
      <c r="J28" s="272"/>
      <c r="K28" s="272"/>
      <c r="L28" s="272"/>
      <c r="M28" s="272"/>
      <c r="N28" s="272"/>
      <c r="O28" s="272"/>
      <c r="P28" s="272"/>
      <c r="Q28" s="272"/>
      <c r="R28" s="272"/>
      <c r="S28" s="272"/>
      <c r="T28" s="272"/>
      <c r="U28" s="272"/>
      <c r="V28" s="272"/>
      <c r="W28" s="272"/>
      <c r="X28" s="272"/>
      <c r="Y28" s="272"/>
      <c r="Z28" s="272"/>
    </row>
    <row r="29" spans="1:26" ht="27" customHeight="1">
      <c r="A29" s="63" t="s">
        <v>94</v>
      </c>
      <c r="B29" s="160"/>
      <c r="C29" s="13" t="s">
        <v>43</v>
      </c>
      <c r="D29" s="13" t="s">
        <v>44</v>
      </c>
      <c r="E29" s="13" t="s">
        <v>45</v>
      </c>
      <c r="F29" s="13" t="s">
        <v>46</v>
      </c>
      <c r="G29" s="13" t="s">
        <v>47</v>
      </c>
      <c r="H29" s="13" t="s">
        <v>48</v>
      </c>
      <c r="I29" s="13" t="s">
        <v>49</v>
      </c>
      <c r="J29" s="13" t="s">
        <v>50</v>
      </c>
      <c r="K29" s="13" t="s">
        <v>51</v>
      </c>
      <c r="L29" s="13" t="s">
        <v>52</v>
      </c>
      <c r="M29" s="13" t="s">
        <v>53</v>
      </c>
      <c r="N29" s="13" t="s">
        <v>54</v>
      </c>
      <c r="O29" s="3"/>
      <c r="P29" s="3"/>
      <c r="Q29" s="3"/>
      <c r="R29" s="3"/>
      <c r="S29" s="3"/>
      <c r="T29" s="3"/>
      <c r="U29" s="3"/>
      <c r="V29" s="3"/>
      <c r="W29" s="3"/>
      <c r="X29" s="3"/>
      <c r="Y29" s="3"/>
      <c r="Z29" s="3"/>
    </row>
    <row r="30" spans="1:26" ht="12.75" customHeight="1">
      <c r="A30" s="161" t="s">
        <v>55</v>
      </c>
      <c r="B30" s="162" t="s">
        <v>56</v>
      </c>
      <c r="C30" s="34">
        <f>'Financial ACTUALS'!E5</f>
        <v>-8460389.8399999999</v>
      </c>
      <c r="D30" s="34">
        <f>'Financial ACTUALS'!F5</f>
        <v>-8149859.6999999993</v>
      </c>
      <c r="E30" s="34">
        <f>'Financial ACTUALS'!G5</f>
        <v>-7531701.29</v>
      </c>
      <c r="F30" s="34">
        <f>'Financial ACTUALS'!H5</f>
        <v>-7473771.8099999996</v>
      </c>
      <c r="G30" s="34">
        <f>'Financial ACTUALS'!I5</f>
        <v>-7892157.04</v>
      </c>
      <c r="H30" s="34">
        <f>'Financial ACTUALS'!J5</f>
        <v>-7699347.6500000004</v>
      </c>
      <c r="I30" s="34">
        <f>'Financial ACTUALS'!K5</f>
        <v>-11178158.369999999</v>
      </c>
      <c r="J30" s="34">
        <f>'Financial ACTUALS'!L5</f>
        <v>-9894599.1999999993</v>
      </c>
      <c r="K30" s="34">
        <f>'Financial ACTUALS'!M5</f>
        <v>-10434056.43</v>
      </c>
      <c r="L30" s="34">
        <f>'Financial ACTUALS'!N5</f>
        <v>-7635103.0900000008</v>
      </c>
      <c r="M30" s="34">
        <f>'Financial ACTUALS'!O5</f>
        <v>-7710730.1799999997</v>
      </c>
      <c r="N30" s="34">
        <f>'Financial ACTUALS'!P5</f>
        <v>-7415391.3399999999</v>
      </c>
      <c r="O30" s="3"/>
      <c r="P30" s="3"/>
      <c r="Q30" s="3"/>
      <c r="R30" s="3"/>
      <c r="S30" s="3"/>
      <c r="T30" s="3"/>
      <c r="U30" s="3"/>
      <c r="V30" s="3"/>
      <c r="W30" s="3"/>
      <c r="X30" s="3"/>
      <c r="Y30" s="3"/>
      <c r="Z30" s="3"/>
    </row>
    <row r="31" spans="1:26" ht="12.75" customHeight="1">
      <c r="A31" s="15"/>
      <c r="B31" s="15" t="s">
        <v>81</v>
      </c>
      <c r="C31" s="34">
        <f>'Financial ACTUALS'!E6</f>
        <v>35500.949999999997</v>
      </c>
      <c r="D31" s="34">
        <f>'Financial ACTUALS'!F6</f>
        <v>24210.95</v>
      </c>
      <c r="E31" s="34">
        <f>'Financial ACTUALS'!G6</f>
        <v>41241.32</v>
      </c>
      <c r="F31" s="34">
        <f>'Financial ACTUALS'!H6</f>
        <v>26123</v>
      </c>
      <c r="G31" s="34">
        <f>'Financial ACTUALS'!I6</f>
        <v>32233</v>
      </c>
      <c r="H31" s="34">
        <f>'Financial ACTUALS'!J6</f>
        <v>31527</v>
      </c>
      <c r="I31" s="34">
        <f>'Financial ACTUALS'!K6</f>
        <v>32471</v>
      </c>
      <c r="J31" s="34">
        <f>'Financial ACTUALS'!L6</f>
        <v>35288</v>
      </c>
      <c r="K31" s="34">
        <f>'Financial ACTUALS'!M6</f>
        <v>27349</v>
      </c>
      <c r="L31" s="34">
        <f>'Financial ACTUALS'!N6</f>
        <v>27343</v>
      </c>
      <c r="M31" s="34">
        <f>'Financial ACTUALS'!O6</f>
        <v>28172</v>
      </c>
      <c r="N31" s="34">
        <f>'Financial ACTUALS'!P6</f>
        <v>33589</v>
      </c>
      <c r="O31" s="3"/>
      <c r="P31" s="3"/>
      <c r="Q31" s="3"/>
      <c r="R31" s="3"/>
      <c r="S31" s="3"/>
      <c r="T31" s="3"/>
      <c r="U31" s="3"/>
      <c r="V31" s="3"/>
      <c r="W31" s="3"/>
      <c r="X31" s="3"/>
      <c r="Y31" s="3"/>
      <c r="Z31" s="3"/>
    </row>
    <row r="32" spans="1:26" ht="12.75" customHeight="1">
      <c r="A32" s="15"/>
      <c r="B32" s="15" t="s">
        <v>82</v>
      </c>
      <c r="C32" s="34">
        <f>'Financial ACTUALS'!E7</f>
        <v>19203.259999999998</v>
      </c>
      <c r="D32" s="34">
        <f>'Financial ACTUALS'!F7</f>
        <v>31298.22</v>
      </c>
      <c r="E32" s="34">
        <f>'Financial ACTUALS'!G7</f>
        <v>21242.74</v>
      </c>
      <c r="F32" s="34">
        <f>'Financial ACTUALS'!H7</f>
        <v>25800</v>
      </c>
      <c r="G32" s="34">
        <f>'Financial ACTUALS'!I7</f>
        <v>28652</v>
      </c>
      <c r="H32" s="34">
        <f>'Financial ACTUALS'!J7</f>
        <v>31034</v>
      </c>
      <c r="I32" s="34">
        <f>'Financial ACTUALS'!K7</f>
        <v>29518</v>
      </c>
      <c r="J32" s="34">
        <f>'Financial ACTUALS'!L7</f>
        <v>28654</v>
      </c>
      <c r="K32" s="34">
        <f>'Financial ACTUALS'!M7</f>
        <v>21938</v>
      </c>
      <c r="L32" s="34">
        <f>'Financial ACTUALS'!N7</f>
        <v>30933</v>
      </c>
      <c r="M32" s="34">
        <f>'Financial ACTUALS'!O7</f>
        <v>27132</v>
      </c>
      <c r="N32" s="34">
        <f>'Financial ACTUALS'!P7</f>
        <v>29759</v>
      </c>
      <c r="O32" s="3"/>
      <c r="P32" s="3"/>
      <c r="Q32" s="3"/>
      <c r="R32" s="3"/>
      <c r="S32" s="3"/>
      <c r="T32" s="3"/>
      <c r="U32" s="3"/>
      <c r="V32" s="3"/>
      <c r="W32" s="3"/>
      <c r="X32" s="3"/>
      <c r="Y32" s="3"/>
      <c r="Z32" s="3"/>
    </row>
    <row r="33" spans="1:26" ht="12.75" customHeight="1">
      <c r="A33" s="15"/>
      <c r="B33" s="15" t="s">
        <v>100</v>
      </c>
      <c r="C33" s="34">
        <f>'Financial ACTUALS'!E27</f>
        <v>3355241.0299999896</v>
      </c>
      <c r="D33" s="34">
        <f>'Financial ACTUALS'!F27</f>
        <v>4635971.09</v>
      </c>
      <c r="E33" s="34">
        <f>'Financial ACTUALS'!G27</f>
        <v>3629534.96999999</v>
      </c>
      <c r="F33" s="34">
        <f>'Financial ACTUALS'!H27</f>
        <v>3445023.51</v>
      </c>
      <c r="G33" s="34">
        <f>'Financial ACTUALS'!I27</f>
        <v>3537886.1</v>
      </c>
      <c r="H33" s="34">
        <f>'Financial ACTUALS'!J27</f>
        <v>3402717.4</v>
      </c>
      <c r="I33" s="34">
        <f>'Financial ACTUALS'!K27</f>
        <v>4274662.879999999</v>
      </c>
      <c r="J33" s="34">
        <f>'Financial ACTUALS'!L27</f>
        <v>3598813.38</v>
      </c>
      <c r="K33" s="34">
        <f>'Financial ACTUALS'!M27</f>
        <v>3590616.16</v>
      </c>
      <c r="L33" s="34">
        <f>'Financial ACTUALS'!N27</f>
        <v>3598415.73</v>
      </c>
      <c r="M33" s="34">
        <f>'Financial ACTUALS'!O27</f>
        <v>3821108.75</v>
      </c>
      <c r="N33" s="34">
        <f>'Financial ACTUALS'!P27</f>
        <v>4356345.83</v>
      </c>
      <c r="O33" s="3"/>
      <c r="P33" s="3"/>
      <c r="Q33" s="3"/>
      <c r="R33" s="3"/>
      <c r="S33" s="3"/>
      <c r="T33" s="3"/>
      <c r="U33" s="3"/>
      <c r="V33" s="3"/>
      <c r="W33" s="3"/>
      <c r="X33" s="3"/>
      <c r="Y33" s="3"/>
      <c r="Z33" s="3"/>
    </row>
    <row r="34" spans="1:26" ht="12.75" customHeight="1">
      <c r="A34" s="15" t="s">
        <v>69</v>
      </c>
      <c r="B34" s="15" t="s">
        <v>56</v>
      </c>
      <c r="C34" s="34">
        <f>'Financial ACTUALS'!E8</f>
        <v>-19894012.739999998</v>
      </c>
      <c r="D34" s="34">
        <f>'Financial ACTUALS'!F8</f>
        <v>-16863304.57</v>
      </c>
      <c r="E34" s="34">
        <f>'Financial ACTUALS'!G8</f>
        <v>-18634437.710000001</v>
      </c>
      <c r="F34" s="34">
        <f>'Financial ACTUALS'!H8</f>
        <v>-17531805.759999998</v>
      </c>
      <c r="G34" s="34">
        <f>'Financial ACTUALS'!I8</f>
        <v>-16086473.6</v>
      </c>
      <c r="H34" s="34">
        <f>'Financial ACTUALS'!J8</f>
        <v>-17992774.75</v>
      </c>
      <c r="I34" s="34">
        <f>'Financial ACTUALS'!K8</f>
        <v>-25540140.41</v>
      </c>
      <c r="J34" s="34">
        <f>'Financial ACTUALS'!L8</f>
        <v>-23695398.210000001</v>
      </c>
      <c r="K34" s="34">
        <f>'Financial ACTUALS'!M8</f>
        <v>-22536666.82</v>
      </c>
      <c r="L34" s="34">
        <f>'Financial ACTUALS'!N8</f>
        <v>-18635306.310000002</v>
      </c>
      <c r="M34" s="34">
        <f>'Financial ACTUALS'!O8</f>
        <v>-17104640.780000001</v>
      </c>
      <c r="N34" s="34">
        <f>'Financial ACTUALS'!P8</f>
        <v>-18482607.449999999</v>
      </c>
      <c r="O34" s="3"/>
      <c r="P34" s="3"/>
      <c r="Q34" s="3"/>
      <c r="R34" s="3"/>
      <c r="S34" s="3"/>
      <c r="T34" s="3"/>
      <c r="U34" s="3"/>
      <c r="V34" s="3"/>
      <c r="W34" s="3"/>
      <c r="X34" s="3"/>
      <c r="Y34" s="3"/>
      <c r="Z34" s="3"/>
    </row>
    <row r="35" spans="1:26" ht="12.75" customHeight="1">
      <c r="A35" s="15"/>
      <c r="B35" s="15" t="s">
        <v>81</v>
      </c>
      <c r="C35" s="34">
        <f>'Financial ACTUALS'!E9</f>
        <v>686673.01</v>
      </c>
      <c r="D35" s="34">
        <f>'Financial ACTUALS'!F9</f>
        <v>867081.49</v>
      </c>
      <c r="E35" s="34">
        <f>'Financial ACTUALS'!G9</f>
        <v>6727.15</v>
      </c>
      <c r="F35" s="34">
        <f>'Financial ACTUALS'!H9</f>
        <v>401.530000000006</v>
      </c>
      <c r="G35" s="34">
        <f>'Financial ACTUALS'!I9</f>
        <v>144797.4</v>
      </c>
      <c r="H35" s="34">
        <f>'Financial ACTUALS'!J9</f>
        <v>652415.07999999996</v>
      </c>
      <c r="I35" s="34">
        <f>'Financial ACTUALS'!K9</f>
        <v>27790.66</v>
      </c>
      <c r="J35" s="34">
        <f>'Financial ACTUALS'!L9</f>
        <v>507467.89</v>
      </c>
      <c r="K35" s="34">
        <f>'Financial ACTUALS'!M9</f>
        <v>241353.12</v>
      </c>
      <c r="L35" s="34">
        <f>'Financial ACTUALS'!N9</f>
        <v>95261.1</v>
      </c>
      <c r="M35" s="34">
        <f>'Financial ACTUALS'!O9</f>
        <v>197723.18</v>
      </c>
      <c r="N35" s="34">
        <f>'Financial ACTUALS'!P9</f>
        <v>175247.34</v>
      </c>
      <c r="O35" s="3"/>
      <c r="P35" s="3"/>
      <c r="Q35" s="3"/>
      <c r="R35" s="3"/>
      <c r="S35" s="3"/>
      <c r="T35" s="3"/>
      <c r="U35" s="3"/>
      <c r="V35" s="3"/>
      <c r="W35" s="3"/>
      <c r="X35" s="3"/>
      <c r="Y35" s="3"/>
      <c r="Z35" s="3"/>
    </row>
    <row r="36" spans="1:26" ht="12.75" customHeight="1">
      <c r="A36" s="15"/>
      <c r="B36" s="15" t="s">
        <v>82</v>
      </c>
      <c r="C36" s="34">
        <f>'Financial ACTUALS'!E10</f>
        <v>241931.03000000003</v>
      </c>
      <c r="D36" s="34">
        <f>'Financial ACTUALS'!F10</f>
        <v>228177.66</v>
      </c>
      <c r="E36" s="34">
        <f>'Financial ACTUALS'!G10</f>
        <v>362088.43</v>
      </c>
      <c r="F36" s="34">
        <f>'Financial ACTUALS'!H10</f>
        <v>211688.28</v>
      </c>
      <c r="G36" s="34">
        <f>'Financial ACTUALS'!I10</f>
        <v>237346.23</v>
      </c>
      <c r="H36" s="34">
        <f>'Financial ACTUALS'!J10</f>
        <v>293131.57</v>
      </c>
      <c r="I36" s="34">
        <f>'Financial ACTUALS'!K10</f>
        <v>335872.34</v>
      </c>
      <c r="J36" s="34">
        <f>'Financial ACTUALS'!L10</f>
        <v>333612.56</v>
      </c>
      <c r="K36" s="34">
        <f>'Financial ACTUALS'!M10</f>
        <v>288580.33</v>
      </c>
      <c r="L36" s="34">
        <f>'Financial ACTUALS'!N10</f>
        <v>270114.8</v>
      </c>
      <c r="M36" s="34">
        <f>'Financial ACTUALS'!O10</f>
        <v>279543.5</v>
      </c>
      <c r="N36" s="34">
        <f>'Financial ACTUALS'!P10</f>
        <v>423607.52</v>
      </c>
      <c r="O36" s="3"/>
      <c r="P36" s="3"/>
      <c r="Q36" s="3"/>
      <c r="R36" s="3"/>
      <c r="S36" s="3"/>
      <c r="T36" s="3"/>
      <c r="U36" s="3"/>
      <c r="V36" s="3"/>
      <c r="W36" s="3"/>
      <c r="X36" s="3"/>
      <c r="Y36" s="3"/>
      <c r="Z36" s="3"/>
    </row>
    <row r="37" spans="1:26" ht="12.75" customHeight="1">
      <c r="A37" s="15"/>
      <c r="B37" s="15" t="s">
        <v>100</v>
      </c>
      <c r="C37" s="34">
        <f>'Financial ACTUALS'!E32</f>
        <v>11422413.93</v>
      </c>
      <c r="D37" s="34">
        <f>'Financial ACTUALS'!F32</f>
        <v>13760706</v>
      </c>
      <c r="E37" s="34">
        <f>'Financial ACTUALS'!G32</f>
        <v>13907840.720000001</v>
      </c>
      <c r="F37" s="34">
        <f>'Financial ACTUALS'!H32</f>
        <v>18647198.620000001</v>
      </c>
      <c r="G37" s="34">
        <f>'Financial ACTUALS'!I32</f>
        <v>20171698.659999996</v>
      </c>
      <c r="H37" s="34">
        <f>'Financial ACTUALS'!J32</f>
        <v>10312374.780000001</v>
      </c>
      <c r="I37" s="34">
        <f>'Financial ACTUALS'!K32</f>
        <v>9642006.7300000004</v>
      </c>
      <c r="J37" s="34">
        <f>'Financial ACTUALS'!L32</f>
        <v>11352257.67</v>
      </c>
      <c r="K37" s="34">
        <f>'Financial ACTUALS'!M32</f>
        <v>10349340.02</v>
      </c>
      <c r="L37" s="34">
        <f>'Financial ACTUALS'!N32</f>
        <v>11122716.970000001</v>
      </c>
      <c r="M37" s="34">
        <f>'Financial ACTUALS'!O32</f>
        <v>13043106.200000001</v>
      </c>
      <c r="N37" s="34">
        <f>'Financial ACTUALS'!P32</f>
        <v>6755372.5199999996</v>
      </c>
      <c r="O37" s="3"/>
      <c r="P37" s="3"/>
      <c r="Q37" s="3"/>
      <c r="R37" s="3"/>
      <c r="S37" s="3"/>
      <c r="T37" s="3"/>
      <c r="U37" s="3"/>
      <c r="V37" s="3"/>
      <c r="W37" s="3"/>
      <c r="X37" s="3"/>
      <c r="Y37" s="3"/>
      <c r="Z37" s="3"/>
    </row>
    <row r="38" spans="1:26" ht="12.75" customHeight="1">
      <c r="A38" s="15" t="s">
        <v>84</v>
      </c>
      <c r="B38" s="15" t="s">
        <v>56</v>
      </c>
      <c r="C38" s="34">
        <f>'Financial ACTUALS'!E14</f>
        <v>-14823183.890000001</v>
      </c>
      <c r="D38" s="34">
        <f>'Financial ACTUALS'!F14</f>
        <v>-16339448.65</v>
      </c>
      <c r="E38" s="34">
        <f>'Financial ACTUALS'!G14</f>
        <v>-14895162.68</v>
      </c>
      <c r="F38" s="34">
        <f>'Financial ACTUALS'!H14</f>
        <v>-12698823.350000001</v>
      </c>
      <c r="G38" s="34">
        <f>'Financial ACTUALS'!I14</f>
        <v>-14008587.450000001</v>
      </c>
      <c r="H38" s="34">
        <f>'Financial ACTUALS'!J14</f>
        <v>-12192418.84</v>
      </c>
      <c r="I38" s="34">
        <f>'Financial ACTUALS'!K14</f>
        <v>-17974980.299999997</v>
      </c>
      <c r="J38" s="34">
        <f>'Financial ACTUALS'!L14</f>
        <v>-17248286.52</v>
      </c>
      <c r="K38" s="34">
        <f>'Financial ACTUALS'!M14</f>
        <v>-17157766.699999999</v>
      </c>
      <c r="L38" s="34">
        <f>'Financial ACTUALS'!N14</f>
        <v>-17481320.02</v>
      </c>
      <c r="M38" s="34">
        <f>'Financial ACTUALS'!O14</f>
        <v>-17365877.739999998</v>
      </c>
      <c r="N38" s="34">
        <f>'Financial ACTUALS'!P14</f>
        <v>-18008731.18</v>
      </c>
      <c r="O38" s="3"/>
      <c r="P38" s="3"/>
      <c r="Q38" s="3"/>
      <c r="R38" s="3"/>
      <c r="S38" s="3"/>
      <c r="T38" s="3"/>
      <c r="U38" s="3"/>
      <c r="V38" s="3"/>
      <c r="W38" s="3"/>
      <c r="X38" s="3"/>
      <c r="Y38" s="3"/>
      <c r="Z38" s="3"/>
    </row>
    <row r="39" spans="1:26" ht="12.75" customHeight="1">
      <c r="A39" s="15"/>
      <c r="B39" s="15" t="s">
        <v>81</v>
      </c>
      <c r="C39" s="34">
        <f>'Financial ACTUALS'!E15</f>
        <v>125993.22</v>
      </c>
      <c r="D39" s="34">
        <f>'Financial ACTUALS'!F15</f>
        <v>75075.8</v>
      </c>
      <c r="E39" s="34">
        <f>'Financial ACTUALS'!G15</f>
        <v>44153.440000000002</v>
      </c>
      <c r="F39" s="34">
        <f>'Financial ACTUALS'!H15</f>
        <v>71345.01999999999</v>
      </c>
      <c r="G39" s="34">
        <f>'Financial ACTUALS'!I15</f>
        <v>-20479.969999999998</v>
      </c>
      <c r="H39" s="34">
        <f>'Financial ACTUALS'!J15</f>
        <v>9632.59</v>
      </c>
      <c r="I39" s="34">
        <f>'Financial ACTUALS'!K15</f>
        <v>476546.05</v>
      </c>
      <c r="J39" s="34">
        <f>'Financial ACTUALS'!L15</f>
        <v>464219.42</v>
      </c>
      <c r="K39" s="34">
        <f>'Financial ACTUALS'!M15</f>
        <v>221113.88999999998</v>
      </c>
      <c r="L39" s="34">
        <f>'Financial ACTUALS'!N15</f>
        <v>224277.79</v>
      </c>
      <c r="M39" s="34">
        <f>'Financial ACTUALS'!O15</f>
        <v>263709.95</v>
      </c>
      <c r="N39" s="34">
        <f>'Financial ACTUALS'!P15</f>
        <v>-77601.91</v>
      </c>
      <c r="O39" s="3"/>
      <c r="P39" s="3"/>
      <c r="Q39" s="3"/>
      <c r="R39" s="3"/>
      <c r="S39" s="3"/>
      <c r="T39" s="3"/>
      <c r="U39" s="3"/>
      <c r="V39" s="3"/>
      <c r="W39" s="3"/>
      <c r="X39" s="3"/>
      <c r="Y39" s="3"/>
      <c r="Z39" s="3"/>
    </row>
    <row r="40" spans="1:26" ht="12.75" customHeight="1">
      <c r="A40" s="15"/>
      <c r="B40" s="15" t="s">
        <v>82</v>
      </c>
      <c r="C40" s="34">
        <f>'Financial ACTUALS'!E16</f>
        <v>855.07000000000016</v>
      </c>
      <c r="D40" s="34">
        <f>'Financial ACTUALS'!F16</f>
        <v>8643.11</v>
      </c>
      <c r="E40" s="34">
        <f>'Financial ACTUALS'!G16</f>
        <v>7004.54</v>
      </c>
      <c r="F40" s="34">
        <f>'Financial ACTUALS'!H16</f>
        <v>-4277.2699999999986</v>
      </c>
      <c r="G40" s="34">
        <f>'Financial ACTUALS'!I16</f>
        <v>9314.75</v>
      </c>
      <c r="H40" s="34">
        <f>'Financial ACTUALS'!J16</f>
        <v>8194.59</v>
      </c>
      <c r="I40" s="34">
        <f>'Financial ACTUALS'!K16</f>
        <v>12985.24</v>
      </c>
      <c r="J40" s="34">
        <f>'Financial ACTUALS'!L16</f>
        <v>8327.32</v>
      </c>
      <c r="K40" s="34">
        <f>'Financial ACTUALS'!M16</f>
        <v>12745.36</v>
      </c>
      <c r="L40" s="34">
        <f>'Financial ACTUALS'!N16</f>
        <v>7073.15</v>
      </c>
      <c r="M40" s="34">
        <f>'Financial ACTUALS'!O16</f>
        <v>8678.7800000000007</v>
      </c>
      <c r="N40" s="34">
        <f>'Financial ACTUALS'!P16</f>
        <v>12419.05</v>
      </c>
      <c r="O40" s="3"/>
      <c r="P40" s="3"/>
      <c r="Q40" s="226"/>
      <c r="R40" s="3"/>
      <c r="S40" s="3"/>
      <c r="T40" s="3"/>
      <c r="U40" s="3"/>
      <c r="V40" s="3"/>
      <c r="W40" s="3"/>
      <c r="X40" s="3"/>
      <c r="Y40" s="3"/>
      <c r="Z40" s="3"/>
    </row>
    <row r="41" spans="1:26" ht="12.75" customHeight="1">
      <c r="A41" s="15"/>
      <c r="B41" s="15" t="s">
        <v>100</v>
      </c>
      <c r="C41" s="34">
        <f>'Financial ACTUALS'!E39</f>
        <v>5155467.82</v>
      </c>
      <c r="D41" s="34">
        <f>'Financial ACTUALS'!F39</f>
        <v>4107219.28</v>
      </c>
      <c r="E41" s="34">
        <f>'Financial ACTUALS'!G39</f>
        <v>5551987.3199999994</v>
      </c>
      <c r="F41" s="34">
        <f>'Financial ACTUALS'!H39</f>
        <v>4670026.4399999995</v>
      </c>
      <c r="G41" s="34">
        <f>'Financial ACTUALS'!I39</f>
        <v>3971268.39</v>
      </c>
      <c r="H41" s="34">
        <f>'Financial ACTUALS'!J39</f>
        <v>2944600.0500000003</v>
      </c>
      <c r="I41" s="34">
        <f>'Financial ACTUALS'!K39</f>
        <v>3143819.16</v>
      </c>
      <c r="J41" s="34">
        <f>'Financial ACTUALS'!L39</f>
        <v>2699686.7399999998</v>
      </c>
      <c r="K41" s="34">
        <f>'Financial ACTUALS'!M39</f>
        <v>3795500.0700000003</v>
      </c>
      <c r="L41" s="34">
        <f>'Financial ACTUALS'!N39</f>
        <v>2066688.56</v>
      </c>
      <c r="M41" s="34">
        <f>'Financial ACTUALS'!O39</f>
        <v>2668702.2799999993</v>
      </c>
      <c r="N41" s="34">
        <f>'Financial ACTUALS'!P39</f>
        <v>4761502.4300000006</v>
      </c>
      <c r="O41" s="3"/>
      <c r="P41" s="3"/>
      <c r="Q41" s="3"/>
      <c r="R41" s="3"/>
      <c r="S41" s="3"/>
      <c r="T41" s="3"/>
      <c r="U41" s="3"/>
      <c r="V41" s="3"/>
      <c r="W41" s="3"/>
      <c r="X41" s="3"/>
      <c r="Y41" s="3"/>
      <c r="Z41" s="3"/>
    </row>
    <row r="42" spans="1:26" ht="12.75" customHeight="1">
      <c r="A42" s="15" t="s">
        <v>94</v>
      </c>
      <c r="B42" s="15" t="s">
        <v>56</v>
      </c>
      <c r="C42" s="209">
        <f>SUM(C30, C34, C38)</f>
        <v>-43177586.469999999</v>
      </c>
      <c r="D42" s="209">
        <f t="shared" ref="D42:N42" si="0">SUM(D30, D34, D38)</f>
        <v>-41352612.920000002</v>
      </c>
      <c r="E42" s="209">
        <f t="shared" si="0"/>
        <v>-41061301.68</v>
      </c>
      <c r="F42" s="209">
        <f t="shared" si="0"/>
        <v>-37704400.920000002</v>
      </c>
      <c r="G42" s="209">
        <f t="shared" si="0"/>
        <v>-37987218.090000004</v>
      </c>
      <c r="H42" s="209">
        <f t="shared" si="0"/>
        <v>-37884541.239999995</v>
      </c>
      <c r="I42" s="209">
        <f t="shared" si="0"/>
        <v>-54693279.079999998</v>
      </c>
      <c r="J42" s="209">
        <f t="shared" si="0"/>
        <v>-50838283.929999992</v>
      </c>
      <c r="K42" s="209">
        <f t="shared" si="0"/>
        <v>-50128489.950000003</v>
      </c>
      <c r="L42" s="209">
        <f t="shared" si="0"/>
        <v>-43751729.420000002</v>
      </c>
      <c r="M42" s="209">
        <f t="shared" si="0"/>
        <v>-42181248.700000003</v>
      </c>
      <c r="N42" s="209">
        <f t="shared" si="0"/>
        <v>-43906729.969999999</v>
      </c>
      <c r="O42" s="3"/>
      <c r="P42" s="3"/>
      <c r="Q42" s="3"/>
      <c r="R42" s="3"/>
      <c r="S42" s="3"/>
      <c r="T42" s="3"/>
      <c r="U42" s="3"/>
      <c r="V42" s="3"/>
      <c r="W42" s="3"/>
      <c r="X42" s="3"/>
      <c r="Y42" s="3"/>
      <c r="Z42" s="3"/>
    </row>
    <row r="43" spans="1:26" ht="12.75" customHeight="1">
      <c r="A43" s="15"/>
      <c r="B43" s="15" t="s">
        <v>81</v>
      </c>
      <c r="C43" s="34">
        <f>'Financial ACTUALS'!E18</f>
        <v>848167.17999999993</v>
      </c>
      <c r="D43" s="34">
        <f>'Financial ACTUALS'!F18</f>
        <v>966368.24</v>
      </c>
      <c r="E43" s="34">
        <f>'Financial ACTUALS'!G18</f>
        <v>92121.91</v>
      </c>
      <c r="F43" s="34">
        <f>'Financial ACTUALS'!H18</f>
        <v>97869.549999999988</v>
      </c>
      <c r="G43" s="34">
        <f>'Financial ACTUALS'!I18</f>
        <v>156550.43</v>
      </c>
      <c r="H43" s="34">
        <f>'Financial ACTUALS'!J18</f>
        <v>693574.66999999993</v>
      </c>
      <c r="I43" s="34">
        <f>'Financial ACTUALS'!K18</f>
        <v>536807.71</v>
      </c>
      <c r="J43" s="34">
        <f>'Financial ACTUALS'!L18</f>
        <v>1006975.31</v>
      </c>
      <c r="K43" s="34">
        <f>'Financial ACTUALS'!M18</f>
        <v>489816.01</v>
      </c>
      <c r="L43" s="34">
        <f>'Financial ACTUALS'!N18</f>
        <v>346881.89</v>
      </c>
      <c r="M43" s="34">
        <f>'Financial ACTUALS'!O18</f>
        <v>489605.13</v>
      </c>
      <c r="N43" s="34">
        <f>'Financial ACTUALS'!P18</f>
        <v>131234.43</v>
      </c>
      <c r="O43" s="3"/>
      <c r="P43" s="3"/>
      <c r="Q43" s="3"/>
      <c r="R43" s="3"/>
      <c r="S43" s="3"/>
      <c r="T43" s="3"/>
      <c r="U43" s="3"/>
      <c r="V43" s="3"/>
      <c r="W43" s="3"/>
      <c r="X43" s="3"/>
      <c r="Y43" s="3"/>
      <c r="Z43" s="3"/>
    </row>
    <row r="44" spans="1:26" ht="12.75" customHeight="1">
      <c r="A44" s="15"/>
      <c r="B44" s="15" t="s">
        <v>82</v>
      </c>
      <c r="C44" s="34">
        <f>'Financial ACTUALS'!E19</f>
        <v>261989.36000000004</v>
      </c>
      <c r="D44" s="34">
        <f>'Financial ACTUALS'!F19</f>
        <v>268118.99</v>
      </c>
      <c r="E44" s="34">
        <f>'Financial ACTUALS'!G19</f>
        <v>390335.70999999996</v>
      </c>
      <c r="F44" s="34">
        <f>'Financial ACTUALS'!H19</f>
        <v>233211.01</v>
      </c>
      <c r="G44" s="34">
        <f>'Financial ACTUALS'!I19</f>
        <v>275312.98</v>
      </c>
      <c r="H44" s="34">
        <f>'Financial ACTUALS'!J19</f>
        <v>332360.16000000003</v>
      </c>
      <c r="I44" s="34">
        <f>'Financial ACTUALS'!K19</f>
        <v>378375.58</v>
      </c>
      <c r="J44" s="34">
        <f>'Financial ACTUALS'!L19</f>
        <v>370593.88</v>
      </c>
      <c r="K44" s="34">
        <f>'Financial ACTUALS'!M19</f>
        <v>323263.69</v>
      </c>
      <c r="L44" s="34">
        <f>'Financial ACTUALS'!N19</f>
        <v>308120.95</v>
      </c>
      <c r="M44" s="34">
        <f>'Financial ACTUALS'!O19</f>
        <v>315354.28000000003</v>
      </c>
      <c r="N44" s="263">
        <f>'Financial ACTUALS'!P19</f>
        <v>465785.57</v>
      </c>
      <c r="O44" s="3"/>
      <c r="P44" s="3"/>
      <c r="Q44" s="3"/>
      <c r="R44" s="3"/>
      <c r="S44" s="3"/>
      <c r="T44" s="3"/>
      <c r="U44" s="3"/>
      <c r="V44" s="3"/>
      <c r="W44" s="3"/>
      <c r="X44" s="3"/>
      <c r="Y44" s="3"/>
      <c r="Z44" s="3"/>
    </row>
    <row r="45" spans="1:26" ht="12.75" customHeight="1">
      <c r="A45" s="3"/>
      <c r="B45" s="3" t="s">
        <v>100</v>
      </c>
      <c r="C45" s="239">
        <f>SUM('Financial ACTUALS'!E27, 'Financial ACTUALS'!E32, 'Financial ACTUALS'!E39)</f>
        <v>19933122.77999999</v>
      </c>
      <c r="D45" s="239">
        <f>SUM('Financial ACTUALS'!F27, 'Financial ACTUALS'!F32, 'Financial ACTUALS'!F39)</f>
        <v>22503896.370000001</v>
      </c>
      <c r="E45" s="239">
        <f>SUM('Financial ACTUALS'!G27, 'Financial ACTUALS'!G32, 'Financial ACTUALS'!G39)</f>
        <v>23089363.00999999</v>
      </c>
      <c r="F45" s="239">
        <f>SUM('Financial ACTUALS'!H27, 'Financial ACTUALS'!H32, 'Financial ACTUALS'!H39)</f>
        <v>26762248.57</v>
      </c>
      <c r="G45" s="239">
        <f>SUM('Financial ACTUALS'!I27, 'Financial ACTUALS'!I32, 'Financial ACTUALS'!I39)</f>
        <v>27680853.149999999</v>
      </c>
      <c r="H45" s="239">
        <f>SUM('Financial ACTUALS'!J27, 'Financial ACTUALS'!J32, 'Financial ACTUALS'!J39)</f>
        <v>16659692.230000002</v>
      </c>
      <c r="I45" s="239">
        <f>SUM('Financial ACTUALS'!K27, 'Financial ACTUALS'!K32, 'Financial ACTUALS'!K39)</f>
        <v>17060488.77</v>
      </c>
      <c r="J45" s="239">
        <f>SUM('Financial ACTUALS'!L27, 'Financial ACTUALS'!L32, 'Financial ACTUALS'!L39)</f>
        <v>17650757.789999999</v>
      </c>
      <c r="K45" s="239">
        <f>SUM('Financial ACTUALS'!M27, 'Financial ACTUALS'!M32, 'Financial ACTUALS'!M39)</f>
        <v>17735456.25</v>
      </c>
      <c r="L45" s="239">
        <f>SUM('Financial ACTUALS'!N27, 'Financial ACTUALS'!N32, 'Financial ACTUALS'!N39)</f>
        <v>16787821.260000002</v>
      </c>
      <c r="M45" s="239">
        <f>SUM('Financial ACTUALS'!O27, 'Financial ACTUALS'!O32, 'Financial ACTUALS'!O39)</f>
        <v>19532917.230000004</v>
      </c>
      <c r="N45" s="264">
        <f>SUM('Financial ACTUALS'!P27, 'Financial ACTUALS'!P32, 'Financial ACTUALS'!P39)</f>
        <v>15873220.780000001</v>
      </c>
      <c r="O45" s="3"/>
      <c r="P45" s="3"/>
      <c r="Q45" s="3"/>
      <c r="R45" s="3"/>
      <c r="S45" s="3"/>
      <c r="T45" s="3"/>
      <c r="U45" s="3"/>
      <c r="V45" s="3"/>
      <c r="W45" s="3"/>
      <c r="X45" s="3"/>
      <c r="Y45" s="3"/>
      <c r="Z45" s="3"/>
    </row>
    <row r="46" spans="1:26" ht="39.75" customHeight="1">
      <c r="A46" s="284" t="s">
        <v>103</v>
      </c>
      <c r="B46" s="285"/>
      <c r="C46" s="285"/>
      <c r="D46" s="285"/>
      <c r="E46" s="285"/>
      <c r="F46" s="285"/>
      <c r="G46" s="285"/>
      <c r="H46" s="285"/>
      <c r="I46" s="285"/>
      <c r="J46" s="285"/>
      <c r="K46" s="164"/>
      <c r="L46" s="164"/>
      <c r="M46" s="164"/>
      <c r="N46" s="164"/>
      <c r="O46" s="164"/>
      <c r="P46" s="164"/>
      <c r="Q46" s="164"/>
      <c r="R46" s="164"/>
      <c r="S46" s="164"/>
      <c r="T46" s="164"/>
      <c r="U46" s="164"/>
      <c r="V46" s="164"/>
      <c r="W46" s="164"/>
      <c r="X46" s="164"/>
      <c r="Y46" s="164"/>
      <c r="Z46" s="164"/>
    </row>
    <row r="47" spans="1:26" ht="30" customHeight="1">
      <c r="A47" s="279" t="s">
        <v>104</v>
      </c>
      <c r="B47" s="280"/>
      <c r="C47" s="280"/>
      <c r="D47" s="280"/>
      <c r="E47" s="280"/>
      <c r="F47" s="280"/>
      <c r="G47" s="280"/>
      <c r="H47" s="280"/>
      <c r="I47" s="280"/>
      <c r="J47" s="280"/>
      <c r="K47" s="164"/>
      <c r="L47" s="164"/>
      <c r="M47" s="164"/>
      <c r="N47" s="164"/>
      <c r="O47" s="164"/>
      <c r="P47" s="164"/>
      <c r="Q47" s="164"/>
      <c r="R47" s="164"/>
      <c r="S47" s="164"/>
      <c r="T47" s="164"/>
      <c r="U47" s="164"/>
      <c r="V47" s="164"/>
      <c r="W47" s="164"/>
      <c r="X47" s="164"/>
      <c r="Y47" s="164"/>
      <c r="Z47" s="164"/>
    </row>
    <row r="48" spans="1:26" ht="45.75" customHeight="1">
      <c r="A48" s="279" t="s">
        <v>105</v>
      </c>
      <c r="B48" s="280"/>
      <c r="C48" s="280"/>
      <c r="D48" s="280"/>
      <c r="E48" s="280"/>
      <c r="F48" s="280"/>
      <c r="G48" s="280"/>
      <c r="H48" s="280"/>
      <c r="I48" s="280"/>
      <c r="J48" s="280"/>
      <c r="K48" s="164"/>
      <c r="L48" s="164"/>
      <c r="M48" s="164"/>
      <c r="N48" s="164"/>
      <c r="O48" s="164"/>
      <c r="P48" s="164"/>
      <c r="Q48" s="164"/>
      <c r="R48" s="164"/>
      <c r="S48" s="164"/>
      <c r="T48" s="164"/>
      <c r="U48" s="164"/>
      <c r="V48" s="164"/>
      <c r="W48" s="164"/>
      <c r="X48" s="164"/>
      <c r="Y48" s="164"/>
      <c r="Z48" s="164"/>
    </row>
    <row r="49" spans="1:26" ht="28.5" customHeight="1">
      <c r="A49" s="63" t="s">
        <v>94</v>
      </c>
      <c r="B49" s="160"/>
      <c r="C49" s="13" t="s">
        <v>43</v>
      </c>
      <c r="D49" s="13" t="s">
        <v>44</v>
      </c>
      <c r="E49" s="13" t="s">
        <v>45</v>
      </c>
      <c r="F49" s="13" t="s">
        <v>46</v>
      </c>
      <c r="G49" s="13" t="s">
        <v>47</v>
      </c>
      <c r="H49" s="13" t="s">
        <v>48</v>
      </c>
      <c r="I49" s="13" t="s">
        <v>49</v>
      </c>
      <c r="J49" s="13" t="s">
        <v>50</v>
      </c>
      <c r="K49" s="13" t="s">
        <v>51</v>
      </c>
      <c r="L49" s="13" t="s">
        <v>52</v>
      </c>
      <c r="M49" s="13" t="s">
        <v>53</v>
      </c>
      <c r="N49" s="13" t="s">
        <v>54</v>
      </c>
      <c r="O49" s="3"/>
      <c r="P49" s="3"/>
      <c r="Q49" s="3"/>
      <c r="R49" s="3"/>
      <c r="S49" s="3"/>
      <c r="T49" s="3"/>
      <c r="U49" s="3"/>
      <c r="V49" s="3"/>
      <c r="W49" s="3"/>
      <c r="X49" s="3"/>
      <c r="Y49" s="3"/>
      <c r="Z49" s="3"/>
    </row>
    <row r="50" spans="1:26" ht="12.75" customHeight="1">
      <c r="A50" s="161" t="s">
        <v>55</v>
      </c>
      <c r="B50" s="162" t="s">
        <v>56</v>
      </c>
      <c r="C50" s="34">
        <f>ABS(C30)-ABS(C9)</f>
        <v>247014.13999999966</v>
      </c>
      <c r="D50" s="34">
        <f t="shared" ref="D50:N50" si="1">ABS(D30)-ABS(D9)</f>
        <v>2181579.9999999991</v>
      </c>
      <c r="E50" s="34">
        <f t="shared" si="1"/>
        <v>1587941.5899999999</v>
      </c>
      <c r="F50" s="34">
        <f t="shared" si="1"/>
        <v>3068220.5799999991</v>
      </c>
      <c r="G50" s="34">
        <f t="shared" si="1"/>
        <v>641500.80999999959</v>
      </c>
      <c r="H50" s="34">
        <f t="shared" si="1"/>
        <v>-301869.58000000007</v>
      </c>
      <c r="I50" s="34">
        <f t="shared" si="1"/>
        <v>713466.13999999873</v>
      </c>
      <c r="J50" s="34">
        <f t="shared" si="1"/>
        <v>165734.96999999881</v>
      </c>
      <c r="K50" s="34">
        <f t="shared" si="1"/>
        <v>-5417.8000000007451</v>
      </c>
      <c r="L50" s="34">
        <f t="shared" si="1"/>
        <v>-458893.13999999966</v>
      </c>
      <c r="M50" s="34">
        <f t="shared" si="1"/>
        <v>242882.94999999925</v>
      </c>
      <c r="N50" s="34">
        <f t="shared" si="1"/>
        <v>-600441.8900000006</v>
      </c>
      <c r="O50" s="3"/>
      <c r="P50" s="3"/>
      <c r="Q50" s="3"/>
      <c r="R50" s="3"/>
      <c r="S50" s="3"/>
      <c r="T50" s="3"/>
      <c r="U50" s="3"/>
      <c r="V50" s="3"/>
      <c r="W50" s="3"/>
      <c r="X50" s="3"/>
      <c r="Y50" s="3"/>
      <c r="Z50" s="3"/>
    </row>
    <row r="51" spans="1:26" ht="12.75" customHeight="1">
      <c r="A51" s="15"/>
      <c r="B51" s="15" t="s">
        <v>81</v>
      </c>
      <c r="C51" s="34">
        <f>ABS(C31)-ABS(C10)</f>
        <v>5500.9499999999971</v>
      </c>
      <c r="D51" s="34">
        <f t="shared" ref="D51:N51" si="2">ABS(D31)-ABS(D10)</f>
        <v>-5789.0499999999993</v>
      </c>
      <c r="E51" s="34">
        <f t="shared" si="2"/>
        <v>11241.32</v>
      </c>
      <c r="F51" s="34">
        <f t="shared" si="2"/>
        <v>-3877</v>
      </c>
      <c r="G51" s="34">
        <f t="shared" si="2"/>
        <v>2233</v>
      </c>
      <c r="H51" s="34">
        <f t="shared" si="2"/>
        <v>1527</v>
      </c>
      <c r="I51" s="34">
        <f t="shared" si="2"/>
        <v>2471</v>
      </c>
      <c r="J51" s="34">
        <f t="shared" si="2"/>
        <v>5288</v>
      </c>
      <c r="K51" s="34">
        <f t="shared" si="2"/>
        <v>-2651</v>
      </c>
      <c r="L51" s="34">
        <f t="shared" si="2"/>
        <v>-2657</v>
      </c>
      <c r="M51" s="34">
        <f t="shared" si="2"/>
        <v>-1828</v>
      </c>
      <c r="N51" s="34">
        <f t="shared" si="2"/>
        <v>3589</v>
      </c>
      <c r="O51" s="3"/>
      <c r="P51" s="3"/>
      <c r="Q51" s="3"/>
      <c r="R51" s="3"/>
      <c r="S51" s="3"/>
      <c r="T51" s="3"/>
      <c r="U51" s="3"/>
      <c r="V51" s="3"/>
      <c r="W51" s="3"/>
      <c r="X51" s="3"/>
      <c r="Y51" s="3"/>
      <c r="Z51" s="3"/>
    </row>
    <row r="52" spans="1:26" ht="12.75" customHeight="1">
      <c r="A52" s="15"/>
      <c r="B52" s="15" t="s">
        <v>82</v>
      </c>
      <c r="C52" s="34">
        <f>ABS(C32)-ABS(C11)</f>
        <v>-10796.740000000002</v>
      </c>
      <c r="D52" s="34">
        <f t="shared" ref="D52:N52" si="3">ABS(D32)-ABS(D11)</f>
        <v>1298.2200000000012</v>
      </c>
      <c r="E52" s="34">
        <f t="shared" si="3"/>
        <v>-8681</v>
      </c>
      <c r="F52" s="34">
        <f t="shared" si="3"/>
        <v>-4200</v>
      </c>
      <c r="G52" s="34">
        <f t="shared" si="3"/>
        <v>-1348</v>
      </c>
      <c r="H52" s="34">
        <f t="shared" si="3"/>
        <v>1034</v>
      </c>
      <c r="I52" s="34">
        <f t="shared" si="3"/>
        <v>-482</v>
      </c>
      <c r="J52" s="34">
        <f t="shared" si="3"/>
        <v>-1346</v>
      </c>
      <c r="K52" s="34">
        <f t="shared" si="3"/>
        <v>-8062</v>
      </c>
      <c r="L52" s="34">
        <f t="shared" si="3"/>
        <v>933</v>
      </c>
      <c r="M52" s="34">
        <f t="shared" si="3"/>
        <v>-2868</v>
      </c>
      <c r="N52" s="34">
        <f t="shared" si="3"/>
        <v>-241</v>
      </c>
      <c r="O52" s="3"/>
      <c r="P52" s="3"/>
      <c r="Q52" s="3"/>
      <c r="R52" s="3"/>
      <c r="S52" s="3"/>
      <c r="T52" s="3"/>
      <c r="U52" s="3"/>
      <c r="V52" s="3"/>
      <c r="W52" s="3"/>
      <c r="X52" s="3"/>
      <c r="Y52" s="3"/>
      <c r="Z52" s="3"/>
    </row>
    <row r="53" spans="1:26" ht="12.75" customHeight="1">
      <c r="A53" s="15"/>
      <c r="B53" s="15" t="s">
        <v>100</v>
      </c>
      <c r="C53" s="34">
        <f>ABS(C33)-ABS(C12)</f>
        <v>484294.31999998959</v>
      </c>
      <c r="D53" s="34">
        <f t="shared" ref="D53:N53" si="4">ABS(D33)-ABS(D12)</f>
        <v>1742006.2299999995</v>
      </c>
      <c r="E53" s="34">
        <f t="shared" si="4"/>
        <v>-1317018.28000001</v>
      </c>
      <c r="F53" s="34">
        <f t="shared" si="4"/>
        <v>-204828.77000000048</v>
      </c>
      <c r="G53" s="34">
        <f t="shared" si="4"/>
        <v>147574.7200000002</v>
      </c>
      <c r="H53" s="34">
        <f t="shared" si="4"/>
        <v>106582.04999999981</v>
      </c>
      <c r="I53" s="34">
        <f t="shared" si="4"/>
        <v>902983.93999999901</v>
      </c>
      <c r="J53" s="34">
        <f t="shared" si="4"/>
        <v>112724.19999999972</v>
      </c>
      <c r="K53" s="34">
        <f t="shared" si="4"/>
        <v>169741.73000000045</v>
      </c>
      <c r="L53" s="34">
        <f t="shared" si="4"/>
        <v>115729.20999999996</v>
      </c>
      <c r="M53" s="34">
        <f t="shared" si="4"/>
        <v>461531.6799999997</v>
      </c>
      <c r="N53" s="34">
        <f t="shared" si="4"/>
        <v>474629.10000000009</v>
      </c>
      <c r="O53" s="3"/>
      <c r="P53" s="3"/>
      <c r="Q53" s="3"/>
      <c r="R53" s="3"/>
      <c r="S53" s="3"/>
      <c r="T53" s="3"/>
      <c r="U53" s="3"/>
      <c r="V53" s="3"/>
      <c r="W53" s="3"/>
      <c r="X53" s="3"/>
      <c r="Y53" s="3"/>
      <c r="Z53" s="3"/>
    </row>
    <row r="54" spans="1:26" ht="12.75" customHeight="1">
      <c r="A54" s="15" t="s">
        <v>69</v>
      </c>
      <c r="B54" s="15" t="s">
        <v>56</v>
      </c>
      <c r="C54" s="209">
        <f>ABS(C34)-ABS(C13)</f>
        <v>3354162.1799999978</v>
      </c>
      <c r="D54" s="209">
        <f t="shared" ref="D54:N54" si="5">ABS(D34)-ABS(D13)</f>
        <v>1927189.25</v>
      </c>
      <c r="E54" s="209">
        <f t="shared" si="5"/>
        <v>3722608.3600000013</v>
      </c>
      <c r="F54" s="209">
        <f t="shared" si="5"/>
        <v>4719315.7399999984</v>
      </c>
      <c r="G54" s="209">
        <f t="shared" si="5"/>
        <v>2361219.4800000004</v>
      </c>
      <c r="H54" s="209">
        <f t="shared" si="5"/>
        <v>5023689.24</v>
      </c>
      <c r="I54" s="209">
        <f t="shared" si="5"/>
        <v>7848493.4399999976</v>
      </c>
      <c r="J54" s="209">
        <f t="shared" si="5"/>
        <v>6766245.0199999996</v>
      </c>
      <c r="K54" s="209">
        <f t="shared" si="5"/>
        <v>6562233.4500000011</v>
      </c>
      <c r="L54" s="209">
        <f t="shared" si="5"/>
        <v>-404680.37999999896</v>
      </c>
      <c r="M54" s="209">
        <f t="shared" si="5"/>
        <v>22096.370000001043</v>
      </c>
      <c r="N54" s="209">
        <f t="shared" si="5"/>
        <v>-462790.40000000224</v>
      </c>
      <c r="O54" s="3"/>
      <c r="P54" s="3"/>
      <c r="Q54" s="3"/>
      <c r="R54" s="3"/>
      <c r="S54" s="3"/>
      <c r="T54" s="3"/>
      <c r="U54" s="3"/>
      <c r="V54" s="3"/>
      <c r="W54" s="3"/>
      <c r="X54" s="3"/>
      <c r="Y54" s="3"/>
      <c r="Z54" s="3"/>
    </row>
    <row r="55" spans="1:26" ht="12.75" customHeight="1">
      <c r="A55" s="15"/>
      <c r="B55" s="15" t="s">
        <v>81</v>
      </c>
      <c r="C55" s="209">
        <f t="shared" ref="C55:N57" si="6">ABS(C35)-ABS(C14)</f>
        <v>516692.01</v>
      </c>
      <c r="D55" s="209">
        <f t="shared" si="6"/>
        <v>697100.49</v>
      </c>
      <c r="E55" s="209">
        <f t="shared" si="6"/>
        <v>-163253.85</v>
      </c>
      <c r="F55" s="209">
        <f t="shared" si="6"/>
        <v>-166486.47</v>
      </c>
      <c r="G55" s="209">
        <f t="shared" si="6"/>
        <v>-22090.600000000006</v>
      </c>
      <c r="H55" s="209">
        <f t="shared" si="6"/>
        <v>259738.07999999996</v>
      </c>
      <c r="I55" s="209">
        <f t="shared" si="6"/>
        <v>-364886.34</v>
      </c>
      <c r="J55" s="209">
        <f t="shared" si="6"/>
        <v>-101180.10999999999</v>
      </c>
      <c r="K55" s="209">
        <f t="shared" si="6"/>
        <v>-367294.88</v>
      </c>
      <c r="L55" s="209">
        <f t="shared" si="6"/>
        <v>-71626.899999999994</v>
      </c>
      <c r="M55" s="209">
        <f t="shared" si="6"/>
        <v>30835.179999999993</v>
      </c>
      <c r="N55" s="209">
        <f t="shared" si="6"/>
        <v>8359.3399999999965</v>
      </c>
      <c r="O55" s="3"/>
      <c r="P55" s="3"/>
      <c r="Q55" s="3"/>
      <c r="R55" s="3"/>
      <c r="S55" s="3"/>
      <c r="T55" s="3"/>
      <c r="U55" s="3"/>
      <c r="V55" s="3"/>
      <c r="W55" s="3"/>
      <c r="X55" s="3"/>
      <c r="Y55" s="3"/>
      <c r="Z55" s="3"/>
    </row>
    <row r="56" spans="1:26" ht="12.75" customHeight="1">
      <c r="A56" s="15"/>
      <c r="B56" s="15" t="s">
        <v>82</v>
      </c>
      <c r="C56" s="209">
        <f t="shared" si="6"/>
        <v>-237131.50999999995</v>
      </c>
      <c r="D56" s="209">
        <f t="shared" si="6"/>
        <v>-250884.87999999998</v>
      </c>
      <c r="E56" s="209">
        <f t="shared" si="6"/>
        <v>-116974.10999999999</v>
      </c>
      <c r="F56" s="209">
        <f t="shared" si="6"/>
        <v>-267374.26</v>
      </c>
      <c r="G56" s="209">
        <f t="shared" si="6"/>
        <v>-241716.30999999997</v>
      </c>
      <c r="H56" s="209">
        <f t="shared" si="6"/>
        <v>-185930.96999999997</v>
      </c>
      <c r="I56" s="209">
        <f t="shared" si="6"/>
        <v>-143190.19999999995</v>
      </c>
      <c r="J56" s="209">
        <f t="shared" si="6"/>
        <v>-145449.97999999998</v>
      </c>
      <c r="K56" s="209">
        <f t="shared" si="6"/>
        <v>-190482.20999999996</v>
      </c>
      <c r="L56" s="209">
        <f t="shared" si="6"/>
        <v>-208947.74</v>
      </c>
      <c r="M56" s="209">
        <f t="shared" si="6"/>
        <v>-199519.03999999998</v>
      </c>
      <c r="N56" s="209">
        <f t="shared" si="6"/>
        <v>-55455.01999999996</v>
      </c>
      <c r="O56" s="3"/>
      <c r="P56" s="3"/>
      <c r="Q56" s="3"/>
      <c r="R56" s="3"/>
      <c r="S56" s="3"/>
      <c r="T56" s="3"/>
      <c r="U56" s="3"/>
      <c r="V56" s="3"/>
      <c r="W56" s="3"/>
      <c r="X56" s="3"/>
      <c r="Y56" s="3"/>
      <c r="Z56" s="3"/>
    </row>
    <row r="57" spans="1:26" ht="12.75" customHeight="1">
      <c r="A57" s="15"/>
      <c r="B57" s="15" t="s">
        <v>100</v>
      </c>
      <c r="C57" s="209">
        <f t="shared" si="6"/>
        <v>1266371.1799999997</v>
      </c>
      <c r="D57" s="209">
        <f t="shared" si="6"/>
        <v>3252774.24</v>
      </c>
      <c r="E57" s="209">
        <f t="shared" si="6"/>
        <v>-968612.53999999911</v>
      </c>
      <c r="F57" s="209">
        <f t="shared" si="6"/>
        <v>733262.30000000075</v>
      </c>
      <c r="G57" s="209">
        <f t="shared" si="6"/>
        <v>3569369.9899999984</v>
      </c>
      <c r="H57" s="209">
        <f t="shared" si="6"/>
        <v>-1404213.129999999</v>
      </c>
      <c r="I57" s="209">
        <f t="shared" si="6"/>
        <v>904344.08000000007</v>
      </c>
      <c r="J57" s="209">
        <f t="shared" si="6"/>
        <v>2582403.66</v>
      </c>
      <c r="K57" s="209">
        <f t="shared" si="6"/>
        <v>-215605.99000000209</v>
      </c>
      <c r="L57" s="209">
        <f t="shared" si="6"/>
        <v>900447.44000000134</v>
      </c>
      <c r="M57" s="209">
        <f t="shared" si="6"/>
        <v>2434837.6500000004</v>
      </c>
      <c r="N57" s="209">
        <f t="shared" si="6"/>
        <v>-5474135.0300000012</v>
      </c>
      <c r="O57" s="3"/>
      <c r="P57" s="3"/>
      <c r="Q57" s="3"/>
      <c r="R57" s="3"/>
      <c r="S57" s="3"/>
      <c r="T57" s="3"/>
      <c r="U57" s="3"/>
      <c r="V57" s="3"/>
      <c r="W57" s="3"/>
      <c r="X57" s="3"/>
      <c r="Y57" s="3"/>
      <c r="Z57" s="3"/>
    </row>
    <row r="58" spans="1:26" ht="12.75" customHeight="1">
      <c r="A58" s="15" t="s">
        <v>84</v>
      </c>
      <c r="B58" s="15" t="s">
        <v>56</v>
      </c>
      <c r="C58" s="209">
        <f>ABS(C38)-ABS(C17)</f>
        <v>-2663273.4299999997</v>
      </c>
      <c r="D58" s="209">
        <f t="shared" ref="D58:N58" si="7">ABS(D38)-ABS(D17)</f>
        <v>-741234.66999999993</v>
      </c>
      <c r="E58" s="209">
        <f t="shared" si="7"/>
        <v>-3883911.6400000006</v>
      </c>
      <c r="F58" s="209">
        <f t="shared" si="7"/>
        <v>-3694902.59</v>
      </c>
      <c r="G58" s="209">
        <f t="shared" si="7"/>
        <v>-4189536.4899999965</v>
      </c>
      <c r="H58" s="209">
        <f t="shared" si="7"/>
        <v>-6552623.0999999978</v>
      </c>
      <c r="I58" s="209">
        <f t="shared" si="7"/>
        <v>-2463992.6400000006</v>
      </c>
      <c r="J58" s="209">
        <f t="shared" si="7"/>
        <v>-2648639.4199999981</v>
      </c>
      <c r="K58" s="209">
        <f t="shared" si="7"/>
        <v>-3583772.7800000012</v>
      </c>
      <c r="L58" s="209">
        <f t="shared" si="7"/>
        <v>356159.07999999821</v>
      </c>
      <c r="M58" s="209">
        <f t="shared" si="7"/>
        <v>-1206730.1999999993</v>
      </c>
      <c r="N58" s="209">
        <f t="shared" si="7"/>
        <v>-1232190.7599999979</v>
      </c>
      <c r="O58" s="3"/>
      <c r="P58" s="3"/>
      <c r="Q58" s="3"/>
      <c r="R58" s="3"/>
      <c r="S58" s="3"/>
      <c r="T58" s="3"/>
      <c r="U58" s="3"/>
      <c r="V58" s="3"/>
      <c r="W58" s="3"/>
      <c r="X58" s="3"/>
      <c r="Y58" s="3"/>
      <c r="Z58" s="3"/>
    </row>
    <row r="59" spans="1:26" ht="12.75" customHeight="1">
      <c r="A59" s="15"/>
      <c r="B59" s="15" t="s">
        <v>81</v>
      </c>
      <c r="C59" s="209">
        <f t="shared" ref="C59:N61" si="8">ABS(C39)-ABS(C18)</f>
        <v>-24920.78</v>
      </c>
      <c r="D59" s="209">
        <f t="shared" si="8"/>
        <v>-75838.2</v>
      </c>
      <c r="E59" s="209">
        <f t="shared" si="8"/>
        <v>-106760.56</v>
      </c>
      <c r="F59" s="209">
        <f t="shared" si="8"/>
        <v>-74236.98000000001</v>
      </c>
      <c r="G59" s="209">
        <f t="shared" si="8"/>
        <v>-125102.03</v>
      </c>
      <c r="H59" s="209">
        <f t="shared" si="8"/>
        <v>-331497.40999999997</v>
      </c>
      <c r="I59" s="209">
        <f t="shared" si="8"/>
        <v>135416.04999999999</v>
      </c>
      <c r="J59" s="209">
        <f t="shared" si="8"/>
        <v>-63960.580000000016</v>
      </c>
      <c r="K59" s="209">
        <f t="shared" si="8"/>
        <v>-307066.11</v>
      </c>
      <c r="L59" s="209">
        <f t="shared" si="8"/>
        <v>78695.790000000008</v>
      </c>
      <c r="M59" s="209">
        <f t="shared" si="8"/>
        <v>118127.95000000001</v>
      </c>
      <c r="N59" s="209">
        <f t="shared" si="8"/>
        <v>-67980.09</v>
      </c>
      <c r="O59" s="3"/>
      <c r="P59" s="3"/>
      <c r="Q59" s="3"/>
      <c r="R59" s="3"/>
      <c r="S59" s="3"/>
      <c r="T59" s="3"/>
      <c r="U59" s="3"/>
      <c r="V59" s="3"/>
      <c r="W59" s="3"/>
      <c r="X59" s="3"/>
      <c r="Y59" s="3"/>
      <c r="Z59" s="3"/>
    </row>
    <row r="60" spans="1:26" ht="12.75" customHeight="1">
      <c r="A60" s="15"/>
      <c r="B60" s="15" t="s">
        <v>82</v>
      </c>
      <c r="C60" s="209">
        <f t="shared" si="8"/>
        <v>-3994.93</v>
      </c>
      <c r="D60" s="209">
        <f t="shared" si="8"/>
        <v>-956.88999999999942</v>
      </c>
      <c r="E60" s="209">
        <f t="shared" si="8"/>
        <v>2154.54</v>
      </c>
      <c r="F60" s="209">
        <f t="shared" si="8"/>
        <v>-572.73000000000138</v>
      </c>
      <c r="G60" s="209">
        <f t="shared" si="8"/>
        <v>4464.75</v>
      </c>
      <c r="H60" s="209">
        <f t="shared" si="8"/>
        <v>3344.59</v>
      </c>
      <c r="I60" s="209">
        <f t="shared" si="8"/>
        <v>8135.24</v>
      </c>
      <c r="J60" s="209">
        <f t="shared" si="8"/>
        <v>-1272.6800000000003</v>
      </c>
      <c r="K60" s="209">
        <f t="shared" si="8"/>
        <v>7895.3600000000006</v>
      </c>
      <c r="L60" s="209">
        <f t="shared" si="8"/>
        <v>2223.1499999999996</v>
      </c>
      <c r="M60" s="209">
        <f t="shared" si="8"/>
        <v>3828.7800000000007</v>
      </c>
      <c r="N60" s="209">
        <f t="shared" si="8"/>
        <v>7569.0499999999993</v>
      </c>
      <c r="O60" s="3"/>
      <c r="P60" s="3"/>
      <c r="Q60" s="3"/>
      <c r="R60" s="3"/>
      <c r="S60" s="3"/>
      <c r="T60" s="3"/>
      <c r="U60" s="3"/>
      <c r="V60" s="3"/>
      <c r="W60" s="3"/>
      <c r="X60" s="3"/>
      <c r="Y60" s="3"/>
      <c r="Z60" s="3"/>
    </row>
    <row r="61" spans="1:26" ht="12.75" customHeight="1">
      <c r="A61" s="15"/>
      <c r="B61" s="15" t="s">
        <v>100</v>
      </c>
      <c r="C61" s="209">
        <f t="shared" si="8"/>
        <v>-150777.31999999937</v>
      </c>
      <c r="D61" s="209">
        <f t="shared" si="8"/>
        <v>-666693.53999999957</v>
      </c>
      <c r="E61" s="209">
        <f t="shared" si="8"/>
        <v>854153.58999999985</v>
      </c>
      <c r="F61" s="209">
        <f t="shared" si="8"/>
        <v>1687313.7399999998</v>
      </c>
      <c r="G61" s="209">
        <f t="shared" si="8"/>
        <v>-2340512.2100000004</v>
      </c>
      <c r="H61" s="209">
        <f t="shared" si="8"/>
        <v>919100.89000000036</v>
      </c>
      <c r="I61" s="209">
        <f t="shared" si="8"/>
        <v>-313797.5</v>
      </c>
      <c r="J61" s="209">
        <f t="shared" si="8"/>
        <v>-184317.14000000013</v>
      </c>
      <c r="K61" s="209">
        <f t="shared" si="8"/>
        <v>1386988.6800000002</v>
      </c>
      <c r="L61" s="209">
        <f t="shared" si="8"/>
        <v>-2488559.9199999995</v>
      </c>
      <c r="M61" s="209">
        <f t="shared" si="8"/>
        <v>-1880024.9600000009</v>
      </c>
      <c r="N61" s="209">
        <f t="shared" si="8"/>
        <v>217145.57000000123</v>
      </c>
      <c r="O61" s="3"/>
      <c r="P61" s="3"/>
      <c r="Q61" s="3"/>
      <c r="R61" s="3"/>
      <c r="S61" s="3"/>
      <c r="T61" s="3"/>
      <c r="U61" s="3"/>
      <c r="V61" s="3"/>
      <c r="W61" s="3"/>
      <c r="X61" s="3"/>
      <c r="Y61" s="3"/>
      <c r="Z61" s="3"/>
    </row>
    <row r="62" spans="1:26" ht="12.75" customHeight="1">
      <c r="A62" s="15" t="s">
        <v>94</v>
      </c>
      <c r="B62" s="15" t="s">
        <v>56</v>
      </c>
      <c r="C62" s="209">
        <f>ABS(C42)-ABS(C21)</f>
        <v>937902.8900000006</v>
      </c>
      <c r="D62" s="209">
        <f t="shared" ref="D62:N62" si="9">ABS(D42)-ABS(D21)</f>
        <v>3367534.5799999982</v>
      </c>
      <c r="E62" s="209">
        <f t="shared" si="9"/>
        <v>1426638.3099999949</v>
      </c>
      <c r="F62" s="209">
        <f t="shared" si="9"/>
        <v>4092633.7300000042</v>
      </c>
      <c r="G62" s="209">
        <f t="shared" si="9"/>
        <v>-1186816.1999999955</v>
      </c>
      <c r="H62" s="209">
        <f t="shared" si="9"/>
        <v>-1830803.4400000051</v>
      </c>
      <c r="I62" s="209">
        <f t="shared" si="9"/>
        <v>6097966.9399999976</v>
      </c>
      <c r="J62" s="209">
        <f t="shared" si="9"/>
        <v>4283340.5699999928</v>
      </c>
      <c r="K62" s="209">
        <f t="shared" si="9"/>
        <v>2973042.8700000048</v>
      </c>
      <c r="L62" s="209">
        <f t="shared" si="9"/>
        <v>-507414.43999999762</v>
      </c>
      <c r="M62" s="209">
        <f t="shared" si="9"/>
        <v>-941750.87999999523</v>
      </c>
      <c r="N62" s="209">
        <f t="shared" si="9"/>
        <v>-2295423.049999997</v>
      </c>
      <c r="O62" s="3"/>
      <c r="P62" s="3"/>
      <c r="Q62" s="3"/>
      <c r="R62" s="3"/>
      <c r="S62" s="3"/>
      <c r="T62" s="3"/>
      <c r="U62" s="3"/>
      <c r="V62" s="3"/>
      <c r="W62" s="3"/>
      <c r="X62" s="3"/>
      <c r="Y62" s="3"/>
      <c r="Z62" s="3"/>
    </row>
    <row r="63" spans="1:26" ht="12.75" customHeight="1">
      <c r="A63" s="15"/>
      <c r="B63" s="15" t="s">
        <v>81</v>
      </c>
      <c r="C63" s="209">
        <f>ABS(C43)-ABS(C22)</f>
        <v>497272.17999999993</v>
      </c>
      <c r="D63" s="209">
        <f t="shared" ref="D63:N63" si="10">ABS(D43)-ABS(D22)</f>
        <v>615473.24</v>
      </c>
      <c r="E63" s="209">
        <f t="shared" si="10"/>
        <v>-258773.09</v>
      </c>
      <c r="F63" s="209">
        <f t="shared" si="10"/>
        <v>-244600.45</v>
      </c>
      <c r="G63" s="209">
        <f t="shared" si="10"/>
        <v>-185919.57</v>
      </c>
      <c r="H63" s="209">
        <f t="shared" si="10"/>
        <v>-70232.330000000075</v>
      </c>
      <c r="I63" s="209">
        <f t="shared" si="10"/>
        <v>-226999.29000000004</v>
      </c>
      <c r="J63" s="209">
        <f t="shared" si="10"/>
        <v>-159852.68999999994</v>
      </c>
      <c r="K63" s="209">
        <f t="shared" si="10"/>
        <v>-677011.99</v>
      </c>
      <c r="L63" s="209">
        <f t="shared" si="10"/>
        <v>4411.890000000014</v>
      </c>
      <c r="M63" s="209">
        <f t="shared" si="10"/>
        <v>147135.13</v>
      </c>
      <c r="N63" s="209">
        <f t="shared" si="10"/>
        <v>-211235.57</v>
      </c>
      <c r="O63" s="3"/>
      <c r="P63" s="3"/>
      <c r="Q63" s="3"/>
      <c r="R63" s="3"/>
      <c r="S63" s="3"/>
      <c r="T63" s="3"/>
      <c r="U63" s="3"/>
      <c r="V63" s="3"/>
      <c r="W63" s="3"/>
      <c r="X63" s="3"/>
      <c r="Y63" s="3"/>
      <c r="Z63" s="3"/>
    </row>
    <row r="64" spans="1:26" ht="12.75" customHeight="1">
      <c r="A64" s="15"/>
      <c r="B64" s="15" t="s">
        <v>82</v>
      </c>
      <c r="C64" s="209">
        <f>ABS(C44)-ABS(C23)</f>
        <v>-251923.17999999993</v>
      </c>
      <c r="D64" s="209">
        <f t="shared" ref="D64:N64" si="11">ABS(D44)-ABS(D23)</f>
        <v>-250543.55</v>
      </c>
      <c r="E64" s="209">
        <f t="shared" si="11"/>
        <v>-123500.57</v>
      </c>
      <c r="F64" s="209">
        <f t="shared" si="11"/>
        <v>-280701.52999999997</v>
      </c>
      <c r="G64" s="209">
        <f t="shared" si="11"/>
        <v>-238599.56</v>
      </c>
      <c r="H64" s="209">
        <f t="shared" si="11"/>
        <v>-181552.37999999995</v>
      </c>
      <c r="I64" s="209">
        <f t="shared" si="11"/>
        <v>-135536.95999999996</v>
      </c>
      <c r="J64" s="209">
        <f t="shared" si="11"/>
        <v>-148068.65999999997</v>
      </c>
      <c r="K64" s="209">
        <f t="shared" si="11"/>
        <v>-190648.84999999998</v>
      </c>
      <c r="L64" s="209">
        <f t="shared" si="11"/>
        <v>-205791.58999999997</v>
      </c>
      <c r="M64" s="209">
        <f t="shared" si="11"/>
        <v>-198558.25999999995</v>
      </c>
      <c r="N64" s="209">
        <f t="shared" si="11"/>
        <v>-48126.969999999972</v>
      </c>
      <c r="O64" s="3"/>
      <c r="P64" s="3"/>
      <c r="Q64" s="3"/>
      <c r="R64" s="3"/>
      <c r="S64" s="3"/>
      <c r="T64" s="3"/>
      <c r="U64" s="3"/>
      <c r="V64" s="3"/>
      <c r="W64" s="3"/>
      <c r="X64" s="3"/>
      <c r="Y64" s="3"/>
      <c r="Z64" s="3"/>
    </row>
    <row r="65" spans="1:26" ht="12.75" customHeight="1">
      <c r="A65" s="3"/>
      <c r="B65" s="3" t="s">
        <v>100</v>
      </c>
      <c r="C65" s="209">
        <f>ABS(C45)-ABS(C24)</f>
        <v>1599888.1799999923</v>
      </c>
      <c r="D65" s="209">
        <f t="shared" ref="D65:N65" si="12">ABS(D45)-ABS(D24)</f>
        <v>4328086.93</v>
      </c>
      <c r="E65" s="209">
        <f t="shared" si="12"/>
        <v>-1431477.2300000116</v>
      </c>
      <c r="F65" s="209">
        <f t="shared" si="12"/>
        <v>2215747.2700000033</v>
      </c>
      <c r="G65" s="209">
        <f t="shared" si="12"/>
        <v>1376432.4999999963</v>
      </c>
      <c r="H65" s="209">
        <f t="shared" si="12"/>
        <v>-378530.18999999575</v>
      </c>
      <c r="I65" s="209">
        <f t="shared" si="12"/>
        <v>1493530.5199999996</v>
      </c>
      <c r="J65" s="209">
        <f t="shared" si="12"/>
        <v>2510810.7199999988</v>
      </c>
      <c r="K65" s="209">
        <f t="shared" si="12"/>
        <v>1341124.42</v>
      </c>
      <c r="L65" s="209">
        <f t="shared" si="12"/>
        <v>-1472383.2699999996</v>
      </c>
      <c r="M65" s="209">
        <f t="shared" si="12"/>
        <v>1016344.370000001</v>
      </c>
      <c r="N65" s="209">
        <f t="shared" si="12"/>
        <v>-4782360.3599999957</v>
      </c>
      <c r="O65" s="3"/>
      <c r="P65" s="3"/>
      <c r="Q65" s="3"/>
      <c r="R65" s="3"/>
      <c r="S65" s="3"/>
      <c r="T65" s="3"/>
      <c r="U65" s="3"/>
      <c r="V65" s="3"/>
      <c r="W65" s="3"/>
      <c r="X65" s="3"/>
      <c r="Y65" s="3"/>
      <c r="Z65" s="3"/>
    </row>
    <row r="66" spans="1:26" ht="189" customHeight="1">
      <c r="A66" s="284" t="s">
        <v>106</v>
      </c>
      <c r="B66" s="285"/>
      <c r="C66" s="285"/>
      <c r="D66" s="285"/>
      <c r="E66" s="285"/>
      <c r="F66" s="285"/>
      <c r="G66" s="285"/>
      <c r="H66" s="285"/>
      <c r="I66" s="285"/>
      <c r="J66" s="285"/>
      <c r="K66" s="22"/>
      <c r="L66" s="22"/>
      <c r="M66" s="22"/>
      <c r="N66" s="22"/>
      <c r="O66" s="3"/>
      <c r="P66" s="3"/>
      <c r="Q66" s="3"/>
      <c r="R66" s="3"/>
      <c r="S66" s="3"/>
      <c r="T66" s="3"/>
      <c r="U66" s="3"/>
      <c r="V66" s="3"/>
      <c r="W66" s="3"/>
      <c r="X66" s="3"/>
      <c r="Y66" s="3"/>
      <c r="Z66" s="3"/>
    </row>
    <row r="67" spans="1:26" ht="24" customHeight="1">
      <c r="A67" s="279" t="s">
        <v>107</v>
      </c>
      <c r="B67" s="280"/>
      <c r="C67" s="280"/>
      <c r="D67" s="280"/>
      <c r="E67" s="280"/>
      <c r="F67" s="280"/>
      <c r="G67" s="280"/>
      <c r="H67" s="280"/>
      <c r="I67" s="280"/>
      <c r="J67" s="280"/>
      <c r="K67" s="22"/>
      <c r="L67" s="22"/>
      <c r="M67" s="22"/>
      <c r="N67" s="22"/>
      <c r="O67" s="3"/>
      <c r="P67" s="3"/>
      <c r="Q67" s="3"/>
      <c r="R67" s="3"/>
      <c r="S67" s="3"/>
      <c r="T67" s="3"/>
      <c r="U67" s="3"/>
      <c r="V67" s="3"/>
      <c r="W67" s="3"/>
      <c r="X67" s="3"/>
      <c r="Y67" s="3"/>
      <c r="Z67" s="3"/>
    </row>
    <row r="68" spans="1:26" ht="24" customHeight="1">
      <c r="A68" s="279" t="s">
        <v>108</v>
      </c>
      <c r="B68" s="280"/>
      <c r="C68" s="280"/>
      <c r="D68" s="280"/>
      <c r="E68" s="280"/>
      <c r="F68" s="280"/>
      <c r="G68" s="280"/>
      <c r="H68" s="280"/>
      <c r="I68" s="280"/>
      <c r="J68" s="280"/>
      <c r="K68" s="22"/>
      <c r="L68" s="22"/>
      <c r="M68" s="22"/>
      <c r="N68" s="22"/>
      <c r="O68" s="3"/>
      <c r="P68" s="3"/>
      <c r="Q68" s="3"/>
      <c r="R68" s="3"/>
      <c r="S68" s="3"/>
      <c r="T68" s="3"/>
      <c r="U68" s="3"/>
      <c r="V68" s="3"/>
      <c r="W68" s="3"/>
      <c r="X68" s="3"/>
      <c r="Y68" s="3"/>
      <c r="Z68" s="3"/>
    </row>
    <row r="69" spans="1:26" ht="27.75" customHeight="1">
      <c r="A69" s="279"/>
      <c r="B69" s="280"/>
      <c r="C69" s="280"/>
      <c r="D69" s="280"/>
      <c r="E69" s="280"/>
      <c r="F69" s="280"/>
      <c r="G69" s="280"/>
      <c r="H69" s="280"/>
      <c r="I69" s="280"/>
      <c r="J69" s="280"/>
      <c r="K69" s="22"/>
      <c r="L69" s="22"/>
      <c r="M69" s="22"/>
      <c r="N69" s="22"/>
      <c r="O69" s="3"/>
      <c r="P69" s="3"/>
      <c r="Q69" s="3"/>
      <c r="R69" s="3"/>
      <c r="S69" s="3"/>
      <c r="T69" s="3"/>
      <c r="U69" s="3"/>
      <c r="V69" s="3"/>
      <c r="W69" s="3"/>
      <c r="X69" s="3"/>
      <c r="Y69" s="3"/>
      <c r="Z69" s="3"/>
    </row>
    <row r="70" spans="1:26" ht="28.5" customHeight="1">
      <c r="A70" s="63" t="s">
        <v>94</v>
      </c>
      <c r="B70" s="160"/>
      <c r="C70" s="13" t="s">
        <v>43</v>
      </c>
      <c r="D70" s="13" t="s">
        <v>44</v>
      </c>
      <c r="E70" s="13" t="s">
        <v>45</v>
      </c>
      <c r="F70" s="13" t="s">
        <v>46</v>
      </c>
      <c r="G70" s="13" t="s">
        <v>47</v>
      </c>
      <c r="H70" s="13" t="s">
        <v>48</v>
      </c>
      <c r="I70" s="13" t="s">
        <v>49</v>
      </c>
      <c r="J70" s="13" t="s">
        <v>50</v>
      </c>
      <c r="K70" s="13" t="s">
        <v>51</v>
      </c>
      <c r="L70" s="13" t="s">
        <v>52</v>
      </c>
      <c r="M70" s="13" t="s">
        <v>53</v>
      </c>
      <c r="N70" s="13" t="s">
        <v>54</v>
      </c>
      <c r="O70" s="3"/>
      <c r="P70" s="3"/>
      <c r="Q70" s="3"/>
      <c r="R70" s="3"/>
      <c r="S70" s="3"/>
      <c r="T70" s="3"/>
      <c r="U70" s="3"/>
      <c r="V70" s="3"/>
      <c r="W70" s="3"/>
      <c r="X70" s="3"/>
      <c r="Y70" s="3"/>
      <c r="Z70" s="3"/>
    </row>
    <row r="71" spans="1:26" ht="12.75" customHeight="1">
      <c r="A71" s="72" t="s">
        <v>55</v>
      </c>
      <c r="B71" s="141" t="s">
        <v>56</v>
      </c>
      <c r="C71" s="210">
        <f>(C50/C9)*100</f>
        <v>-3.0074618405681801</v>
      </c>
      <c r="D71" s="210">
        <f>(D50/D9)*100</f>
        <v>-36.552911553391155</v>
      </c>
      <c r="E71" s="210">
        <f t="shared" ref="E71:N71" si="13">(E50/E9)*100</f>
        <v>-26.716113540054447</v>
      </c>
      <c r="F71" s="210">
        <f t="shared" si="13"/>
        <v>-69.644419502074413</v>
      </c>
      <c r="G71" s="210">
        <f t="shared" si="13"/>
        <v>-8.8474862088448436</v>
      </c>
      <c r="H71" s="210">
        <f t="shared" si="13"/>
        <v>3.7727957049855037</v>
      </c>
      <c r="I71" s="210">
        <f t="shared" si="13"/>
        <v>-6.8178415983859155</v>
      </c>
      <c r="J71" s="210">
        <f t="shared" si="13"/>
        <v>-1.7035387284873107</v>
      </c>
      <c r="K71" s="210">
        <f t="shared" si="13"/>
        <v>5.1897249618487198E-2</v>
      </c>
      <c r="L71" s="210">
        <f t="shared" si="13"/>
        <v>5.6695497126516408</v>
      </c>
      <c r="M71" s="210">
        <f t="shared" si="13"/>
        <v>-3.2523824138271671</v>
      </c>
      <c r="N71" s="210">
        <f t="shared" si="13"/>
        <v>7.4906983812087189</v>
      </c>
      <c r="O71" s="3"/>
      <c r="P71" s="3"/>
      <c r="Q71" s="3"/>
      <c r="R71" s="3"/>
      <c r="S71" s="3"/>
      <c r="T71" s="3"/>
      <c r="U71" s="3"/>
      <c r="V71" s="3"/>
      <c r="W71" s="3"/>
      <c r="X71" s="3"/>
      <c r="Y71" s="3"/>
      <c r="Z71" s="3"/>
    </row>
    <row r="72" spans="1:26" ht="12.75" customHeight="1">
      <c r="A72" s="72"/>
      <c r="B72" s="141" t="s">
        <v>81</v>
      </c>
      <c r="C72" s="210">
        <f t="shared" ref="C72:N74" si="14">(C51/C10)*100</f>
        <v>18.33649999999999</v>
      </c>
      <c r="D72" s="210">
        <f t="shared" si="14"/>
        <v>-19.296833333333328</v>
      </c>
      <c r="E72" s="210">
        <f t="shared" si="14"/>
        <v>37.471066666666665</v>
      </c>
      <c r="F72" s="210">
        <f t="shared" si="14"/>
        <v>-12.923333333333334</v>
      </c>
      <c r="G72" s="210">
        <f t="shared" si="14"/>
        <v>7.4433333333333334</v>
      </c>
      <c r="H72" s="210">
        <f t="shared" si="14"/>
        <v>5.09</v>
      </c>
      <c r="I72" s="210">
        <f t="shared" si="14"/>
        <v>8.2366666666666664</v>
      </c>
      <c r="J72" s="210">
        <f t="shared" si="14"/>
        <v>17.626666666666665</v>
      </c>
      <c r="K72" s="210">
        <f t="shared" si="14"/>
        <v>-8.836666666666666</v>
      </c>
      <c r="L72" s="210">
        <f t="shared" si="14"/>
        <v>-8.8566666666666674</v>
      </c>
      <c r="M72" s="210">
        <f t="shared" si="14"/>
        <v>-6.0933333333333328</v>
      </c>
      <c r="N72" s="210">
        <f t="shared" si="14"/>
        <v>11.963333333333333</v>
      </c>
      <c r="O72" s="3"/>
      <c r="P72" s="3"/>
      <c r="Q72" s="3"/>
      <c r="R72" s="3"/>
      <c r="S72" s="3"/>
      <c r="T72" s="3"/>
      <c r="U72" s="3"/>
      <c r="V72" s="3"/>
      <c r="W72" s="3"/>
      <c r="X72" s="3"/>
      <c r="Y72" s="3"/>
      <c r="Z72" s="3"/>
    </row>
    <row r="73" spans="1:26" ht="12.75" customHeight="1">
      <c r="A73" s="72"/>
      <c r="B73" s="141" t="s">
        <v>82</v>
      </c>
      <c r="C73" s="210">
        <f t="shared" si="14"/>
        <v>-35.989133333333342</v>
      </c>
      <c r="D73" s="210">
        <f t="shared" si="14"/>
        <v>4.3274000000000044</v>
      </c>
      <c r="E73" s="210">
        <f t="shared" si="14"/>
        <v>-29.010411131763608</v>
      </c>
      <c r="F73" s="210">
        <f t="shared" si="14"/>
        <v>-14.000000000000002</v>
      </c>
      <c r="G73" s="210">
        <f t="shared" si="14"/>
        <v>-4.4933333333333332</v>
      </c>
      <c r="H73" s="210">
        <f t="shared" si="14"/>
        <v>3.4466666666666668</v>
      </c>
      <c r="I73" s="210">
        <f t="shared" si="14"/>
        <v>-1.6066666666666667</v>
      </c>
      <c r="J73" s="210">
        <f t="shared" si="14"/>
        <v>-4.4866666666666664</v>
      </c>
      <c r="K73" s="210">
        <f t="shared" si="14"/>
        <v>-26.873333333333331</v>
      </c>
      <c r="L73" s="210">
        <f t="shared" si="14"/>
        <v>3.11</v>
      </c>
      <c r="M73" s="210">
        <f t="shared" si="14"/>
        <v>-9.56</v>
      </c>
      <c r="N73" s="210">
        <f t="shared" si="14"/>
        <v>-0.80333333333333334</v>
      </c>
      <c r="O73" s="3"/>
      <c r="P73" s="3"/>
      <c r="Q73" s="3"/>
      <c r="R73" s="3"/>
      <c r="S73" s="3"/>
      <c r="T73" s="3"/>
      <c r="U73" s="3"/>
      <c r="V73" s="3"/>
      <c r="W73" s="3"/>
      <c r="X73" s="3"/>
      <c r="Y73" s="3"/>
      <c r="Z73" s="3"/>
    </row>
    <row r="74" spans="1:26" ht="12.75" customHeight="1">
      <c r="A74" s="72"/>
      <c r="B74" s="141" t="s">
        <v>100</v>
      </c>
      <c r="C74" s="210">
        <f t="shared" si="14"/>
        <v>16.868802138092963</v>
      </c>
      <c r="D74" s="210">
        <f t="shared" si="14"/>
        <v>60.194449976839017</v>
      </c>
      <c r="E74" s="210">
        <f t="shared" si="14"/>
        <v>-26.624969214675087</v>
      </c>
      <c r="F74" s="210">
        <f t="shared" si="14"/>
        <v>-5.6119742468043246</v>
      </c>
      <c r="G74" s="210">
        <f t="shared" si="14"/>
        <v>4.3528367592005726</v>
      </c>
      <c r="H74" s="210">
        <f t="shared" si="14"/>
        <v>3.2335459161287115</v>
      </c>
      <c r="I74" s="210">
        <f t="shared" si="14"/>
        <v>26.781433109998282</v>
      </c>
      <c r="J74" s="210">
        <f t="shared" si="14"/>
        <v>3.2335432107333446</v>
      </c>
      <c r="K74" s="210">
        <f t="shared" si="14"/>
        <v>4.9619398043792113</v>
      </c>
      <c r="L74" s="210">
        <f t="shared" si="14"/>
        <v>3.3229867039540486</v>
      </c>
      <c r="M74" s="210">
        <f t="shared" si="14"/>
        <v>13.737791108331374</v>
      </c>
      <c r="N74" s="210">
        <f t="shared" si="14"/>
        <v>12.227298718935632</v>
      </c>
      <c r="O74" s="3"/>
      <c r="P74" s="3"/>
      <c r="Q74" s="3"/>
      <c r="R74" s="3"/>
      <c r="S74" s="3"/>
      <c r="T74" s="3"/>
      <c r="U74" s="3"/>
      <c r="V74" s="3"/>
      <c r="W74" s="3"/>
      <c r="X74" s="3"/>
      <c r="Y74" s="3"/>
      <c r="Z74" s="3"/>
    </row>
    <row r="75" spans="1:26" ht="12.75" customHeight="1">
      <c r="A75" s="72" t="s">
        <v>69</v>
      </c>
      <c r="B75" s="141" t="s">
        <v>56</v>
      </c>
      <c r="C75" s="211">
        <f>(C54/C13)*100</f>
        <v>-20.279277420508919</v>
      </c>
      <c r="D75" s="211">
        <f t="shared" ref="D75:N75" si="15">(D54/D13)*100</f>
        <v>12.902881430082585</v>
      </c>
      <c r="E75" s="211">
        <f t="shared" si="15"/>
        <v>24.964129300473797</v>
      </c>
      <c r="F75" s="211">
        <f t="shared" si="15"/>
        <v>36.833712515157131</v>
      </c>
      <c r="G75" s="211">
        <f t="shared" si="15"/>
        <v>17.20346639381567</v>
      </c>
      <c r="H75" s="211">
        <f t="shared" si="15"/>
        <v>38.735878764361701</v>
      </c>
      <c r="I75" s="211">
        <f t="shared" si="15"/>
        <v>44.362706611254495</v>
      </c>
      <c r="J75" s="211">
        <f t="shared" si="15"/>
        <v>39.96800633830167</v>
      </c>
      <c r="K75" s="211">
        <f t="shared" si="15"/>
        <v>41.079600747052986</v>
      </c>
      <c r="L75" s="211">
        <f t="shared" si="15"/>
        <v>-2.1254236496527663</v>
      </c>
      <c r="M75" s="211">
        <f t="shared" si="15"/>
        <v>0.12935057840134156</v>
      </c>
      <c r="N75" s="211">
        <f t="shared" si="15"/>
        <v>-2.442758941586451</v>
      </c>
      <c r="O75" s="3"/>
      <c r="P75" s="3"/>
      <c r="Q75" s="3"/>
      <c r="R75" s="3"/>
      <c r="S75" s="3"/>
      <c r="T75" s="3"/>
      <c r="U75" s="3"/>
      <c r="V75" s="3"/>
      <c r="W75" s="3"/>
      <c r="X75" s="3"/>
      <c r="Y75" s="3"/>
      <c r="Z75" s="3"/>
    </row>
    <row r="76" spans="1:26" ht="12.75" customHeight="1">
      <c r="A76" s="72"/>
      <c r="B76" s="141" t="s">
        <v>81</v>
      </c>
      <c r="C76" s="211">
        <f t="shared" ref="C76:N78" si="16">(C55/C14)*100</f>
        <v>303.97044963848901</v>
      </c>
      <c r="D76" s="211">
        <f t="shared" si="16"/>
        <v>410.10494702349087</v>
      </c>
      <c r="E76" s="211">
        <f t="shared" si="16"/>
        <v>-96.04241062236369</v>
      </c>
      <c r="F76" s="211">
        <f t="shared" si="16"/>
        <v>-99.759401514788365</v>
      </c>
      <c r="G76" s="211">
        <f t="shared" si="16"/>
        <v>-13.236781554096163</v>
      </c>
      <c r="H76" s="211">
        <f t="shared" si="16"/>
        <v>66.145478344797368</v>
      </c>
      <c r="I76" s="211">
        <f t="shared" si="16"/>
        <v>-92.922768585886118</v>
      </c>
      <c r="J76" s="211">
        <f t="shared" si="16"/>
        <v>-16.623748044846938</v>
      </c>
      <c r="K76" s="211">
        <f t="shared" si="16"/>
        <v>-60.346025946031205</v>
      </c>
      <c r="L76" s="211">
        <f t="shared" si="16"/>
        <v>-42.919143377594551</v>
      </c>
      <c r="M76" s="211">
        <f t="shared" si="16"/>
        <v>18.476571113561185</v>
      </c>
      <c r="N76" s="211">
        <f t="shared" si="16"/>
        <v>5.0089521115957982</v>
      </c>
      <c r="O76" s="3"/>
      <c r="P76" s="3"/>
      <c r="Q76" s="3"/>
      <c r="R76" s="3"/>
      <c r="S76" s="3"/>
      <c r="T76" s="3"/>
      <c r="U76" s="3"/>
      <c r="V76" s="3"/>
      <c r="W76" s="3"/>
      <c r="X76" s="3"/>
      <c r="Y76" s="3"/>
      <c r="Z76" s="3"/>
    </row>
    <row r="77" spans="1:26" ht="12.75" customHeight="1">
      <c r="A77" s="72"/>
      <c r="B77" s="141" t="s">
        <v>82</v>
      </c>
      <c r="C77" s="211">
        <f t="shared" si="16"/>
        <v>-49.499071666091851</v>
      </c>
      <c r="D77" s="211">
        <f t="shared" si="16"/>
        <v>-52.369964055215</v>
      </c>
      <c r="E77" s="211">
        <f t="shared" si="16"/>
        <v>-24.417294243043923</v>
      </c>
      <c r="F77" s="211">
        <f t="shared" si="16"/>
        <v>-55.811973943944778</v>
      </c>
      <c r="G77" s="211">
        <f t="shared" si="16"/>
        <v>-50.456107463547454</v>
      </c>
      <c r="H77" s="211">
        <f t="shared" si="16"/>
        <v>-38.811419068583405</v>
      </c>
      <c r="I77" s="211">
        <f t="shared" si="16"/>
        <v>-29.889667432565268</v>
      </c>
      <c r="J77" s="211">
        <f t="shared" si="16"/>
        <v>-30.361376199441516</v>
      </c>
      <c r="K77" s="211">
        <f t="shared" si="16"/>
        <v>-39.761449517635</v>
      </c>
      <c r="L77" s="211">
        <f t="shared" si="16"/>
        <v>-43.615962959658674</v>
      </c>
      <c r="M77" s="211">
        <f t="shared" si="16"/>
        <v>-41.647806568219671</v>
      </c>
      <c r="N77" s="211">
        <f t="shared" si="16"/>
        <v>-11.575737063474001</v>
      </c>
      <c r="O77" s="3"/>
      <c r="P77" s="3"/>
      <c r="Q77" s="3"/>
      <c r="R77" s="3"/>
      <c r="S77" s="3"/>
      <c r="T77" s="3"/>
      <c r="U77" s="3"/>
      <c r="V77" s="3"/>
      <c r="W77" s="3"/>
      <c r="X77" s="3"/>
      <c r="Y77" s="3"/>
      <c r="Z77" s="3"/>
    </row>
    <row r="78" spans="1:26" ht="12.75" customHeight="1">
      <c r="A78" s="72"/>
      <c r="B78" s="141" t="s">
        <v>100</v>
      </c>
      <c r="C78" s="211">
        <f t="shared" si="16"/>
        <v>12.469139911802751</v>
      </c>
      <c r="D78" s="211">
        <f t="shared" si="16"/>
        <v>30.955418385777566</v>
      </c>
      <c r="E78" s="211">
        <f t="shared" si="16"/>
        <v>-6.5110448241343724</v>
      </c>
      <c r="F78" s="211">
        <f t="shared" si="16"/>
        <v>4.093250567053488</v>
      </c>
      <c r="G78" s="211">
        <f t="shared" si="16"/>
        <v>21.499212917340703</v>
      </c>
      <c r="H78" s="211">
        <f t="shared" si="16"/>
        <v>-11.984829890633227</v>
      </c>
      <c r="I78" s="211">
        <f t="shared" si="16"/>
        <v>10.349954172240789</v>
      </c>
      <c r="J78" s="211">
        <f t="shared" si="16"/>
        <v>29.446369997212763</v>
      </c>
      <c r="K78" s="211">
        <f t="shared" si="16"/>
        <v>-2.0407675514472605</v>
      </c>
      <c r="L78" s="211">
        <f t="shared" si="16"/>
        <v>8.8086841905057991</v>
      </c>
      <c r="M78" s="211">
        <f t="shared" si="16"/>
        <v>22.952262553722775</v>
      </c>
      <c r="N78" s="211">
        <f t="shared" si="16"/>
        <v>-44.761696312129928</v>
      </c>
      <c r="O78" s="3"/>
      <c r="P78" s="3"/>
      <c r="Q78" s="3"/>
      <c r="R78" s="3"/>
      <c r="S78" s="3"/>
      <c r="T78" s="3"/>
      <c r="U78" s="3"/>
      <c r="V78" s="3"/>
      <c r="W78" s="3"/>
      <c r="X78" s="3"/>
      <c r="Y78" s="3"/>
      <c r="Z78" s="3"/>
    </row>
    <row r="79" spans="1:26" ht="12.75" customHeight="1">
      <c r="A79" s="72" t="s">
        <v>84</v>
      </c>
      <c r="B79" s="141" t="s">
        <v>56</v>
      </c>
      <c r="C79" s="211">
        <f>(C58/C38)*100</f>
        <v>17.966945898827404</v>
      </c>
      <c r="D79" s="211">
        <f t="shared" ref="D79:N79" si="17">(D58/D38)*100</f>
        <v>4.5364729610995775</v>
      </c>
      <c r="E79" s="211">
        <f t="shared" si="17"/>
        <v>26.074986379403548</v>
      </c>
      <c r="F79" s="211">
        <f t="shared" si="17"/>
        <v>29.096416952677739</v>
      </c>
      <c r="G79" s="211">
        <f t="shared" si="17"/>
        <v>29.906916060976556</v>
      </c>
      <c r="H79" s="211">
        <f t="shared" si="17"/>
        <v>53.743421924635904</v>
      </c>
      <c r="I79" s="211">
        <f t="shared" si="17"/>
        <v>13.707901754974392</v>
      </c>
      <c r="J79" s="211">
        <f t="shared" si="17"/>
        <v>15.355956760857413</v>
      </c>
      <c r="K79" s="211">
        <f t="shared" si="17"/>
        <v>20.887175135677776</v>
      </c>
      <c r="L79" s="211">
        <f t="shared" si="17"/>
        <v>-2.0373694869296157</v>
      </c>
      <c r="M79" s="211">
        <f t="shared" si="17"/>
        <v>6.9488580886438926</v>
      </c>
      <c r="N79" s="211">
        <f t="shared" si="17"/>
        <v>6.8421853138017577</v>
      </c>
      <c r="O79" s="3"/>
      <c r="P79" s="3"/>
      <c r="Q79" s="3"/>
      <c r="R79" s="3"/>
      <c r="S79" s="3"/>
      <c r="T79" s="3"/>
      <c r="U79" s="3"/>
      <c r="V79" s="3"/>
      <c r="W79" s="3"/>
      <c r="X79" s="3"/>
      <c r="Y79" s="3"/>
      <c r="Z79" s="3"/>
    </row>
    <row r="80" spans="1:26" ht="12.75" customHeight="1">
      <c r="A80" s="72"/>
      <c r="B80" s="141" t="s">
        <v>81</v>
      </c>
      <c r="C80" s="211">
        <f>(C59/C39)*100</f>
        <v>-19.779461148782449</v>
      </c>
      <c r="D80" s="211">
        <f t="shared" ref="D80:N80" si="18">(D59/D39)*100</f>
        <v>-101.01550699426444</v>
      </c>
      <c r="E80" s="211">
        <f t="shared" si="18"/>
        <v>-241.79443323102342</v>
      </c>
      <c r="F80" s="211">
        <f t="shared" si="18"/>
        <v>-104.0534854429924</v>
      </c>
      <c r="G80" s="211">
        <f t="shared" si="18"/>
        <v>610.85065066013294</v>
      </c>
      <c r="H80" s="211">
        <f t="shared" si="18"/>
        <v>-3441.4151334168687</v>
      </c>
      <c r="I80" s="211">
        <f t="shared" si="18"/>
        <v>28.416152017207992</v>
      </c>
      <c r="J80" s="211">
        <f t="shared" si="18"/>
        <v>-13.778092265075859</v>
      </c>
      <c r="K80" s="211">
        <f t="shared" si="18"/>
        <v>-138.87237477482759</v>
      </c>
      <c r="L80" s="211">
        <f t="shared" si="18"/>
        <v>35.08853462485073</v>
      </c>
      <c r="M80" s="211">
        <f t="shared" si="18"/>
        <v>44.794650334581618</v>
      </c>
      <c r="N80" s="211">
        <f t="shared" si="18"/>
        <v>87.601052602957836</v>
      </c>
      <c r="O80" s="3"/>
      <c r="P80" s="3"/>
      <c r="Q80" s="3"/>
      <c r="R80" s="3"/>
      <c r="S80" s="3"/>
      <c r="T80" s="3"/>
      <c r="U80" s="3"/>
      <c r="V80" s="3"/>
      <c r="W80" s="3"/>
      <c r="X80" s="3"/>
      <c r="Y80" s="3"/>
      <c r="Z80" s="3"/>
    </row>
    <row r="81" spans="1:26" ht="12.75" customHeight="1">
      <c r="A81" s="72"/>
      <c r="B81" s="141" t="s">
        <v>82</v>
      </c>
      <c r="C81" s="211">
        <f t="shared" ref="C81:N82" si="19">(C60/C40)*100</f>
        <v>-467.20502415006945</v>
      </c>
      <c r="D81" s="211">
        <f t="shared" si="19"/>
        <v>-11.071130646260425</v>
      </c>
      <c r="E81" s="211">
        <f t="shared" si="19"/>
        <v>30.759193323187535</v>
      </c>
      <c r="F81" s="211">
        <f t="shared" si="19"/>
        <v>13.390082926726663</v>
      </c>
      <c r="G81" s="211">
        <f t="shared" si="19"/>
        <v>47.932043264714565</v>
      </c>
      <c r="H81" s="211">
        <f t="shared" si="19"/>
        <v>40.814610615052125</v>
      </c>
      <c r="I81" s="211">
        <f t="shared" si="19"/>
        <v>62.649900964479663</v>
      </c>
      <c r="J81" s="211">
        <f t="shared" si="19"/>
        <v>-15.283188348712434</v>
      </c>
      <c r="K81" s="211">
        <f t="shared" si="19"/>
        <v>61.946935982977337</v>
      </c>
      <c r="L81" s="211">
        <f t="shared" si="19"/>
        <v>31.430833504167165</v>
      </c>
      <c r="M81" s="211">
        <f t="shared" si="19"/>
        <v>44.116569379567174</v>
      </c>
      <c r="N81" s="211">
        <f t="shared" si="19"/>
        <v>60.947093376707549</v>
      </c>
      <c r="O81" s="3"/>
      <c r="P81" s="3"/>
      <c r="Q81" s="3"/>
      <c r="R81" s="3"/>
      <c r="S81" s="3"/>
      <c r="T81" s="3"/>
      <c r="U81" s="3"/>
      <c r="V81" s="3"/>
      <c r="W81" s="3"/>
      <c r="X81" s="3"/>
      <c r="Y81" s="3"/>
      <c r="Z81" s="3"/>
    </row>
    <row r="82" spans="1:26" ht="12.75" customHeight="1">
      <c r="A82" s="72"/>
      <c r="B82" s="141" t="s">
        <v>100</v>
      </c>
      <c r="C82" s="211">
        <f t="shared" si="19"/>
        <v>-2.9246098562593561</v>
      </c>
      <c r="D82" s="211">
        <f t="shared" si="19"/>
        <v>-16.232236327055798</v>
      </c>
      <c r="E82" s="211">
        <f t="shared" si="19"/>
        <v>15.384645907296488</v>
      </c>
      <c r="F82" s="211">
        <f t="shared" si="19"/>
        <v>36.130710643257089</v>
      </c>
      <c r="G82" s="211">
        <f t="shared" si="19"/>
        <v>-58.936137781410444</v>
      </c>
      <c r="H82" s="211">
        <f t="shared" si="19"/>
        <v>31.213097683673553</v>
      </c>
      <c r="I82" s="211">
        <f t="shared" si="19"/>
        <v>-9.9814106355913914</v>
      </c>
      <c r="J82" s="211">
        <f t="shared" si="19"/>
        <v>-6.8273528653920845</v>
      </c>
      <c r="K82" s="211">
        <f t="shared" si="19"/>
        <v>36.542976008955783</v>
      </c>
      <c r="L82" s="211">
        <f t="shared" si="19"/>
        <v>-120.41291407738761</v>
      </c>
      <c r="M82" s="211">
        <f t="shared" si="19"/>
        <v>-70.447159808324571</v>
      </c>
      <c r="N82" s="211">
        <f t="shared" si="19"/>
        <v>4.5604422804001636</v>
      </c>
      <c r="O82" s="3"/>
      <c r="P82" s="3"/>
      <c r="Q82" s="3"/>
      <c r="R82" s="3"/>
      <c r="S82" s="3"/>
      <c r="T82" s="3"/>
      <c r="U82" s="3"/>
      <c r="V82" s="3"/>
      <c r="W82" s="3"/>
      <c r="X82" s="3"/>
      <c r="Y82" s="3"/>
      <c r="Z82" s="3"/>
    </row>
    <row r="83" spans="1:26" ht="12.75" customHeight="1">
      <c r="A83" s="72" t="s">
        <v>94</v>
      </c>
      <c r="B83" s="141" t="s">
        <v>56</v>
      </c>
      <c r="C83" s="211">
        <f>(C62/C21)*100</f>
        <v>-2.2204306720803344</v>
      </c>
      <c r="D83" s="211">
        <f t="shared" ref="D83:N83" si="20">(D62/D21)*100</f>
        <v>-8.8654143341698255</v>
      </c>
      <c r="E83" s="211">
        <f t="shared" si="20"/>
        <v>-3.5994712423364139</v>
      </c>
      <c r="F83" s="211">
        <f t="shared" si="20"/>
        <v>-12.176193256561719</v>
      </c>
      <c r="G83" s="211">
        <f t="shared" si="20"/>
        <v>3.0295991248033278</v>
      </c>
      <c r="H83" s="211">
        <f t="shared" si="20"/>
        <v>4.6098138005635079</v>
      </c>
      <c r="I83" s="211">
        <f t="shared" si="20"/>
        <v>-12.548467478575182</v>
      </c>
      <c r="J83" s="211">
        <f t="shared" si="20"/>
        <v>-9.2006138572176592</v>
      </c>
      <c r="K83" s="211">
        <f t="shared" si="20"/>
        <v>-6.3047708252159884</v>
      </c>
      <c r="L83" s="211">
        <f t="shared" si="20"/>
        <v>1.1464623934096985</v>
      </c>
      <c r="M83" s="211">
        <f t="shared" si="20"/>
        <v>2.1838714587859274</v>
      </c>
      <c r="N83" s="211">
        <f t="shared" si="20"/>
        <v>4.9682166305244557</v>
      </c>
      <c r="O83" s="3"/>
      <c r="P83" s="3"/>
      <c r="Q83" s="3"/>
      <c r="R83" s="3"/>
      <c r="S83" s="3"/>
      <c r="T83" s="3"/>
      <c r="U83" s="3"/>
      <c r="V83" s="3"/>
      <c r="W83" s="3"/>
      <c r="X83" s="3"/>
      <c r="Y83" s="3"/>
      <c r="Z83" s="3"/>
    </row>
    <row r="84" spans="1:26" ht="12.75" customHeight="1">
      <c r="A84" s="72"/>
      <c r="B84" s="141" t="s">
        <v>81</v>
      </c>
      <c r="C84" s="211">
        <f t="shared" ref="C84:N86" si="21">(C63/C22)*100</f>
        <v>141.71537924450334</v>
      </c>
      <c r="D84" s="211">
        <f t="shared" si="21"/>
        <v>175.40097180068111</v>
      </c>
      <c r="E84" s="211">
        <f t="shared" si="21"/>
        <v>-73.746588010658456</v>
      </c>
      <c r="F84" s="211">
        <f t="shared" si="21"/>
        <v>-71.422445761672563</v>
      </c>
      <c r="G84" s="211">
        <f t="shared" si="21"/>
        <v>-54.287841270768247</v>
      </c>
      <c r="H84" s="211">
        <f t="shared" si="21"/>
        <v>-9.1950361806058432</v>
      </c>
      <c r="I84" s="211">
        <f t="shared" si="21"/>
        <v>-29.719456616658402</v>
      </c>
      <c r="J84" s="211">
        <f t="shared" si="21"/>
        <v>-13.699764661115429</v>
      </c>
      <c r="K84" s="211">
        <f t="shared" si="21"/>
        <v>-58.021575587832999</v>
      </c>
      <c r="L84" s="211">
        <f t="shared" si="21"/>
        <v>1.2882559056267742</v>
      </c>
      <c r="M84" s="211">
        <f t="shared" si="21"/>
        <v>42.962925219727275</v>
      </c>
      <c r="N84" s="211">
        <f t="shared" si="21"/>
        <v>-61.680021607732058</v>
      </c>
      <c r="O84" s="3"/>
      <c r="P84" s="3"/>
      <c r="Q84" s="3"/>
      <c r="R84" s="3"/>
      <c r="S84" s="3"/>
      <c r="T84" s="3"/>
      <c r="U84" s="3"/>
      <c r="V84" s="3"/>
      <c r="W84" s="3"/>
      <c r="X84" s="3"/>
      <c r="Y84" s="3"/>
      <c r="Z84" s="3"/>
    </row>
    <row r="85" spans="1:26" ht="12.75" customHeight="1">
      <c r="A85" s="72"/>
      <c r="B85" s="165" t="s">
        <v>82</v>
      </c>
      <c r="C85" s="211">
        <f t="shared" si="21"/>
        <v>-49.020632966068497</v>
      </c>
      <c r="D85" s="211">
        <f t="shared" si="21"/>
        <v>-48.305696031180503</v>
      </c>
      <c r="E85" s="211">
        <f t="shared" si="21"/>
        <v>-24.035003912141047</v>
      </c>
      <c r="F85" s="211">
        <f t="shared" si="21"/>
        <v>-54.620486590967396</v>
      </c>
      <c r="G85" s="211">
        <f t="shared" si="21"/>
        <v>-46.428047854212707</v>
      </c>
      <c r="H85" s="211">
        <f t="shared" si="21"/>
        <v>-35.327485879212048</v>
      </c>
      <c r="I85" s="211">
        <f t="shared" si="21"/>
        <v>-26.373545973406287</v>
      </c>
      <c r="J85" s="211">
        <f t="shared" si="21"/>
        <v>-28.548169297131036</v>
      </c>
      <c r="K85" s="211">
        <f t="shared" si="21"/>
        <v>-37.097528307053956</v>
      </c>
      <c r="L85" s="211">
        <f t="shared" si="21"/>
        <v>-40.044088046576945</v>
      </c>
      <c r="M85" s="211">
        <f t="shared" si="21"/>
        <v>-38.636585906232206</v>
      </c>
      <c r="N85" s="211">
        <f t="shared" si="21"/>
        <v>-9.3648172118936763</v>
      </c>
      <c r="O85" s="3"/>
      <c r="P85" s="3"/>
      <c r="Q85" s="3"/>
      <c r="R85" s="3"/>
      <c r="S85" s="3"/>
      <c r="T85" s="3"/>
      <c r="U85" s="3"/>
      <c r="V85" s="3"/>
      <c r="W85" s="3"/>
      <c r="X85" s="3"/>
      <c r="Y85" s="3"/>
      <c r="Z85" s="3"/>
    </row>
    <row r="86" spans="1:26" ht="12.75" customHeight="1">
      <c r="A86" s="73"/>
      <c r="B86" s="73" t="s">
        <v>100</v>
      </c>
      <c r="C86" s="211">
        <f t="shared" si="21"/>
        <v>8.7267097972989038</v>
      </c>
      <c r="D86" s="211">
        <f t="shared" si="21"/>
        <v>23.812347638697513</v>
      </c>
      <c r="E86" s="211">
        <f t="shared" si="21"/>
        <v>-5.8377984440553226</v>
      </c>
      <c r="F86" s="211">
        <f t="shared" si="21"/>
        <v>9.026733557340016</v>
      </c>
      <c r="G86" s="211">
        <f t="shared" si="21"/>
        <v>5.232704108235116</v>
      </c>
      <c r="H86" s="211">
        <f t="shared" si="21"/>
        <v>-2.2216530613878192</v>
      </c>
      <c r="I86" s="211">
        <f t="shared" si="21"/>
        <v>9.5942347632364182</v>
      </c>
      <c r="J86" s="211">
        <f t="shared" si="21"/>
        <v>16.5840125357849</v>
      </c>
      <c r="K86" s="211">
        <f t="shared" si="21"/>
        <v>8.1804152429431447</v>
      </c>
      <c r="L86" s="211">
        <f t="shared" si="21"/>
        <v>-8.063344896170225</v>
      </c>
      <c r="M86" s="211">
        <f t="shared" si="21"/>
        <v>5.4888362856581061</v>
      </c>
      <c r="N86" s="211">
        <f t="shared" si="21"/>
        <v>-23.152872473478112</v>
      </c>
      <c r="O86" s="3"/>
      <c r="P86" s="3"/>
      <c r="Q86" s="3"/>
      <c r="R86" s="3"/>
      <c r="S86" s="3"/>
      <c r="T86" s="3"/>
      <c r="U86" s="3"/>
      <c r="V86" s="3"/>
      <c r="W86" s="3"/>
      <c r="X86" s="3"/>
      <c r="Y86" s="3"/>
      <c r="Z86" s="3"/>
    </row>
    <row r="87" spans="1:26"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c r="A119" s="1" t="s">
        <v>109</v>
      </c>
      <c r="B119" s="75" t="s">
        <v>43</v>
      </c>
      <c r="C119" s="75" t="s">
        <v>44</v>
      </c>
      <c r="D119" s="75" t="s">
        <v>45</v>
      </c>
      <c r="E119" s="75" t="s">
        <v>46</v>
      </c>
      <c r="F119" s="75" t="s">
        <v>47</v>
      </c>
      <c r="G119" s="75" t="s">
        <v>48</v>
      </c>
      <c r="H119" s="75" t="s">
        <v>49</v>
      </c>
      <c r="I119" s="75" t="s">
        <v>50</v>
      </c>
      <c r="J119" s="75" t="s">
        <v>51</v>
      </c>
      <c r="K119" s="75" t="s">
        <v>52</v>
      </c>
      <c r="L119" s="75" t="s">
        <v>53</v>
      </c>
      <c r="M119" s="75" t="s">
        <v>54</v>
      </c>
      <c r="N119" s="3"/>
      <c r="O119" s="3"/>
      <c r="P119" s="3"/>
      <c r="Q119" s="3"/>
      <c r="R119" s="3"/>
      <c r="S119" s="3"/>
      <c r="T119" s="3"/>
      <c r="U119" s="3"/>
      <c r="V119" s="3"/>
      <c r="W119" s="3"/>
      <c r="X119" s="3"/>
      <c r="Y119" s="3"/>
      <c r="Z119" s="3"/>
    </row>
    <row r="120" spans="1:26" ht="12.75" customHeight="1">
      <c r="A120" s="76" t="s">
        <v>110</v>
      </c>
      <c r="B120" s="69">
        <f>EBIT!C7-EBIT!C36</f>
        <v>484294.31999998959</v>
      </c>
      <c r="C120" s="69">
        <f>EBIT!D7-EBIT!D36</f>
        <v>1742006.2299999995</v>
      </c>
      <c r="D120" s="69">
        <f>EBIT!E7-EBIT!E36</f>
        <v>-1317018.28000001</v>
      </c>
      <c r="E120" s="69">
        <f>EBIT!F7-EBIT!F36</f>
        <v>-204828.77000000048</v>
      </c>
      <c r="F120" s="69">
        <f>EBIT!G7-EBIT!G36</f>
        <v>147574.7200000002</v>
      </c>
      <c r="G120" s="69">
        <f>EBIT!H7-EBIT!H36</f>
        <v>106582.04999999981</v>
      </c>
      <c r="H120" s="69">
        <f>EBIT!I7-EBIT!I36</f>
        <v>902983.93999999901</v>
      </c>
      <c r="I120" s="69">
        <f>EBIT!J7-EBIT!J36</f>
        <v>112724.19999999972</v>
      </c>
      <c r="J120" s="69">
        <f>EBIT!K7-EBIT!K36</f>
        <v>169741.73000000045</v>
      </c>
      <c r="K120" s="69">
        <f>EBIT!L7-EBIT!L36</f>
        <v>115729.20999999996</v>
      </c>
      <c r="L120" s="69">
        <f>EBIT!M7-EBIT!M36</f>
        <v>461531.6799999997</v>
      </c>
      <c r="M120" s="69">
        <f>EBIT!N7-EBIT!N36</f>
        <v>474629.10000000009</v>
      </c>
      <c r="N120" s="3"/>
      <c r="O120" s="3"/>
      <c r="P120" s="3"/>
      <c r="Q120" s="3"/>
      <c r="R120" s="3"/>
      <c r="S120" s="3"/>
      <c r="T120" s="3"/>
      <c r="U120" s="3"/>
      <c r="V120" s="3"/>
      <c r="W120" s="3"/>
      <c r="X120" s="3"/>
      <c r="Y120" s="3"/>
      <c r="Z120" s="3"/>
    </row>
    <row r="121" spans="1:26" ht="12.75" customHeight="1">
      <c r="A121" s="76" t="s">
        <v>111</v>
      </c>
      <c r="B121" s="69">
        <f>EBIT!C8-EBIT!C37</f>
        <v>5500.9499999999971</v>
      </c>
      <c r="C121" s="69">
        <f>EBIT!D8-EBIT!D37</f>
        <v>-5789.0499999999993</v>
      </c>
      <c r="D121" s="69">
        <f>EBIT!E8-EBIT!E37</f>
        <v>11241.32</v>
      </c>
      <c r="E121" s="69">
        <f>EBIT!F8-EBIT!F37</f>
        <v>-3877</v>
      </c>
      <c r="F121" s="69">
        <f>EBIT!G8-EBIT!G37</f>
        <v>2233</v>
      </c>
      <c r="G121" s="69">
        <f>EBIT!H8-EBIT!H37</f>
        <v>1527</v>
      </c>
      <c r="H121" s="69">
        <f>EBIT!I8-EBIT!I37</f>
        <v>2471</v>
      </c>
      <c r="I121" s="69">
        <f>EBIT!J8-EBIT!J37</f>
        <v>5288</v>
      </c>
      <c r="J121" s="69">
        <f>EBIT!K8-EBIT!K37</f>
        <v>-2651</v>
      </c>
      <c r="K121" s="69">
        <f>EBIT!L8-EBIT!L37</f>
        <v>-2657</v>
      </c>
      <c r="L121" s="69">
        <f>EBIT!M8-EBIT!M37</f>
        <v>-1828</v>
      </c>
      <c r="M121" s="69">
        <f>EBIT!N8-EBIT!N37</f>
        <v>3589</v>
      </c>
      <c r="N121" s="3"/>
      <c r="O121" s="3"/>
      <c r="P121" s="3"/>
      <c r="Q121" s="3"/>
      <c r="R121" s="3"/>
      <c r="S121" s="3"/>
      <c r="T121" s="3"/>
      <c r="U121" s="3"/>
      <c r="V121" s="3"/>
      <c r="W121" s="3"/>
      <c r="X121" s="3"/>
      <c r="Y121" s="3"/>
      <c r="Z121" s="3"/>
    </row>
    <row r="122" spans="1:26" ht="12.75" customHeight="1">
      <c r="A122" s="76" t="s">
        <v>112</v>
      </c>
      <c r="B122" s="69">
        <f>EBIT!C9-EBIT!C38</f>
        <v>-10796.740000000002</v>
      </c>
      <c r="C122" s="69">
        <f>EBIT!D9-EBIT!D38</f>
        <v>1298.2200000000012</v>
      </c>
      <c r="D122" s="69">
        <f>EBIT!E9-EBIT!E38</f>
        <v>-8681</v>
      </c>
      <c r="E122" s="69">
        <f>EBIT!F9-EBIT!F38</f>
        <v>-4200</v>
      </c>
      <c r="F122" s="69">
        <f>EBIT!G9-EBIT!G38</f>
        <v>-1348</v>
      </c>
      <c r="G122" s="69">
        <f>EBIT!H9-EBIT!H38</f>
        <v>1034</v>
      </c>
      <c r="H122" s="69">
        <f>EBIT!I9-EBIT!I38</f>
        <v>-482</v>
      </c>
      <c r="I122" s="69">
        <f>EBIT!J9-EBIT!J38</f>
        <v>-1346</v>
      </c>
      <c r="J122" s="69">
        <f>EBIT!K9-EBIT!K38</f>
        <v>-8062</v>
      </c>
      <c r="K122" s="69">
        <f>EBIT!L9-EBIT!L38</f>
        <v>933</v>
      </c>
      <c r="L122" s="69">
        <f>EBIT!M9-EBIT!M38</f>
        <v>-2868</v>
      </c>
      <c r="M122" s="69">
        <f>EBIT!N9-EBIT!N38</f>
        <v>-241</v>
      </c>
      <c r="N122" s="3"/>
      <c r="O122" s="3"/>
      <c r="P122" s="3"/>
      <c r="Q122" s="3"/>
      <c r="R122" s="3"/>
      <c r="S122" s="3"/>
      <c r="T122" s="3"/>
      <c r="U122" s="3"/>
      <c r="V122" s="3"/>
      <c r="W122" s="3"/>
      <c r="X122" s="3"/>
      <c r="Y122" s="3"/>
      <c r="Z122" s="3"/>
    </row>
    <row r="123" spans="1:26" ht="12.75" customHeight="1">
      <c r="A123" s="166" t="s">
        <v>56</v>
      </c>
      <c r="B123" s="69">
        <f>EBIT!C39-EBIT!C10</f>
        <v>247014.13999999966</v>
      </c>
      <c r="C123" s="69">
        <f>EBIT!D39-EBIT!D10</f>
        <v>2181579.9999999991</v>
      </c>
      <c r="D123" s="69">
        <f>EBIT!E39-EBIT!E10</f>
        <v>1587941.5899999999</v>
      </c>
      <c r="E123" s="69">
        <f>EBIT!F39-EBIT!F10</f>
        <v>3068220.5799999991</v>
      </c>
      <c r="F123" s="69">
        <f>EBIT!G39-EBIT!G10</f>
        <v>641500.80999999959</v>
      </c>
      <c r="G123" s="69">
        <f>EBIT!H39-EBIT!H10</f>
        <v>-301869.58000000007</v>
      </c>
      <c r="H123" s="69">
        <f>EBIT!I39-EBIT!I10</f>
        <v>713466.13999999873</v>
      </c>
      <c r="I123" s="69">
        <f>EBIT!J39-EBIT!J10</f>
        <v>165734.96999999881</v>
      </c>
      <c r="J123" s="69">
        <f>EBIT!K39-EBIT!K10</f>
        <v>-5417.8000000007451</v>
      </c>
      <c r="K123" s="69">
        <f>EBIT!L39-EBIT!L10</f>
        <v>-458893.13999999966</v>
      </c>
      <c r="L123" s="69">
        <f>EBIT!M39-EBIT!M10</f>
        <v>242882.94999999925</v>
      </c>
      <c r="M123" s="69">
        <f>EBIT!N39-EBIT!N10</f>
        <v>-600441.8900000006</v>
      </c>
      <c r="N123" s="3"/>
      <c r="O123" s="3"/>
      <c r="P123" s="3"/>
      <c r="Q123" s="3"/>
      <c r="R123" s="3"/>
      <c r="S123" s="3"/>
      <c r="T123" s="3"/>
      <c r="U123" s="3"/>
      <c r="V123" s="3"/>
      <c r="W123" s="3"/>
      <c r="X123" s="3"/>
      <c r="Y123" s="3"/>
      <c r="Z123" s="3"/>
    </row>
    <row r="124" spans="1:26" ht="12.75" customHeight="1">
      <c r="A124" s="167" t="s">
        <v>113</v>
      </c>
      <c r="B124" s="168">
        <f>EBIT!C11-EBIT!C40</f>
        <v>-231984.38999998942</v>
      </c>
      <c r="C124" s="168">
        <f>EBIT!D11-EBIT!D40</f>
        <v>444064.59999999963</v>
      </c>
      <c r="D124" s="168">
        <f>EBIT!E11-EBIT!E40</f>
        <v>2902399.5500000101</v>
      </c>
      <c r="E124" s="168">
        <f>EBIT!F11-EBIT!F40</f>
        <v>3281126.3499999996</v>
      </c>
      <c r="F124" s="168">
        <f>EBIT!G11-EBIT!G40</f>
        <v>493041.08999999892</v>
      </c>
      <c r="G124" s="168">
        <f>EBIT!H11-EBIT!H40</f>
        <v>-411012.63000000082</v>
      </c>
      <c r="H124" s="168">
        <f>EBIT!I11-EBIT!I40</f>
        <v>-191506.80000000075</v>
      </c>
      <c r="I124" s="168">
        <f>EBIT!J11-EBIT!J40</f>
        <v>49068.769999998622</v>
      </c>
      <c r="J124" s="168">
        <f>EBIT!K11-EBIT!K40</f>
        <v>-164446.53000000119</v>
      </c>
      <c r="K124" s="168">
        <f>EBIT!L11-EBIT!L40</f>
        <v>-572898.35000000009</v>
      </c>
      <c r="L124" s="168">
        <f>EBIT!M11-EBIT!M40</f>
        <v>-213952.73000000045</v>
      </c>
      <c r="M124" s="168">
        <f>EBIT!N11-EBIT!N40</f>
        <v>-1078418.9900000007</v>
      </c>
      <c r="N124" s="3"/>
      <c r="O124" s="3"/>
      <c r="P124" s="3"/>
      <c r="Q124" s="3"/>
      <c r="R124" s="3"/>
      <c r="S124" s="3"/>
      <c r="T124" s="3"/>
      <c r="U124" s="3"/>
      <c r="V124" s="3"/>
      <c r="W124" s="3"/>
      <c r="X124" s="3"/>
      <c r="Y124" s="3"/>
      <c r="Z124" s="3"/>
    </row>
    <row r="125" spans="1:26" ht="12.75" customHeight="1">
      <c r="A125" s="3"/>
      <c r="B125" s="69"/>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2.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2.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2.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2.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2.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2.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2.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13">
    <mergeCell ref="A69:J69"/>
    <mergeCell ref="A1:E1"/>
    <mergeCell ref="A2:K2"/>
    <mergeCell ref="A4:J4"/>
    <mergeCell ref="A6:Z6"/>
    <mergeCell ref="A26:K26"/>
    <mergeCell ref="A28:Z28"/>
    <mergeCell ref="A46:J46"/>
    <mergeCell ref="A47:J47"/>
    <mergeCell ref="A48:J48"/>
    <mergeCell ref="A66:J66"/>
    <mergeCell ref="A67:J67"/>
    <mergeCell ref="A68:J68"/>
  </mergeCells>
  <phoneticPr fontId="40" type="noConversion"/>
  <conditionalFormatting sqref="C71:N86">
    <cfRule type="cellIs" dxfId="0" priority="1" operator="greaterThan">
      <formula>0.05</formula>
    </cfRule>
  </conditionalFormatting>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073B6-09A7-064B-BAAB-E593E2DF5970}">
  <dimension ref="A2:F14"/>
  <sheetViews>
    <sheetView showGridLines="0" tabSelected="1" zoomScaleNormal="100" workbookViewId="0">
      <selection activeCell="I9" sqref="I9"/>
    </sheetView>
  </sheetViews>
  <sheetFormatPr baseColWidth="10" defaultRowHeight="15"/>
  <cols>
    <col min="1" max="1" width="52.83203125" bestFit="1" customWidth="1"/>
    <col min="2" max="2" width="38.1640625" bestFit="1" customWidth="1"/>
    <col min="3" max="3" width="28.5" customWidth="1"/>
    <col min="4" max="5" width="15.33203125" bestFit="1" customWidth="1"/>
  </cols>
  <sheetData>
    <row r="2" spans="1:6" ht="38" customHeight="1">
      <c r="A2" s="289" t="s">
        <v>166</v>
      </c>
      <c r="B2" s="289"/>
      <c r="C2" s="289"/>
      <c r="D2" s="290" t="s">
        <v>80</v>
      </c>
      <c r="E2" s="290" t="s">
        <v>99</v>
      </c>
    </row>
    <row r="3" spans="1:6" ht="38" customHeight="1">
      <c r="A3" s="291" t="s">
        <v>56</v>
      </c>
      <c r="B3" s="292" t="s">
        <v>58</v>
      </c>
      <c r="C3" s="293">
        <f>D3-E3</f>
        <v>20.974039065999989</v>
      </c>
      <c r="D3" s="293">
        <f>SUM('CC Actuals'!E55:P57)/10000000</f>
        <v>-28.889561336</v>
      </c>
      <c r="E3" s="293">
        <f>SUM('CC BUDGET'!E44:P46)/10000000</f>
        <v>-49.863600401999989</v>
      </c>
    </row>
    <row r="4" spans="1:6" ht="38" customHeight="1">
      <c r="A4" s="294"/>
      <c r="B4" s="295" t="s">
        <v>61</v>
      </c>
      <c r="C4" s="296">
        <f t="shared" ref="C4:C13" si="0">D4-E4</f>
        <v>0.46189035999999994</v>
      </c>
      <c r="D4" s="296">
        <f>SUM('CC Actuals'!E58:P58)/1000000</f>
        <v>0.14562060999999998</v>
      </c>
      <c r="E4" s="296">
        <f>SUM('CC BUDGET'!E47:P47)/1000000</f>
        <v>-0.31626974999999996</v>
      </c>
    </row>
    <row r="5" spans="1:6" ht="39" customHeight="1">
      <c r="A5" s="294"/>
      <c r="B5" s="295" t="s">
        <v>62</v>
      </c>
      <c r="C5" s="296">
        <f t="shared" si="0"/>
        <v>1.3313339599999998</v>
      </c>
      <c r="D5" s="296">
        <f>SUM('CC Actuals'!E59:P59)/1000000</f>
        <v>0.63303727999999992</v>
      </c>
      <c r="E5" s="296">
        <f>SUM('CC BUDGET'!E48:P48)/1000000</f>
        <v>-0.69829668</v>
      </c>
    </row>
    <row r="6" spans="1:6" ht="38" customHeight="1">
      <c r="A6" s="297"/>
      <c r="B6" s="298" t="s">
        <v>63</v>
      </c>
      <c r="C6" s="299">
        <f t="shared" si="0"/>
        <v>17.614723010000002</v>
      </c>
      <c r="D6" s="300">
        <f>SUM('CC Actuals'!E60:P60)/1000000</f>
        <v>9.0147229700000011</v>
      </c>
      <c r="E6" s="300">
        <f>SUM('CC BUDGET'!E49:P49)/1000000</f>
        <v>-8.6000000400000012</v>
      </c>
    </row>
    <row r="7" spans="1:6" ht="38" customHeight="1">
      <c r="A7" s="294" t="s">
        <v>164</v>
      </c>
      <c r="B7" s="292" t="s">
        <v>62</v>
      </c>
      <c r="C7" s="301">
        <f t="shared" si="0"/>
        <v>-0.57172718000000078</v>
      </c>
      <c r="D7" s="293">
        <f>SUM('CC Actuals'!E61:P61)/1000000</f>
        <v>6.0419778199999996</v>
      </c>
      <c r="E7" s="293">
        <f>SUM('CC BUDGET'!E50:P50)/1000000</f>
        <v>6.6137050000000004</v>
      </c>
    </row>
    <row r="8" spans="1:6" ht="38" customHeight="1">
      <c r="A8" s="297"/>
      <c r="B8" s="298" t="s">
        <v>61</v>
      </c>
      <c r="C8" s="299">
        <f t="shared" si="0"/>
        <v>1.28816E-3</v>
      </c>
      <c r="D8" s="299">
        <f>SUM('CC Actuals'!E63:P63)/1000000</f>
        <v>1.388816E-2</v>
      </c>
      <c r="E8" s="302">
        <f>SUM('CC BUDGET'!E51:P51)/1000000</f>
        <v>1.26E-2</v>
      </c>
    </row>
    <row r="9" spans="1:6" ht="38" customHeight="1">
      <c r="A9" s="303" t="s">
        <v>165</v>
      </c>
      <c r="B9" s="292" t="s">
        <v>61</v>
      </c>
      <c r="C9" s="293">
        <f t="shared" si="0"/>
        <v>1.4579538650000021</v>
      </c>
      <c r="D9" s="293">
        <f>SUM('Financial ACTUALS'!E42:P42)/10000000</f>
        <v>11.727626764000002</v>
      </c>
      <c r="E9" s="293">
        <f>SUM('Financial BUDGET'!C42:N42)/10000000</f>
        <v>10.269672899</v>
      </c>
    </row>
    <row r="10" spans="1:6" ht="38" customHeight="1">
      <c r="A10" s="304"/>
      <c r="B10" s="295" t="s">
        <v>72</v>
      </c>
      <c r="C10" s="305">
        <f t="shared" si="0"/>
        <v>-5.9621762700000005</v>
      </c>
      <c r="D10" s="296">
        <f>SUM('Financial ACTUALS'!E43:P43)/1000000</f>
        <v>34.939907469999994</v>
      </c>
      <c r="E10" s="296">
        <f>SUM('Financial BUDGET'!C43:N43)/1000000</f>
        <v>40.902083739999995</v>
      </c>
    </row>
    <row r="11" spans="1:6" ht="38" customHeight="1">
      <c r="A11" s="304"/>
      <c r="B11" s="295" t="s">
        <v>62</v>
      </c>
      <c r="C11" s="305">
        <f t="shared" si="0"/>
        <v>-0.69912950000004059</v>
      </c>
      <c r="D11" s="296">
        <f>SUM('Financial ACTUALS'!E44:P44)/1000000</f>
        <v>83.230938579999972</v>
      </c>
      <c r="E11" s="296">
        <f>SUM('Financial BUDGET'!C44:N44)/1000000</f>
        <v>83.930068080000012</v>
      </c>
    </row>
    <row r="12" spans="1:6" ht="38" customHeight="1">
      <c r="A12" s="304"/>
      <c r="B12" s="295" t="s">
        <v>70</v>
      </c>
      <c r="C12" s="296">
        <f t="shared" si="0"/>
        <v>0.50843289000000003</v>
      </c>
      <c r="D12" s="296">
        <f>SUM('Financial ACTUALS'!E45:P45)/1000000</f>
        <v>0.50843289000000003</v>
      </c>
      <c r="E12" s="296">
        <v>0</v>
      </c>
    </row>
    <row r="13" spans="1:6" ht="38" customHeight="1">
      <c r="A13" s="306"/>
      <c r="B13" s="298" t="s">
        <v>63</v>
      </c>
      <c r="C13" s="307">
        <f t="shared" si="0"/>
        <v>-0.60945190999999976</v>
      </c>
      <c r="D13" s="300">
        <f>SUM('Financial ACTUALS'!E46:P46)/1000000</f>
        <v>5.3142916100000006</v>
      </c>
      <c r="E13" s="300">
        <f>SUM('Financial BUDGET'!C45:N45)/1000000</f>
        <v>5.9237435200000004</v>
      </c>
      <c r="F13" s="288"/>
    </row>
    <row r="14" spans="1:6" ht="38" customHeight="1">
      <c r="A14" s="289"/>
      <c r="B14" s="308" t="s">
        <v>32</v>
      </c>
      <c r="C14" s="309">
        <f xml:space="preserve"> D14 - E14</f>
        <v>46.256796341000012</v>
      </c>
      <c r="D14" s="309">
        <f>SUM(D3:D6) - SUM(D7:D8) - SUM(D9:D13)</f>
        <v>-160.87324376999996</v>
      </c>
      <c r="E14" s="309">
        <f>SUM(E3:E6) - SUM(E7:E8) - SUM(E9:E13)</f>
        <v>-207.13004011099997</v>
      </c>
    </row>
  </sheetData>
  <mergeCells count="3">
    <mergeCell ref="A7:A8"/>
    <mergeCell ref="A9:A13"/>
    <mergeCell ref="A3:A6"/>
  </mergeCells>
  <conditionalFormatting sqref="C3:C13">
    <cfRule type="dataBar" priority="4">
      <dataBar>
        <cfvo type="min"/>
        <cfvo type="max"/>
        <color rgb="FF63C384"/>
      </dataBar>
      <extLst>
        <ext xmlns:x14="http://schemas.microsoft.com/office/spreadsheetml/2009/9/main" uri="{B025F937-C7B1-47D3-B67F-A62EFF666E3E}">
          <x14:id>{520F629D-315B-FD4E-AF5D-3330B0F1EDEB}</x14:id>
        </ext>
      </extLst>
    </cfRule>
  </conditionalFormatting>
  <conditionalFormatting sqref="C3:C14">
    <cfRule type="dataBar" priority="1">
      <dataBar>
        <cfvo type="min"/>
        <cfvo type="max"/>
        <color rgb="FF63C384"/>
      </dataBar>
      <extLst>
        <ext xmlns:x14="http://schemas.microsoft.com/office/spreadsheetml/2009/9/main" uri="{B025F937-C7B1-47D3-B67F-A62EFF666E3E}">
          <x14:id>{44E74070-7A6B-7344-855C-71637B850F6E}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20F629D-315B-FD4E-AF5D-3330B0F1EDEB}">
            <x14:dataBar minLength="0" maxLength="100" gradient="0" direction="leftToRight">
              <x14:cfvo type="autoMin"/>
              <x14:cfvo type="autoMax"/>
              <x14:negativeFillColor rgb="FFFF0000"/>
              <x14:axisColor rgb="FF000000"/>
            </x14:dataBar>
          </x14:cfRule>
          <xm:sqref>C3:C13</xm:sqref>
        </x14:conditionalFormatting>
        <x14:conditionalFormatting xmlns:xm="http://schemas.microsoft.com/office/excel/2006/main">
          <x14:cfRule type="dataBar" id="{44E74070-7A6B-7344-855C-71637B850F6E}">
            <x14:dataBar minLength="0" maxLength="100" gradient="0">
              <x14:cfvo type="autoMin"/>
              <x14:cfvo type="autoMax"/>
              <x14:negativeFillColor rgb="FFFF0000"/>
              <x14:axisColor rgb="FF000000"/>
            </x14:dataBar>
          </x14:cfRule>
          <xm:sqref>C3:C14</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Z1022"/>
  <sheetViews>
    <sheetView showGridLines="0" topLeftCell="A34" zoomScale="61" workbookViewId="0">
      <selection activeCell="A254" sqref="A254"/>
    </sheetView>
  </sheetViews>
  <sheetFormatPr baseColWidth="10" defaultColWidth="14.5" defaultRowHeight="15" customHeight="1"/>
  <cols>
    <col min="1" max="1" width="68.83203125" customWidth="1"/>
    <col min="2" max="2" width="43" bestFit="1" customWidth="1"/>
    <col min="3" max="3" width="14.5" customWidth="1"/>
    <col min="4" max="14" width="13.5" customWidth="1"/>
    <col min="15" max="26" width="8.6640625" customWidth="1"/>
  </cols>
  <sheetData>
    <row r="1" spans="1:26" ht="27.75" customHeight="1">
      <c r="A1" s="283" t="s">
        <v>114</v>
      </c>
      <c r="B1" s="272"/>
      <c r="C1" s="272"/>
      <c r="D1" s="272"/>
      <c r="E1" s="272"/>
      <c r="F1" s="272"/>
      <c r="G1" s="272"/>
      <c r="H1" s="272"/>
      <c r="I1" s="272"/>
      <c r="J1" s="272"/>
      <c r="K1" s="272"/>
      <c r="L1" s="18"/>
      <c r="M1" s="18"/>
      <c r="N1" s="18"/>
      <c r="O1" s="18"/>
      <c r="P1" s="18"/>
      <c r="Q1" s="18"/>
      <c r="R1" s="18"/>
      <c r="S1" s="18"/>
      <c r="T1" s="18"/>
      <c r="U1" s="18"/>
      <c r="V1" s="18"/>
      <c r="W1" s="18"/>
      <c r="X1" s="18"/>
      <c r="Y1" s="18"/>
      <c r="Z1" s="18"/>
    </row>
    <row r="2" spans="1:26" ht="36.75" customHeight="1">
      <c r="A2" s="272"/>
      <c r="B2" s="272"/>
      <c r="C2" s="272"/>
      <c r="D2" s="272"/>
      <c r="E2" s="272"/>
      <c r="F2" s="272"/>
      <c r="G2" s="272"/>
      <c r="H2" s="272"/>
      <c r="I2" s="272"/>
      <c r="J2" s="272"/>
      <c r="K2" s="272"/>
      <c r="L2" s="18"/>
      <c r="M2" s="18"/>
      <c r="N2" s="18"/>
      <c r="O2" s="18"/>
      <c r="P2" s="18"/>
      <c r="Q2" s="18"/>
      <c r="R2" s="18"/>
      <c r="S2" s="18"/>
      <c r="T2" s="18"/>
      <c r="U2" s="18"/>
      <c r="V2" s="18"/>
      <c r="W2" s="18"/>
      <c r="X2" s="18"/>
      <c r="Y2" s="18"/>
      <c r="Z2" s="18"/>
    </row>
    <row r="3" spans="1:26" ht="13.5" customHeight="1">
      <c r="A3" s="131" t="s">
        <v>115</v>
      </c>
      <c r="B3" s="131"/>
      <c r="C3" s="169"/>
      <c r="D3" s="169"/>
      <c r="E3" s="169"/>
      <c r="F3" s="169"/>
      <c r="G3" s="132"/>
      <c r="H3" s="132"/>
      <c r="I3" s="132"/>
      <c r="J3" s="132"/>
      <c r="K3" s="132"/>
      <c r="L3" s="132"/>
      <c r="M3" s="132"/>
      <c r="N3" s="132"/>
      <c r="O3" s="132"/>
      <c r="P3" s="132"/>
      <c r="Q3" s="132"/>
      <c r="R3" s="132"/>
      <c r="S3" s="132"/>
      <c r="T3" s="132"/>
      <c r="U3" s="132"/>
      <c r="V3" s="132"/>
      <c r="W3" s="132"/>
      <c r="X3" s="132"/>
      <c r="Y3" s="132"/>
      <c r="Z3" s="132"/>
    </row>
    <row r="4" spans="1:26" ht="13.5" customHeight="1">
      <c r="A4" s="132" t="s">
        <v>116</v>
      </c>
      <c r="B4" s="132"/>
      <c r="C4" s="169"/>
      <c r="D4" s="169"/>
      <c r="E4" s="169"/>
      <c r="F4" s="169"/>
      <c r="G4" s="132"/>
      <c r="H4" s="132"/>
      <c r="I4" s="132"/>
      <c r="J4" s="132"/>
      <c r="K4" s="132"/>
      <c r="L4" s="132"/>
      <c r="M4" s="132"/>
      <c r="N4" s="132"/>
      <c r="O4" s="132"/>
      <c r="P4" s="132"/>
      <c r="Q4" s="132"/>
      <c r="R4" s="132"/>
      <c r="S4" s="132"/>
      <c r="T4" s="132"/>
      <c r="U4" s="132"/>
      <c r="V4" s="132"/>
      <c r="W4" s="132"/>
      <c r="X4" s="132"/>
      <c r="Y4" s="132"/>
      <c r="Z4" s="132"/>
    </row>
    <row r="5" spans="1:26" ht="41.25" customHeight="1">
      <c r="A5" s="286" t="s">
        <v>117</v>
      </c>
      <c r="B5" s="272"/>
      <c r="C5" s="272"/>
      <c r="D5" s="272"/>
      <c r="E5" s="272"/>
      <c r="F5" s="272"/>
      <c r="G5" s="272"/>
      <c r="H5" s="272"/>
      <c r="I5" s="272"/>
      <c r="J5" s="272"/>
      <c r="K5" s="272"/>
      <c r="L5" s="272"/>
      <c r="M5" s="3"/>
      <c r="N5" s="3"/>
      <c r="O5" s="3"/>
      <c r="P5" s="3"/>
      <c r="Q5" s="3"/>
      <c r="R5" s="3"/>
      <c r="S5" s="3"/>
      <c r="T5" s="3"/>
      <c r="U5" s="3"/>
      <c r="V5" s="3"/>
      <c r="W5" s="3"/>
      <c r="X5" s="3"/>
      <c r="Y5" s="3"/>
      <c r="Z5" s="3"/>
    </row>
    <row r="6" spans="1:26" ht="13.5" customHeight="1">
      <c r="A6" s="131" t="s">
        <v>118</v>
      </c>
      <c r="B6" s="131"/>
      <c r="C6" s="169"/>
      <c r="D6" s="169"/>
      <c r="E6" s="169"/>
      <c r="F6" s="169"/>
      <c r="G6" s="132"/>
      <c r="H6" s="132"/>
      <c r="I6" s="132"/>
      <c r="J6" s="132"/>
      <c r="K6" s="132"/>
      <c r="L6" s="132"/>
      <c r="M6" s="132"/>
      <c r="N6" s="132"/>
      <c r="O6" s="132"/>
      <c r="P6" s="132"/>
      <c r="Q6" s="132"/>
      <c r="R6" s="132"/>
      <c r="S6" s="132"/>
      <c r="T6" s="132"/>
      <c r="U6" s="132"/>
      <c r="V6" s="132"/>
      <c r="W6" s="132"/>
      <c r="X6" s="132"/>
      <c r="Y6" s="132"/>
      <c r="Z6" s="132"/>
    </row>
    <row r="7" spans="1:26" ht="13.5" customHeight="1">
      <c r="A7" s="1" t="s">
        <v>119</v>
      </c>
      <c r="B7" s="1" t="s">
        <v>120</v>
      </c>
      <c r="C7" s="64" t="s">
        <v>43</v>
      </c>
      <c r="D7" s="64" t="s">
        <v>44</v>
      </c>
      <c r="E7" s="64" t="s">
        <v>45</v>
      </c>
      <c r="F7" s="64" t="s">
        <v>46</v>
      </c>
      <c r="G7" s="64" t="s">
        <v>47</v>
      </c>
      <c r="H7" s="64" t="s">
        <v>48</v>
      </c>
      <c r="I7" s="64" t="s">
        <v>49</v>
      </c>
      <c r="J7" s="64" t="s">
        <v>50</v>
      </c>
      <c r="K7" s="64" t="s">
        <v>51</v>
      </c>
      <c r="L7" s="64" t="s">
        <v>52</v>
      </c>
      <c r="M7" s="64" t="s">
        <v>53</v>
      </c>
      <c r="N7" s="64" t="s">
        <v>54</v>
      </c>
      <c r="O7" s="3"/>
      <c r="P7" s="3"/>
      <c r="Q7" s="3" t="s">
        <v>163</v>
      </c>
      <c r="R7" s="3"/>
      <c r="S7" s="3"/>
      <c r="T7" s="3"/>
      <c r="U7" s="3"/>
      <c r="V7" s="3"/>
      <c r="W7" s="3"/>
      <c r="X7" s="3"/>
      <c r="Y7" s="3"/>
      <c r="Z7" s="3"/>
    </row>
    <row r="8" spans="1:26" ht="13.5" customHeight="1">
      <c r="A8" s="170" t="s">
        <v>110</v>
      </c>
      <c r="B8" s="170" t="s">
        <v>121</v>
      </c>
      <c r="C8" s="240">
        <f>'Variance Analysis'!C33</f>
        <v>3355241.0299999896</v>
      </c>
      <c r="D8" s="240">
        <f>'Variance Analysis'!D33</f>
        <v>4635971.09</v>
      </c>
      <c r="E8" s="240">
        <f>'Variance Analysis'!E33</f>
        <v>3629534.96999999</v>
      </c>
      <c r="F8" s="240">
        <f>'Variance Analysis'!F33</f>
        <v>3445023.51</v>
      </c>
      <c r="G8" s="240">
        <f>'Variance Analysis'!G33</f>
        <v>3537886.1</v>
      </c>
      <c r="H8" s="240">
        <f>'Variance Analysis'!H33</f>
        <v>3402717.4</v>
      </c>
      <c r="I8" s="240">
        <f>'Variance Analysis'!I33</f>
        <v>4274662.879999999</v>
      </c>
      <c r="J8" s="240">
        <f>'Variance Analysis'!J33</f>
        <v>3598813.38</v>
      </c>
      <c r="K8" s="240">
        <f>'Variance Analysis'!K33</f>
        <v>3590616.16</v>
      </c>
      <c r="L8" s="240">
        <f>'Variance Analysis'!L33</f>
        <v>3598415.73</v>
      </c>
      <c r="M8" s="240">
        <f>'Variance Analysis'!M33</f>
        <v>3821108.75</v>
      </c>
      <c r="N8" s="240">
        <f>'Variance Analysis'!N33</f>
        <v>4356345.83</v>
      </c>
      <c r="O8" s="3"/>
      <c r="P8" s="3"/>
      <c r="Q8" s="244">
        <f>SUM($C$8:C10)/(SUM($C$11:C11)*1000)</f>
        <v>1.8742832723231448E-2</v>
      </c>
      <c r="R8" s="3"/>
      <c r="S8" s="3"/>
      <c r="T8" s="3"/>
      <c r="U8" s="3"/>
      <c r="V8" s="3"/>
      <c r="W8" s="3"/>
      <c r="X8" s="3"/>
      <c r="Y8" s="3"/>
      <c r="Z8" s="3"/>
    </row>
    <row r="9" spans="1:26" ht="13.5" customHeight="1">
      <c r="A9" s="170" t="s">
        <v>111</v>
      </c>
      <c r="B9" s="170" t="s">
        <v>121</v>
      </c>
      <c r="C9" s="240">
        <f>'Variance Analysis'!C31</f>
        <v>35500.949999999997</v>
      </c>
      <c r="D9" s="240">
        <f>'Variance Analysis'!D31</f>
        <v>24210.95</v>
      </c>
      <c r="E9" s="240">
        <f>'Variance Analysis'!E31</f>
        <v>41241.32</v>
      </c>
      <c r="F9" s="240">
        <f>'Variance Analysis'!F31</f>
        <v>26123</v>
      </c>
      <c r="G9" s="240">
        <f>'Variance Analysis'!G31</f>
        <v>32233</v>
      </c>
      <c r="H9" s="240">
        <f>'Variance Analysis'!H31</f>
        <v>31527</v>
      </c>
      <c r="I9" s="240">
        <f>'Variance Analysis'!I31</f>
        <v>32471</v>
      </c>
      <c r="J9" s="240">
        <f>'Variance Analysis'!J31</f>
        <v>35288</v>
      </c>
      <c r="K9" s="240">
        <f>'Variance Analysis'!K31</f>
        <v>27349</v>
      </c>
      <c r="L9" s="240">
        <f>'Variance Analysis'!L31</f>
        <v>27343</v>
      </c>
      <c r="M9" s="240">
        <f>'Variance Analysis'!M31</f>
        <v>28172</v>
      </c>
      <c r="N9" s="240">
        <f>'Variance Analysis'!N31</f>
        <v>33589</v>
      </c>
      <c r="O9" s="3"/>
      <c r="P9" s="3"/>
      <c r="Q9" s="3"/>
      <c r="R9" s="3"/>
      <c r="S9" s="3"/>
      <c r="T9" s="3"/>
      <c r="U9" s="3"/>
      <c r="V9" s="3"/>
      <c r="W9" s="3"/>
      <c r="X9" s="3"/>
      <c r="Y9" s="3"/>
      <c r="Z9" s="3"/>
    </row>
    <row r="10" spans="1:26" ht="13.5" customHeight="1">
      <c r="A10" s="170" t="s">
        <v>112</v>
      </c>
      <c r="B10" s="170" t="s">
        <v>121</v>
      </c>
      <c r="C10" s="240">
        <f>'Variance Analysis'!C32</f>
        <v>19203.259999999998</v>
      </c>
      <c r="D10" s="240">
        <f>'Variance Analysis'!D32</f>
        <v>31298.22</v>
      </c>
      <c r="E10" s="240">
        <f>'Variance Analysis'!E32</f>
        <v>21242.74</v>
      </c>
      <c r="F10" s="240">
        <f>'Variance Analysis'!F32</f>
        <v>25800</v>
      </c>
      <c r="G10" s="240">
        <f>'Variance Analysis'!G32</f>
        <v>28652</v>
      </c>
      <c r="H10" s="240">
        <f>'Variance Analysis'!H32</f>
        <v>31034</v>
      </c>
      <c r="I10" s="240">
        <f>'Variance Analysis'!I32</f>
        <v>29518</v>
      </c>
      <c r="J10" s="240">
        <f>'Variance Analysis'!J32</f>
        <v>28654</v>
      </c>
      <c r="K10" s="240">
        <f>'Variance Analysis'!K32</f>
        <v>21938</v>
      </c>
      <c r="L10" s="240">
        <f>'Variance Analysis'!L32</f>
        <v>30933</v>
      </c>
      <c r="M10" s="240">
        <f>'Variance Analysis'!M32</f>
        <v>27132</v>
      </c>
      <c r="N10" s="240">
        <f>'Variance Analysis'!N32</f>
        <v>29759</v>
      </c>
      <c r="O10" s="3"/>
      <c r="P10" s="3"/>
      <c r="Q10" s="3"/>
      <c r="R10" s="3"/>
      <c r="S10" s="3"/>
      <c r="T10" s="3"/>
      <c r="U10" s="3"/>
      <c r="V10" s="3"/>
      <c r="W10" s="3"/>
      <c r="X10" s="3"/>
      <c r="Y10" s="3"/>
      <c r="Z10" s="3"/>
    </row>
    <row r="11" spans="1:26" ht="13.5" customHeight="1" thickBot="1">
      <c r="A11" s="170" t="s">
        <v>55</v>
      </c>
      <c r="B11" s="170" t="s">
        <v>122</v>
      </c>
      <c r="C11" s="241">
        <f>'Water Production Actuals'!B2 * 1000</f>
        <v>181933.291</v>
      </c>
      <c r="D11" s="241">
        <f>'Water Production Actuals'!C2 * 1000</f>
        <v>187443.943</v>
      </c>
      <c r="E11" s="241">
        <f>'Water Production Actuals'!D2 * 1000</f>
        <v>184773.65699999998</v>
      </c>
      <c r="F11" s="241">
        <f>'Water Production Actuals'!E2 * 1000</f>
        <v>191541.09299999999</v>
      </c>
      <c r="G11" s="241">
        <f>'Water Production Actuals'!F2 * 1000</f>
        <v>98096.062000000005</v>
      </c>
      <c r="H11" s="241">
        <f>'Water Production Actuals'!G2 * 1000</f>
        <v>185306.853</v>
      </c>
      <c r="I11" s="241">
        <f>'Water Production Actuals'!H2 * 1000</f>
        <v>186901.43900000001</v>
      </c>
      <c r="J11" s="241">
        <f>'Water Production Actuals'!I2 * 1000</f>
        <v>158586.76500000001</v>
      </c>
      <c r="K11" s="241">
        <f>'Water Production Actuals'!J2 * 1000</f>
        <v>191403.67599999998</v>
      </c>
      <c r="L11" s="241">
        <f>'Water Production Actuals'!K2 * 1000</f>
        <v>171057.864</v>
      </c>
      <c r="M11" s="241">
        <f>'Water Production Actuals'!L2 * 1000</f>
        <v>169286.99900000001</v>
      </c>
      <c r="N11" s="241">
        <f>'Water Production Actuals'!M2 * 1000</f>
        <v>142508.717</v>
      </c>
      <c r="O11" s="3"/>
      <c r="P11" s="3"/>
      <c r="Q11" s="3"/>
      <c r="R11" s="3"/>
      <c r="S11" s="3"/>
      <c r="T11" s="3"/>
      <c r="U11" s="3"/>
      <c r="V11" s="3"/>
      <c r="W11" s="3"/>
      <c r="X11" s="3"/>
      <c r="Y11" s="3"/>
      <c r="Z11" s="3"/>
    </row>
    <row r="12" spans="1:26" ht="13.5" customHeight="1" thickTop="1" thickBot="1">
      <c r="A12" s="66" t="s">
        <v>123</v>
      </c>
      <c r="B12" s="67" t="s">
        <v>124</v>
      </c>
      <c r="C12" s="243">
        <f>SUM($C$8:C10)/SUM($C$11:C11)</f>
        <v>18.742832723231448</v>
      </c>
      <c r="D12" s="243">
        <f>SUM($C$8:D10)/SUM($C$11:D11)</f>
        <v>21.93266058189171</v>
      </c>
      <c r="E12" s="243">
        <f>SUM($C$8:E10)/SUM($C$11:E11)</f>
        <v>21.282009505963206</v>
      </c>
      <c r="F12" s="243">
        <f>SUM($C$8:F10)/SUM($C$11:F11)</f>
        <v>20.504969032897609</v>
      </c>
      <c r="G12" s="243">
        <f>SUM($C$8:G10)/SUM($C$11:G11)</f>
        <v>22.386145702756234</v>
      </c>
      <c r="H12" s="243">
        <f>SUM($C$8:H10)/SUM($C$11:H11)</f>
        <v>21.722428671760404</v>
      </c>
      <c r="I12" s="243">
        <f>SUM($C$8:I10)/SUM($C$11:I11)</f>
        <v>21.949977632251699</v>
      </c>
      <c r="J12" s="243">
        <f>SUM($C$8:J10)/SUM($C$11:J11)</f>
        <v>22.082220953941096</v>
      </c>
      <c r="K12" s="243">
        <f>SUM($C$8:K10)/SUM($C$11:K11)</f>
        <v>21.707559358647668</v>
      </c>
      <c r="L12" s="243">
        <f>SUM($C$8:L10)/SUM($C$11:L11)</f>
        <v>21.675000030497188</v>
      </c>
      <c r="M12" s="243">
        <f>SUM($C$8:M10)/SUM($C$11:M11)</f>
        <v>21.783646940063736</v>
      </c>
      <c r="N12" s="243">
        <f>SUM($C$8:N10)/SUM($C$11:N11)</f>
        <v>22.425636564688531</v>
      </c>
      <c r="O12" s="3"/>
      <c r="P12" s="3"/>
      <c r="Q12" s="3"/>
      <c r="R12" s="3"/>
      <c r="S12" s="3"/>
      <c r="T12" s="3"/>
      <c r="U12" s="3"/>
      <c r="V12" s="3"/>
      <c r="W12" s="3"/>
      <c r="X12" s="3"/>
      <c r="Y12" s="3"/>
      <c r="Z12" s="3"/>
    </row>
    <row r="13" spans="1:26" ht="13.5" customHeight="1">
      <c r="A13" s="1"/>
      <c r="B13" s="3"/>
      <c r="C13" s="69"/>
      <c r="D13" s="69"/>
      <c r="E13" s="69"/>
      <c r="F13" s="69"/>
      <c r="G13" s="69"/>
      <c r="H13" s="69"/>
      <c r="I13" s="69"/>
      <c r="J13" s="69"/>
      <c r="K13" s="69"/>
      <c r="L13" s="69"/>
      <c r="M13" s="69"/>
      <c r="N13" s="69"/>
      <c r="O13" s="3"/>
      <c r="P13" s="3"/>
      <c r="Q13" s="3"/>
      <c r="R13" s="3"/>
      <c r="S13" s="3"/>
      <c r="T13" s="3"/>
      <c r="U13" s="3"/>
      <c r="V13" s="3"/>
      <c r="W13" s="3"/>
      <c r="X13" s="3"/>
      <c r="Y13" s="3"/>
      <c r="Z13" s="3"/>
    </row>
    <row r="14" spans="1:26" ht="13.5" customHeight="1">
      <c r="A14" s="131" t="s">
        <v>125</v>
      </c>
      <c r="B14" s="131"/>
      <c r="C14" s="169"/>
      <c r="D14" s="169"/>
      <c r="E14" s="169"/>
      <c r="F14" s="169"/>
      <c r="G14" s="132"/>
      <c r="H14" s="132"/>
      <c r="I14" s="132"/>
      <c r="J14" s="132"/>
      <c r="K14" s="132"/>
      <c r="L14" s="132"/>
      <c r="M14" s="132"/>
      <c r="N14" s="132"/>
      <c r="O14" s="132"/>
      <c r="P14" s="132"/>
      <c r="Q14" s="132"/>
      <c r="R14" s="132"/>
      <c r="S14" s="132"/>
      <c r="T14" s="132"/>
      <c r="U14" s="132"/>
      <c r="V14" s="132"/>
      <c r="W14" s="132"/>
      <c r="X14" s="132"/>
      <c r="Y14" s="132"/>
      <c r="Z14" s="132"/>
    </row>
    <row r="15" spans="1:26" ht="13.5" customHeight="1">
      <c r="A15" s="131" t="s">
        <v>119</v>
      </c>
      <c r="B15" s="131" t="s">
        <v>120</v>
      </c>
      <c r="C15" s="13" t="s">
        <v>43</v>
      </c>
      <c r="D15" s="13" t="s">
        <v>44</v>
      </c>
      <c r="E15" s="13" t="s">
        <v>45</v>
      </c>
      <c r="F15" s="13" t="s">
        <v>46</v>
      </c>
      <c r="G15" s="13" t="s">
        <v>47</v>
      </c>
      <c r="H15" s="13" t="s">
        <v>48</v>
      </c>
      <c r="I15" s="13" t="s">
        <v>49</v>
      </c>
      <c r="J15" s="13" t="s">
        <v>50</v>
      </c>
      <c r="K15" s="13" t="s">
        <v>51</v>
      </c>
      <c r="L15" s="13" t="s">
        <v>52</v>
      </c>
      <c r="M15" s="13" t="s">
        <v>53</v>
      </c>
      <c r="N15" s="13" t="s">
        <v>54</v>
      </c>
      <c r="O15" s="132"/>
      <c r="P15" s="132"/>
      <c r="Q15" s="132"/>
      <c r="R15" s="132"/>
      <c r="S15" s="132"/>
      <c r="T15" s="132"/>
      <c r="U15" s="132"/>
      <c r="V15" s="132"/>
      <c r="W15" s="132"/>
      <c r="X15" s="132"/>
      <c r="Y15" s="132"/>
      <c r="Z15" s="132"/>
    </row>
    <row r="16" spans="1:26" ht="13.5" customHeight="1">
      <c r="A16" s="170" t="s">
        <v>110</v>
      </c>
      <c r="B16" s="170" t="s">
        <v>121</v>
      </c>
      <c r="C16" s="240">
        <f>'Variance Analysis'!C37</f>
        <v>11422413.93</v>
      </c>
      <c r="D16" s="240">
        <f>'Variance Analysis'!D37</f>
        <v>13760706</v>
      </c>
      <c r="E16" s="240">
        <f>'Variance Analysis'!E37</f>
        <v>13907840.720000001</v>
      </c>
      <c r="F16" s="240">
        <f>'Variance Analysis'!F37</f>
        <v>18647198.620000001</v>
      </c>
      <c r="G16" s="240">
        <f>'Variance Analysis'!G37</f>
        <v>20171698.659999996</v>
      </c>
      <c r="H16" s="240">
        <f>'Variance Analysis'!H37</f>
        <v>10312374.780000001</v>
      </c>
      <c r="I16" s="240">
        <f>'Variance Analysis'!I37</f>
        <v>9642006.7300000004</v>
      </c>
      <c r="J16" s="240">
        <f>'Variance Analysis'!J37</f>
        <v>11352257.67</v>
      </c>
      <c r="K16" s="240">
        <f>'Variance Analysis'!K37</f>
        <v>10349340.02</v>
      </c>
      <c r="L16" s="240">
        <f>'Variance Analysis'!L37</f>
        <v>11122716.970000001</v>
      </c>
      <c r="M16" s="240">
        <f>'Variance Analysis'!M37</f>
        <v>13043106.200000001</v>
      </c>
      <c r="N16" s="240">
        <f>'Variance Analysis'!N37</f>
        <v>6755372.5199999996</v>
      </c>
      <c r="O16" s="3"/>
      <c r="P16" s="3"/>
      <c r="Q16" s="3"/>
      <c r="R16" s="3"/>
      <c r="S16" s="3"/>
      <c r="T16" s="3"/>
      <c r="U16" s="3"/>
      <c r="V16" s="3"/>
      <c r="W16" s="3"/>
      <c r="X16" s="3"/>
      <c r="Y16" s="3"/>
      <c r="Z16" s="3"/>
    </row>
    <row r="17" spans="1:26" ht="13.5" customHeight="1">
      <c r="A17" s="170" t="s">
        <v>111</v>
      </c>
      <c r="B17" s="170" t="s">
        <v>121</v>
      </c>
      <c r="C17" s="240">
        <f>'Variance Analysis'!C35</f>
        <v>686673.01</v>
      </c>
      <c r="D17" s="240">
        <f>'Variance Analysis'!D35</f>
        <v>867081.49</v>
      </c>
      <c r="E17" s="240">
        <f>'Variance Analysis'!E35</f>
        <v>6727.15</v>
      </c>
      <c r="F17" s="240">
        <f>'Variance Analysis'!F35</f>
        <v>401.530000000006</v>
      </c>
      <c r="G17" s="240">
        <f>'Variance Analysis'!G35</f>
        <v>144797.4</v>
      </c>
      <c r="H17" s="240">
        <f>'Variance Analysis'!H35</f>
        <v>652415.07999999996</v>
      </c>
      <c r="I17" s="240">
        <f>'Variance Analysis'!I35</f>
        <v>27790.66</v>
      </c>
      <c r="J17" s="240">
        <f>'Variance Analysis'!J35</f>
        <v>507467.89</v>
      </c>
      <c r="K17" s="240">
        <f>'Variance Analysis'!K35</f>
        <v>241353.12</v>
      </c>
      <c r="L17" s="240">
        <f>'Variance Analysis'!L35</f>
        <v>95261.1</v>
      </c>
      <c r="M17" s="240">
        <f>'Variance Analysis'!M35</f>
        <v>197723.18</v>
      </c>
      <c r="N17" s="240">
        <f>'Variance Analysis'!N35</f>
        <v>175247.34</v>
      </c>
      <c r="O17" s="3"/>
      <c r="P17" s="3"/>
      <c r="Q17" s="3"/>
      <c r="R17" s="3"/>
      <c r="S17" s="3"/>
      <c r="T17" s="3"/>
      <c r="U17" s="3"/>
      <c r="V17" s="3"/>
      <c r="W17" s="3"/>
      <c r="X17" s="3"/>
      <c r="Y17" s="3"/>
      <c r="Z17" s="3"/>
    </row>
    <row r="18" spans="1:26" ht="13.5" customHeight="1">
      <c r="A18" s="170" t="s">
        <v>112</v>
      </c>
      <c r="B18" s="170" t="s">
        <v>121</v>
      </c>
      <c r="C18" s="240">
        <f>'Variance Analysis'!C36</f>
        <v>241931.03000000003</v>
      </c>
      <c r="D18" s="240">
        <f>'Variance Analysis'!D36</f>
        <v>228177.66</v>
      </c>
      <c r="E18" s="240">
        <f>'Variance Analysis'!E36</f>
        <v>362088.43</v>
      </c>
      <c r="F18" s="240">
        <f>'Variance Analysis'!F36</f>
        <v>211688.28</v>
      </c>
      <c r="G18" s="240">
        <f>'Variance Analysis'!G36</f>
        <v>237346.23</v>
      </c>
      <c r="H18" s="240">
        <f>'Variance Analysis'!H36</f>
        <v>293131.57</v>
      </c>
      <c r="I18" s="240">
        <f>'Variance Analysis'!I36</f>
        <v>335872.34</v>
      </c>
      <c r="J18" s="240">
        <f>'Variance Analysis'!J36</f>
        <v>333612.56</v>
      </c>
      <c r="K18" s="240">
        <f>'Variance Analysis'!K36</f>
        <v>288580.33</v>
      </c>
      <c r="L18" s="240">
        <f>'Variance Analysis'!L36</f>
        <v>270114.8</v>
      </c>
      <c r="M18" s="240">
        <f>'Variance Analysis'!M36</f>
        <v>279543.5</v>
      </c>
      <c r="N18" s="240">
        <f>'Variance Analysis'!N36</f>
        <v>423607.52</v>
      </c>
      <c r="O18" s="3"/>
      <c r="P18" s="3"/>
      <c r="Q18" s="3"/>
      <c r="R18" s="3"/>
      <c r="S18" s="3"/>
      <c r="T18" s="3"/>
      <c r="U18" s="3"/>
      <c r="V18" s="3"/>
      <c r="W18" s="3"/>
      <c r="X18" s="3"/>
      <c r="Y18" s="3"/>
      <c r="Z18" s="3"/>
    </row>
    <row r="19" spans="1:26" ht="13.5" customHeight="1" thickBot="1">
      <c r="A19" s="170" t="s">
        <v>69</v>
      </c>
      <c r="B19" s="170" t="s">
        <v>122</v>
      </c>
      <c r="C19" s="241">
        <f>'Water Production Actuals'!B3 * 1000</f>
        <v>214968.99900000001</v>
      </c>
      <c r="D19" s="241">
        <f>'Water Production Actuals'!C3 * 1000</f>
        <v>228199.05100000001</v>
      </c>
      <c r="E19" s="241">
        <f>'Water Production Actuals'!D3 * 1000</f>
        <v>216536.467</v>
      </c>
      <c r="F19" s="241">
        <f>'Water Production Actuals'!E3 * 1000</f>
        <v>296760.27599999995</v>
      </c>
      <c r="G19" s="241">
        <f>'Water Production Actuals'!F3 * 1000</f>
        <v>232052.864</v>
      </c>
      <c r="H19" s="241">
        <f>'Water Production Actuals'!G3 * 1000</f>
        <v>250210.16</v>
      </c>
      <c r="I19" s="241">
        <f>'Water Production Actuals'!H3 * 1000</f>
        <v>268160.549</v>
      </c>
      <c r="J19" s="241">
        <f>'Water Production Actuals'!I3 * 1000</f>
        <v>306884.52399999998</v>
      </c>
      <c r="K19" s="241">
        <f>'Water Production Actuals'!J3 * 1000</f>
        <v>367651.00600000005</v>
      </c>
      <c r="L19" s="241">
        <f>'Water Production Actuals'!K3 * 1000</f>
        <v>291990.16600000003</v>
      </c>
      <c r="M19" s="241">
        <f>'Water Production Actuals'!L3 * 1000</f>
        <v>301185.12999999995</v>
      </c>
      <c r="N19" s="241">
        <f>'Water Production Actuals'!M3 * 1000</f>
        <v>299782.89299999998</v>
      </c>
      <c r="O19" s="3"/>
      <c r="P19" s="3"/>
      <c r="Q19" s="3"/>
      <c r="R19" s="3"/>
      <c r="S19" s="3"/>
      <c r="T19" s="3"/>
      <c r="U19" s="3"/>
      <c r="V19" s="3"/>
      <c r="W19" s="3"/>
      <c r="X19" s="3"/>
      <c r="Y19" s="3"/>
      <c r="Z19" s="3"/>
    </row>
    <row r="20" spans="1:26" ht="13.5" customHeight="1" thickTop="1" thickBot="1">
      <c r="A20" s="66" t="s">
        <v>123</v>
      </c>
      <c r="B20" s="67" t="s">
        <v>124</v>
      </c>
      <c r="C20" s="242">
        <f>SUM($C$16:C18)/SUM($C$19:C19)</f>
        <v>57.45487966848652</v>
      </c>
      <c r="D20" s="242">
        <f>SUM($C$16:D18)/SUM($C$19:D19)</f>
        <v>61.392023003463358</v>
      </c>
      <c r="E20" s="242">
        <f>SUM($C$16:E18)/SUM($C$19:E19)</f>
        <v>62.882151555739604</v>
      </c>
      <c r="F20" s="242">
        <f>SUM($C$16:F18)/SUM($C$19:F19)</f>
        <v>63.089544217023779</v>
      </c>
      <c r="G20" s="242">
        <f>SUM($C$16:G18)/SUM($C$19:G19)</f>
        <v>68.065265722846576</v>
      </c>
      <c r="H20" s="242">
        <f>SUM($C$16:H18)/SUM($C$19:H19)</f>
        <v>64.052901793585065</v>
      </c>
      <c r="I20" s="242">
        <f>SUM($C$16:I18)/SUM($C$19:I19)</f>
        <v>59.851811831963715</v>
      </c>
      <c r="J20" s="242">
        <f>SUM($C$16:J18)/SUM($C$19:J19)</f>
        <v>56.785797439154138</v>
      </c>
      <c r="K20" s="242">
        <f>SUM($C$16:K18)/SUM($C$19:K19)</f>
        <v>52.587434391814817</v>
      </c>
      <c r="L20" s="242">
        <f>SUM($C$16:L18)/SUM($C$19:L19)</f>
        <v>51.1409989583574</v>
      </c>
      <c r="M20" s="242">
        <f>SUM($C$16:M18)/SUM($C$19:M19)</f>
        <v>50.508128639335695</v>
      </c>
      <c r="N20" s="242">
        <f>SUM($C$16:N18)/SUM($C$19:N19)</f>
        <v>48.12989502414775</v>
      </c>
      <c r="O20" s="3"/>
      <c r="P20" s="3"/>
      <c r="Q20" s="3"/>
      <c r="R20" s="3"/>
      <c r="S20" s="3"/>
      <c r="T20" s="3"/>
      <c r="U20" s="3"/>
      <c r="V20" s="3"/>
      <c r="W20" s="3"/>
      <c r="X20" s="3"/>
      <c r="Y20" s="3"/>
      <c r="Z20" s="3"/>
    </row>
    <row r="21" spans="1:26" ht="13.5" customHeight="1">
      <c r="A21" s="1"/>
      <c r="B21" s="3"/>
      <c r="C21" s="69"/>
      <c r="D21" s="69"/>
      <c r="E21" s="69"/>
      <c r="F21" s="69"/>
      <c r="G21" s="69"/>
      <c r="H21" s="69"/>
      <c r="I21" s="69"/>
      <c r="J21" s="69"/>
      <c r="K21" s="69"/>
      <c r="L21" s="69"/>
      <c r="M21" s="69"/>
      <c r="N21" s="69"/>
      <c r="O21" s="3"/>
      <c r="P21" s="3"/>
      <c r="Q21" s="3"/>
      <c r="R21" s="3"/>
      <c r="S21" s="3"/>
      <c r="T21" s="3"/>
      <c r="U21" s="3"/>
      <c r="V21" s="3"/>
      <c r="W21" s="3"/>
      <c r="X21" s="3"/>
      <c r="Y21" s="3"/>
      <c r="Z21" s="3"/>
    </row>
    <row r="22" spans="1:26" ht="13.5" customHeight="1">
      <c r="A22" s="131" t="s">
        <v>126</v>
      </c>
      <c r="B22" s="131"/>
      <c r="C22" s="169"/>
      <c r="D22" s="169"/>
      <c r="E22" s="169"/>
      <c r="F22" s="169"/>
      <c r="G22" s="132"/>
      <c r="H22" s="132"/>
      <c r="I22" s="132"/>
      <c r="J22" s="132"/>
      <c r="K22" s="132"/>
      <c r="L22" s="132"/>
      <c r="M22" s="132"/>
      <c r="N22" s="132"/>
      <c r="O22" s="132"/>
      <c r="P22" s="132"/>
      <c r="Q22" s="132"/>
      <c r="R22" s="132"/>
      <c r="S22" s="132"/>
      <c r="T22" s="132"/>
      <c r="U22" s="132"/>
      <c r="V22" s="132"/>
      <c r="W22" s="132"/>
      <c r="X22" s="132"/>
      <c r="Y22" s="132"/>
      <c r="Z22" s="132"/>
    </row>
    <row r="23" spans="1:26" ht="13.5" customHeight="1">
      <c r="A23" s="131" t="s">
        <v>119</v>
      </c>
      <c r="B23" s="131" t="s">
        <v>120</v>
      </c>
      <c r="C23" s="13" t="s">
        <v>43</v>
      </c>
      <c r="D23" s="13" t="s">
        <v>44</v>
      </c>
      <c r="E23" s="13" t="s">
        <v>45</v>
      </c>
      <c r="F23" s="13" t="s">
        <v>46</v>
      </c>
      <c r="G23" s="13" t="s">
        <v>47</v>
      </c>
      <c r="H23" s="13" t="s">
        <v>48</v>
      </c>
      <c r="I23" s="13" t="s">
        <v>49</v>
      </c>
      <c r="J23" s="13" t="s">
        <v>50</v>
      </c>
      <c r="K23" s="13" t="s">
        <v>51</v>
      </c>
      <c r="L23" s="13" t="s">
        <v>52</v>
      </c>
      <c r="M23" s="13" t="s">
        <v>53</v>
      </c>
      <c r="N23" s="13" t="s">
        <v>54</v>
      </c>
      <c r="O23" s="132"/>
      <c r="P23" s="132"/>
      <c r="Q23" s="132"/>
      <c r="R23" s="132"/>
      <c r="S23" s="132"/>
      <c r="T23" s="132"/>
      <c r="U23" s="132"/>
      <c r="V23" s="132"/>
      <c r="W23" s="132"/>
      <c r="X23" s="132"/>
      <c r="Y23" s="132"/>
      <c r="Z23" s="132"/>
    </row>
    <row r="24" spans="1:26" ht="13.5" customHeight="1">
      <c r="A24" s="170" t="s">
        <v>110</v>
      </c>
      <c r="B24" s="170" t="s">
        <v>121</v>
      </c>
      <c r="C24" s="240">
        <f>'Variance Analysis'!C41</f>
        <v>5155467.82</v>
      </c>
      <c r="D24" s="240">
        <f>'Variance Analysis'!D41</f>
        <v>4107219.28</v>
      </c>
      <c r="E24" s="240">
        <f>'Variance Analysis'!E41</f>
        <v>5551987.3199999994</v>
      </c>
      <c r="F24" s="240">
        <f>'Variance Analysis'!F41</f>
        <v>4670026.4399999995</v>
      </c>
      <c r="G24" s="240">
        <f>'Variance Analysis'!G41</f>
        <v>3971268.39</v>
      </c>
      <c r="H24" s="240">
        <f>'Variance Analysis'!H41</f>
        <v>2944600.0500000003</v>
      </c>
      <c r="I24" s="240">
        <f>'Variance Analysis'!I41</f>
        <v>3143819.16</v>
      </c>
      <c r="J24" s="240">
        <f>'Variance Analysis'!J41</f>
        <v>2699686.7399999998</v>
      </c>
      <c r="K24" s="240">
        <f>'Variance Analysis'!K41</f>
        <v>3795500.0700000003</v>
      </c>
      <c r="L24" s="240">
        <f>'Variance Analysis'!L41</f>
        <v>2066688.56</v>
      </c>
      <c r="M24" s="240">
        <f>'Variance Analysis'!M41</f>
        <v>2668702.2799999993</v>
      </c>
      <c r="N24" s="240">
        <f>'Variance Analysis'!N41</f>
        <v>4761502.4300000006</v>
      </c>
      <c r="O24" s="3"/>
      <c r="P24" s="3"/>
      <c r="Q24" s="3"/>
      <c r="R24" s="3"/>
      <c r="S24" s="3"/>
      <c r="T24" s="3"/>
      <c r="U24" s="3"/>
      <c r="V24" s="3"/>
      <c r="W24" s="3"/>
      <c r="X24" s="3"/>
      <c r="Y24" s="3"/>
      <c r="Z24" s="3"/>
    </row>
    <row r="25" spans="1:26" ht="13.5" customHeight="1">
      <c r="A25" s="170" t="s">
        <v>111</v>
      </c>
      <c r="B25" s="170" t="s">
        <v>121</v>
      </c>
      <c r="C25" s="240">
        <f>'Variance Analysis'!C39</f>
        <v>125993.22</v>
      </c>
      <c r="D25" s="240">
        <f>'Variance Analysis'!D39</f>
        <v>75075.8</v>
      </c>
      <c r="E25" s="240">
        <f>'Variance Analysis'!E39</f>
        <v>44153.440000000002</v>
      </c>
      <c r="F25" s="240">
        <f>'Variance Analysis'!F39</f>
        <v>71345.01999999999</v>
      </c>
      <c r="G25" s="240">
        <f>'Variance Analysis'!G39</f>
        <v>-20479.969999999998</v>
      </c>
      <c r="H25" s="240">
        <f>'Variance Analysis'!H39</f>
        <v>9632.59</v>
      </c>
      <c r="I25" s="240">
        <f>'Variance Analysis'!I39</f>
        <v>476546.05</v>
      </c>
      <c r="J25" s="240">
        <f>'Variance Analysis'!J39</f>
        <v>464219.42</v>
      </c>
      <c r="K25" s="240">
        <f>'Variance Analysis'!K39</f>
        <v>221113.88999999998</v>
      </c>
      <c r="L25" s="240">
        <f>'Variance Analysis'!L39</f>
        <v>224277.79</v>
      </c>
      <c r="M25" s="240">
        <f>'Variance Analysis'!M39</f>
        <v>263709.95</v>
      </c>
      <c r="N25" s="240">
        <f>'Variance Analysis'!N39</f>
        <v>-77601.91</v>
      </c>
      <c r="O25" s="3"/>
      <c r="P25" s="3"/>
      <c r="Q25" s="3"/>
      <c r="R25" s="3"/>
      <c r="S25" s="3"/>
      <c r="T25" s="3"/>
      <c r="U25" s="3"/>
      <c r="V25" s="3"/>
      <c r="W25" s="3"/>
      <c r="X25" s="3"/>
      <c r="Y25" s="3"/>
      <c r="Z25" s="3"/>
    </row>
    <row r="26" spans="1:26" ht="13.5" customHeight="1">
      <c r="A26" s="170" t="s">
        <v>112</v>
      </c>
      <c r="B26" s="170" t="s">
        <v>121</v>
      </c>
      <c r="C26" s="240">
        <f>'Variance Analysis'!C40</f>
        <v>855.07000000000016</v>
      </c>
      <c r="D26" s="240">
        <f>'Variance Analysis'!D40</f>
        <v>8643.11</v>
      </c>
      <c r="E26" s="240">
        <f>'Variance Analysis'!E40</f>
        <v>7004.54</v>
      </c>
      <c r="F26" s="240">
        <f>'Variance Analysis'!F40</f>
        <v>-4277.2699999999986</v>
      </c>
      <c r="G26" s="240">
        <f>'Variance Analysis'!G40</f>
        <v>9314.75</v>
      </c>
      <c r="H26" s="240">
        <f>'Variance Analysis'!H40</f>
        <v>8194.59</v>
      </c>
      <c r="I26" s="240">
        <f>'Variance Analysis'!I40</f>
        <v>12985.24</v>
      </c>
      <c r="J26" s="240">
        <f>'Variance Analysis'!J40</f>
        <v>8327.32</v>
      </c>
      <c r="K26" s="240">
        <f>'Variance Analysis'!K40</f>
        <v>12745.36</v>
      </c>
      <c r="L26" s="240">
        <f>'Variance Analysis'!L40</f>
        <v>7073.15</v>
      </c>
      <c r="M26" s="240">
        <f>'Variance Analysis'!M40</f>
        <v>8678.7800000000007</v>
      </c>
      <c r="N26" s="240">
        <f>'Variance Analysis'!N40</f>
        <v>12419.05</v>
      </c>
      <c r="O26" s="3"/>
      <c r="P26" s="3"/>
      <c r="Q26" s="3"/>
      <c r="R26" s="3"/>
      <c r="S26" s="3"/>
      <c r="T26" s="3"/>
      <c r="U26" s="3"/>
      <c r="V26" s="3"/>
      <c r="W26" s="3"/>
      <c r="X26" s="3"/>
      <c r="Y26" s="3"/>
      <c r="Z26" s="3"/>
    </row>
    <row r="27" spans="1:26" ht="13.5" customHeight="1" thickBot="1">
      <c r="A27" s="170" t="s">
        <v>84</v>
      </c>
      <c r="B27" s="170" t="s">
        <v>122</v>
      </c>
      <c r="C27" s="241">
        <f>'Water Production Actuals'!B4 * 1000</f>
        <v>250241.99099999998</v>
      </c>
      <c r="D27" s="241">
        <f>'Water Production Actuals'!C4 * 1000</f>
        <v>206740.70300000001</v>
      </c>
      <c r="E27" s="241">
        <f>'Water Production Actuals'!D4 * 1000</f>
        <v>201235.46099999995</v>
      </c>
      <c r="F27" s="241">
        <f>'Water Production Actuals'!E4 * 1000</f>
        <v>174369.56599999999</v>
      </c>
      <c r="G27" s="241">
        <f>'Water Production Actuals'!F4 * 1000</f>
        <v>204091.05</v>
      </c>
      <c r="H27" s="241">
        <f>'Water Production Actuals'!G4 * 1000</f>
        <v>146356.666</v>
      </c>
      <c r="I27" s="241">
        <f>'Water Production Actuals'!H4 * 1000</f>
        <v>204202.49700000003</v>
      </c>
      <c r="J27" s="241">
        <f>'Water Production Actuals'!I4 * 1000</f>
        <v>217430.19900000002</v>
      </c>
      <c r="K27" s="241">
        <f>'Water Production Actuals'!J4 * 1000</f>
        <v>161814.21700000006</v>
      </c>
      <c r="L27" s="241">
        <f>'Water Production Actuals'!K4 * 1000</f>
        <v>113441.13599999997</v>
      </c>
      <c r="M27" s="241">
        <f>'Water Production Actuals'!L4 * 1000</f>
        <v>115407.36900000001</v>
      </c>
      <c r="N27" s="241">
        <f>'Water Production Actuals'!M4 * 1000</f>
        <v>140380.33399999997</v>
      </c>
      <c r="O27" s="3"/>
      <c r="P27" s="3"/>
      <c r="Q27" s="3"/>
      <c r="R27" s="3"/>
      <c r="S27" s="3"/>
      <c r="T27" s="3"/>
      <c r="U27" s="3"/>
      <c r="V27" s="3"/>
      <c r="W27" s="3"/>
      <c r="X27" s="3"/>
      <c r="Y27" s="3"/>
      <c r="Z27" s="3"/>
    </row>
    <row r="28" spans="1:26" ht="13.5" customHeight="1" thickTop="1" thickBot="1">
      <c r="A28" s="66" t="s">
        <v>123</v>
      </c>
      <c r="B28" s="67" t="s">
        <v>124</v>
      </c>
      <c r="C28" s="243">
        <f>SUM($C$24:C26)/SUM($C$27:C27)</f>
        <v>21.108831850686485</v>
      </c>
      <c r="D28" s="243">
        <f>SUM($C$24:D26)/SUM($C$27:D27)</f>
        <v>20.730006681609698</v>
      </c>
      <c r="E28" s="243">
        <f>SUM($C$24:E26)/SUM($C$27:E27)</f>
        <v>22.904867459938107</v>
      </c>
      <c r="F28" s="243">
        <f>SUM($C$24:F26)/SUM($C$27:F27)</f>
        <v>23.797484985969422</v>
      </c>
      <c r="G28" s="243">
        <f>SUM($C$24:G26)/SUM($C$27:G27)</f>
        <v>22.932462422344717</v>
      </c>
      <c r="H28" s="243">
        <f>SUM($C$24:H26)/SUM($C$27:H27)</f>
        <v>22.599512536833672</v>
      </c>
      <c r="I28" s="243">
        <f>SUM($C$24:I26)/SUM($C$27:I27)</f>
        <v>21.891972455245735</v>
      </c>
      <c r="J28" s="243">
        <f>SUM($C$24:J26)/SUM($C$27:J27)</f>
        <v>20.902520234693288</v>
      </c>
      <c r="K28" s="243">
        <f>SUM($C$24:K26)/SUM($C$27:K27)</f>
        <v>21.268804321764094</v>
      </c>
      <c r="L28" s="243">
        <f>SUM($C$24:L26)/SUM($C$27:L27)</f>
        <v>21.207781719260886</v>
      </c>
      <c r="M28" s="243">
        <f>SUM($C$24:M26)/SUM($C$27:M27)</f>
        <v>21.45513754910586</v>
      </c>
      <c r="N28" s="243">
        <f>SUM($C$24:N26)/SUM($C$27:N27)</f>
        <v>22.243839787271916</v>
      </c>
      <c r="O28" s="3"/>
      <c r="P28" s="3"/>
      <c r="Q28" s="3"/>
      <c r="R28" s="3"/>
      <c r="S28" s="3"/>
      <c r="T28" s="3"/>
      <c r="U28" s="3"/>
      <c r="V28" s="3"/>
      <c r="W28" s="3"/>
      <c r="X28" s="3"/>
      <c r="Y28" s="3"/>
      <c r="Z28" s="3"/>
    </row>
    <row r="29" spans="1:26" ht="13.5" customHeight="1">
      <c r="A29" s="1"/>
      <c r="B29" s="3"/>
      <c r="C29" s="69"/>
      <c r="D29" s="69"/>
      <c r="E29" s="69"/>
      <c r="F29" s="69"/>
      <c r="G29" s="69"/>
      <c r="H29" s="69"/>
      <c r="I29" s="69"/>
      <c r="J29" s="69"/>
      <c r="K29" s="69"/>
      <c r="L29" s="69"/>
      <c r="M29" s="69"/>
      <c r="N29" s="69"/>
      <c r="O29" s="3"/>
      <c r="P29" s="3"/>
      <c r="Q29" s="3"/>
      <c r="R29" s="3"/>
      <c r="S29" s="3"/>
      <c r="T29" s="3"/>
      <c r="U29" s="3"/>
      <c r="V29" s="3"/>
      <c r="W29" s="3"/>
      <c r="X29" s="3"/>
      <c r="Y29" s="3"/>
      <c r="Z29" s="3"/>
    </row>
    <row r="30" spans="1:26" ht="13.5" customHeight="1">
      <c r="A30" s="131" t="s">
        <v>127</v>
      </c>
      <c r="B30" s="131"/>
      <c r="C30" s="169"/>
      <c r="D30" s="169"/>
      <c r="E30" s="169"/>
      <c r="F30" s="169"/>
      <c r="G30" s="132"/>
      <c r="H30" s="132"/>
      <c r="I30" s="132"/>
      <c r="J30" s="132"/>
      <c r="K30" s="132"/>
      <c r="L30" s="132"/>
      <c r="M30" s="132"/>
      <c r="N30" s="132"/>
      <c r="O30" s="132"/>
      <c r="P30" s="132"/>
      <c r="Q30" s="132"/>
      <c r="R30" s="132"/>
      <c r="S30" s="132"/>
      <c r="T30" s="132"/>
      <c r="U30" s="132"/>
      <c r="V30" s="132"/>
      <c r="W30" s="132"/>
      <c r="X30" s="132"/>
      <c r="Y30" s="132"/>
      <c r="Z30" s="132"/>
    </row>
    <row r="31" spans="1:26" ht="13.5" customHeight="1">
      <c r="A31" s="131" t="s">
        <v>119</v>
      </c>
      <c r="B31" s="131" t="s">
        <v>120</v>
      </c>
      <c r="C31" s="13" t="s">
        <v>43</v>
      </c>
      <c r="D31" s="13" t="s">
        <v>44</v>
      </c>
      <c r="E31" s="13" t="s">
        <v>45</v>
      </c>
      <c r="F31" s="13" t="s">
        <v>46</v>
      </c>
      <c r="G31" s="13" t="s">
        <v>47</v>
      </c>
      <c r="H31" s="13" t="s">
        <v>48</v>
      </c>
      <c r="I31" s="13" t="s">
        <v>49</v>
      </c>
      <c r="J31" s="13" t="s">
        <v>50</v>
      </c>
      <c r="K31" s="13" t="s">
        <v>51</v>
      </c>
      <c r="L31" s="13" t="s">
        <v>52</v>
      </c>
      <c r="M31" s="13" t="s">
        <v>53</v>
      </c>
      <c r="N31" s="13" t="s">
        <v>54</v>
      </c>
      <c r="O31" s="132"/>
      <c r="P31" s="132"/>
      <c r="Q31" s="132"/>
      <c r="R31" s="132"/>
      <c r="S31" s="132"/>
      <c r="T31" s="132"/>
      <c r="U31" s="132"/>
      <c r="V31" s="132"/>
      <c r="W31" s="132"/>
      <c r="X31" s="132"/>
      <c r="Y31" s="132"/>
      <c r="Z31" s="132"/>
    </row>
    <row r="32" spans="1:26" ht="13.5" customHeight="1">
      <c r="A32" s="170" t="s">
        <v>110</v>
      </c>
      <c r="B32" s="170" t="s">
        <v>121</v>
      </c>
      <c r="C32" s="240">
        <f>'Variance Analysis'!C45</f>
        <v>19933122.77999999</v>
      </c>
      <c r="D32" s="240">
        <f>'Variance Analysis'!D45</f>
        <v>22503896.370000001</v>
      </c>
      <c r="E32" s="240">
        <f>'Variance Analysis'!E45</f>
        <v>23089363.00999999</v>
      </c>
      <c r="F32" s="240">
        <f>'Variance Analysis'!F45</f>
        <v>26762248.57</v>
      </c>
      <c r="G32" s="240">
        <f>'Variance Analysis'!G45</f>
        <v>27680853.149999999</v>
      </c>
      <c r="H32" s="240">
        <f>'Variance Analysis'!H45</f>
        <v>16659692.230000002</v>
      </c>
      <c r="I32" s="240">
        <f>'Variance Analysis'!I45</f>
        <v>17060488.77</v>
      </c>
      <c r="J32" s="240">
        <f>'Variance Analysis'!J45</f>
        <v>17650757.789999999</v>
      </c>
      <c r="K32" s="240">
        <f>'Variance Analysis'!K45</f>
        <v>17735456.25</v>
      </c>
      <c r="L32" s="240">
        <f>'Variance Analysis'!L45</f>
        <v>16787821.260000002</v>
      </c>
      <c r="M32" s="240">
        <f>'Variance Analysis'!M45</f>
        <v>19532917.230000004</v>
      </c>
      <c r="N32" s="240">
        <f>'Variance Analysis'!N45</f>
        <v>15873220.780000001</v>
      </c>
      <c r="O32" s="3"/>
      <c r="P32" s="3"/>
      <c r="Q32" s="3"/>
      <c r="R32" s="3"/>
      <c r="S32" s="3"/>
      <c r="T32" s="3"/>
      <c r="U32" s="3"/>
      <c r="V32" s="3"/>
      <c r="W32" s="3"/>
      <c r="X32" s="3"/>
      <c r="Y32" s="3"/>
      <c r="Z32" s="3"/>
    </row>
    <row r="33" spans="1:26" ht="13.5" customHeight="1">
      <c r="A33" s="170" t="s">
        <v>111</v>
      </c>
      <c r="B33" s="170" t="s">
        <v>121</v>
      </c>
      <c r="C33" s="240">
        <f>'Variance Analysis'!C43</f>
        <v>848167.17999999993</v>
      </c>
      <c r="D33" s="240">
        <f>'Variance Analysis'!D43</f>
        <v>966368.24</v>
      </c>
      <c r="E33" s="240">
        <f>'Variance Analysis'!E43</f>
        <v>92121.91</v>
      </c>
      <c r="F33" s="240">
        <f>'Variance Analysis'!F43</f>
        <v>97869.549999999988</v>
      </c>
      <c r="G33" s="240">
        <f>'Variance Analysis'!G43</f>
        <v>156550.43</v>
      </c>
      <c r="H33" s="240">
        <f>'Variance Analysis'!H43</f>
        <v>693574.66999999993</v>
      </c>
      <c r="I33" s="240">
        <f>'Variance Analysis'!I43</f>
        <v>536807.71</v>
      </c>
      <c r="J33" s="240">
        <f>'Variance Analysis'!J43</f>
        <v>1006975.31</v>
      </c>
      <c r="K33" s="240">
        <f>'Variance Analysis'!K43</f>
        <v>489816.01</v>
      </c>
      <c r="L33" s="240">
        <f>'Variance Analysis'!L43</f>
        <v>346881.89</v>
      </c>
      <c r="M33" s="240">
        <f>'Variance Analysis'!M43</f>
        <v>489605.13</v>
      </c>
      <c r="N33" s="240">
        <f>'Variance Analysis'!N43</f>
        <v>131234.43</v>
      </c>
      <c r="O33" s="3"/>
      <c r="P33" s="3"/>
      <c r="Q33" s="3"/>
      <c r="R33" s="3"/>
      <c r="S33" s="3"/>
      <c r="T33" s="3"/>
      <c r="U33" s="3"/>
      <c r="V33" s="3"/>
      <c r="W33" s="3"/>
      <c r="X33" s="3"/>
      <c r="Y33" s="3"/>
      <c r="Z33" s="3"/>
    </row>
    <row r="34" spans="1:26" ht="13.5" customHeight="1">
      <c r="A34" s="170" t="s">
        <v>112</v>
      </c>
      <c r="B34" s="170" t="s">
        <v>121</v>
      </c>
      <c r="C34" s="240">
        <f>'Variance Analysis'!C44</f>
        <v>261989.36000000004</v>
      </c>
      <c r="D34" s="240">
        <f>'Variance Analysis'!D44</f>
        <v>268118.99</v>
      </c>
      <c r="E34" s="240">
        <f>'Variance Analysis'!E44</f>
        <v>390335.70999999996</v>
      </c>
      <c r="F34" s="240">
        <f>'Variance Analysis'!F44</f>
        <v>233211.01</v>
      </c>
      <c r="G34" s="240">
        <f>'Variance Analysis'!G44</f>
        <v>275312.98</v>
      </c>
      <c r="H34" s="240">
        <f>'Variance Analysis'!H44</f>
        <v>332360.16000000003</v>
      </c>
      <c r="I34" s="240">
        <f>'Variance Analysis'!I44</f>
        <v>378375.58</v>
      </c>
      <c r="J34" s="240">
        <f>'Variance Analysis'!J44</f>
        <v>370593.88</v>
      </c>
      <c r="K34" s="240">
        <f>'Variance Analysis'!K44</f>
        <v>323263.69</v>
      </c>
      <c r="L34" s="240">
        <f>'Variance Analysis'!L44</f>
        <v>308120.95</v>
      </c>
      <c r="M34" s="240">
        <f>'Variance Analysis'!M44</f>
        <v>315354.28000000003</v>
      </c>
      <c r="N34" s="240">
        <f>'Variance Analysis'!N44</f>
        <v>465785.57</v>
      </c>
      <c r="O34" s="3"/>
      <c r="P34" s="3"/>
      <c r="Q34" s="3"/>
      <c r="R34" s="3"/>
      <c r="S34" s="3"/>
      <c r="T34" s="3"/>
      <c r="U34" s="3"/>
      <c r="V34" s="3"/>
      <c r="W34" s="3"/>
      <c r="X34" s="3"/>
      <c r="Y34" s="3"/>
      <c r="Z34" s="3"/>
    </row>
    <row r="35" spans="1:26" ht="13.5" customHeight="1">
      <c r="A35" s="170" t="s">
        <v>55</v>
      </c>
      <c r="B35" s="170" t="s">
        <v>122</v>
      </c>
      <c r="C35" s="241">
        <f>C11</f>
        <v>181933.291</v>
      </c>
      <c r="D35" s="241">
        <f t="shared" ref="D35:N35" si="0">D11</f>
        <v>187443.943</v>
      </c>
      <c r="E35" s="241">
        <f t="shared" si="0"/>
        <v>184773.65699999998</v>
      </c>
      <c r="F35" s="241">
        <f t="shared" si="0"/>
        <v>191541.09299999999</v>
      </c>
      <c r="G35" s="241">
        <f t="shared" si="0"/>
        <v>98096.062000000005</v>
      </c>
      <c r="H35" s="241">
        <f t="shared" si="0"/>
        <v>185306.853</v>
      </c>
      <c r="I35" s="241">
        <f t="shared" si="0"/>
        <v>186901.43900000001</v>
      </c>
      <c r="J35" s="241">
        <f t="shared" si="0"/>
        <v>158586.76500000001</v>
      </c>
      <c r="K35" s="241">
        <f t="shared" si="0"/>
        <v>191403.67599999998</v>
      </c>
      <c r="L35" s="241">
        <f t="shared" si="0"/>
        <v>171057.864</v>
      </c>
      <c r="M35" s="241">
        <f t="shared" si="0"/>
        <v>169286.99900000001</v>
      </c>
      <c r="N35" s="241">
        <f t="shared" si="0"/>
        <v>142508.717</v>
      </c>
      <c r="O35" s="3"/>
      <c r="P35" s="3"/>
      <c r="Q35" s="3"/>
      <c r="R35" s="3"/>
      <c r="S35" s="3"/>
      <c r="T35" s="3"/>
      <c r="U35" s="3"/>
      <c r="V35" s="3"/>
      <c r="W35" s="3"/>
      <c r="X35" s="3"/>
      <c r="Y35" s="3"/>
      <c r="Z35" s="3"/>
    </row>
    <row r="36" spans="1:26" ht="13.5" customHeight="1">
      <c r="A36" s="170" t="s">
        <v>69</v>
      </c>
      <c r="B36" s="170" t="s">
        <v>122</v>
      </c>
      <c r="C36" s="241">
        <f>C19</f>
        <v>214968.99900000001</v>
      </c>
      <c r="D36" s="241">
        <f t="shared" ref="D36:N36" si="1">D19</f>
        <v>228199.05100000001</v>
      </c>
      <c r="E36" s="241">
        <f t="shared" si="1"/>
        <v>216536.467</v>
      </c>
      <c r="F36" s="241">
        <f t="shared" si="1"/>
        <v>296760.27599999995</v>
      </c>
      <c r="G36" s="241">
        <f t="shared" si="1"/>
        <v>232052.864</v>
      </c>
      <c r="H36" s="241">
        <f t="shared" si="1"/>
        <v>250210.16</v>
      </c>
      <c r="I36" s="241">
        <f t="shared" si="1"/>
        <v>268160.549</v>
      </c>
      <c r="J36" s="241">
        <f t="shared" si="1"/>
        <v>306884.52399999998</v>
      </c>
      <c r="K36" s="241">
        <f t="shared" si="1"/>
        <v>367651.00600000005</v>
      </c>
      <c r="L36" s="241">
        <f t="shared" si="1"/>
        <v>291990.16600000003</v>
      </c>
      <c r="M36" s="241">
        <f t="shared" si="1"/>
        <v>301185.12999999995</v>
      </c>
      <c r="N36" s="241">
        <f t="shared" si="1"/>
        <v>299782.89299999998</v>
      </c>
      <c r="O36" s="3"/>
      <c r="P36" s="3"/>
      <c r="Q36" s="3"/>
      <c r="R36" s="3"/>
      <c r="S36" s="3"/>
      <c r="T36" s="3"/>
      <c r="U36" s="3"/>
      <c r="V36" s="3"/>
      <c r="W36" s="3"/>
      <c r="X36" s="3"/>
      <c r="Y36" s="3"/>
      <c r="Z36" s="3"/>
    </row>
    <row r="37" spans="1:26" ht="13.5" customHeight="1" thickBot="1">
      <c r="A37" s="170" t="s">
        <v>84</v>
      </c>
      <c r="B37" s="170" t="s">
        <v>122</v>
      </c>
      <c r="C37" s="241">
        <f>C27</f>
        <v>250241.99099999998</v>
      </c>
      <c r="D37" s="241">
        <f t="shared" ref="D37:N37" si="2">D27</f>
        <v>206740.70300000001</v>
      </c>
      <c r="E37" s="241">
        <f t="shared" si="2"/>
        <v>201235.46099999995</v>
      </c>
      <c r="F37" s="241">
        <f t="shared" si="2"/>
        <v>174369.56599999999</v>
      </c>
      <c r="G37" s="241">
        <f t="shared" si="2"/>
        <v>204091.05</v>
      </c>
      <c r="H37" s="241">
        <f t="shared" si="2"/>
        <v>146356.666</v>
      </c>
      <c r="I37" s="241">
        <f t="shared" si="2"/>
        <v>204202.49700000003</v>
      </c>
      <c r="J37" s="241">
        <f t="shared" si="2"/>
        <v>217430.19900000002</v>
      </c>
      <c r="K37" s="241">
        <f t="shared" si="2"/>
        <v>161814.21700000006</v>
      </c>
      <c r="L37" s="241">
        <f t="shared" si="2"/>
        <v>113441.13599999997</v>
      </c>
      <c r="M37" s="241">
        <f t="shared" si="2"/>
        <v>115407.36900000001</v>
      </c>
      <c r="N37" s="241">
        <f t="shared" si="2"/>
        <v>140380.33399999997</v>
      </c>
      <c r="O37" s="3"/>
      <c r="P37" s="3"/>
      <c r="Q37" s="3"/>
      <c r="R37" s="3"/>
      <c r="S37" s="3"/>
      <c r="T37" s="3"/>
      <c r="U37" s="3"/>
      <c r="V37" s="3"/>
      <c r="W37" s="3"/>
      <c r="X37" s="3"/>
      <c r="Y37" s="3"/>
      <c r="Z37" s="3"/>
    </row>
    <row r="38" spans="1:26" ht="13.5" customHeight="1" thickTop="1" thickBot="1">
      <c r="A38" s="66" t="s">
        <v>123</v>
      </c>
      <c r="B38" s="67" t="s">
        <v>124</v>
      </c>
      <c r="C38" s="243">
        <f>SUM($C$32:C34)/SUM($C$35:C37)</f>
        <v>32.51713711737181</v>
      </c>
      <c r="D38" s="243">
        <f>SUM($C$32:D34)/SUM($C$35:D37)</f>
        <v>35.274262321141222</v>
      </c>
      <c r="E38" s="243">
        <f>SUM($C$32:E34)/SUM($C$35:E37)</f>
        <v>36.512178207603895</v>
      </c>
      <c r="F38" s="243">
        <f>SUM($C$32:F34)/SUM($C$35:F37)</f>
        <v>37.65539791300889</v>
      </c>
      <c r="G38" s="243">
        <f>SUM($C$32:G34)/SUM($C$35:G37)</f>
        <v>40.260721514487528</v>
      </c>
      <c r="H38" s="243">
        <f>SUM($C$32:H34)/SUM($C$35:H37)</f>
        <v>38.688207095620896</v>
      </c>
      <c r="I38" s="243">
        <f>SUM($C$32:I34)/SUM($C$35:I37)</f>
        <v>36.941136420629149</v>
      </c>
      <c r="J38" s="243">
        <f>SUM($C$32:J34)/SUM($C$35:J37)</f>
        <v>35.699638303730481</v>
      </c>
      <c r="K38" s="243">
        <f>SUM($C$32:K34)/SUM($C$35:K37)</f>
        <v>34.4419628489632</v>
      </c>
      <c r="L38" s="243">
        <f>SUM($C$32:L34)/SUM($C$35:L37)</f>
        <v>34.058425845177702</v>
      </c>
      <c r="M38" s="243">
        <f>SUM($C$32:M34)/SUM($C$35:M37)</f>
        <v>34.114232796761719</v>
      </c>
      <c r="N38" s="243">
        <f>SUM($C$32:N34)/SUM($C$35:N37)</f>
        <v>33.657442894960788</v>
      </c>
      <c r="O38" s="3"/>
      <c r="P38" s="3"/>
      <c r="Q38" s="3"/>
      <c r="R38" s="3"/>
      <c r="S38" s="3"/>
      <c r="T38" s="3"/>
      <c r="U38" s="3"/>
      <c r="V38" s="3"/>
      <c r="W38" s="3"/>
      <c r="X38" s="3"/>
      <c r="Y38" s="3"/>
      <c r="Z38" s="3"/>
    </row>
    <row r="39" spans="1:26"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c r="A40" s="131" t="s">
        <v>128</v>
      </c>
      <c r="B40" s="131"/>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row>
    <row r="41" spans="1:26" ht="13.5" customHeight="1">
      <c r="A41" s="131" t="s">
        <v>119</v>
      </c>
      <c r="B41" s="131"/>
      <c r="C41" s="13" t="s">
        <v>43</v>
      </c>
      <c r="D41" s="13" t="s">
        <v>44</v>
      </c>
      <c r="E41" s="13" t="s">
        <v>45</v>
      </c>
      <c r="F41" s="13" t="s">
        <v>46</v>
      </c>
      <c r="G41" s="13" t="s">
        <v>47</v>
      </c>
      <c r="H41" s="13" t="s">
        <v>48</v>
      </c>
      <c r="I41" s="13" t="s">
        <v>49</v>
      </c>
      <c r="J41" s="13" t="s">
        <v>50</v>
      </c>
      <c r="K41" s="13" t="s">
        <v>51</v>
      </c>
      <c r="L41" s="13" t="s">
        <v>52</v>
      </c>
      <c r="M41" s="13" t="s">
        <v>53</v>
      </c>
      <c r="N41" s="13" t="s">
        <v>54</v>
      </c>
      <c r="O41" s="132"/>
      <c r="P41" s="132"/>
      <c r="Q41" s="132"/>
      <c r="R41" s="132"/>
      <c r="S41" s="132"/>
      <c r="T41" s="132"/>
      <c r="U41" s="132"/>
      <c r="V41" s="132"/>
      <c r="W41" s="132"/>
      <c r="X41" s="132"/>
      <c r="Y41" s="132"/>
      <c r="Z41" s="132"/>
    </row>
    <row r="42" spans="1:26" ht="13.5" customHeight="1">
      <c r="A42" s="170" t="s">
        <v>110</v>
      </c>
      <c r="B42" s="170" t="s">
        <v>121</v>
      </c>
      <c r="C42" s="240">
        <f>'Variance Analysis'!C12</f>
        <v>2870946.71</v>
      </c>
      <c r="D42" s="240">
        <f>'Variance Analysis'!D12</f>
        <v>2893964.8600000003</v>
      </c>
      <c r="E42" s="240">
        <f>'Variance Analysis'!E12</f>
        <v>4946553.25</v>
      </c>
      <c r="F42" s="240">
        <f>'Variance Analysis'!F12</f>
        <v>3649852.2800000003</v>
      </c>
      <c r="G42" s="240">
        <f>'Variance Analysis'!G12</f>
        <v>3390311.38</v>
      </c>
      <c r="H42" s="240">
        <f>'Variance Analysis'!H12</f>
        <v>3296135.35</v>
      </c>
      <c r="I42" s="240">
        <f>'Variance Analysis'!I12</f>
        <v>3371678.94</v>
      </c>
      <c r="J42" s="240">
        <f>'Variance Analysis'!J12</f>
        <v>3486089.18</v>
      </c>
      <c r="K42" s="240">
        <f>'Variance Analysis'!K12</f>
        <v>3420874.4299999997</v>
      </c>
      <c r="L42" s="240">
        <f>'Variance Analysis'!L12</f>
        <v>3482686.52</v>
      </c>
      <c r="M42" s="240">
        <f>'Variance Analysis'!M12</f>
        <v>3359577.0700000003</v>
      </c>
      <c r="N42" s="240">
        <f>'Variance Analysis'!N12</f>
        <v>3881716.73</v>
      </c>
      <c r="O42" s="3"/>
      <c r="P42" s="3"/>
      <c r="Q42" s="3"/>
      <c r="R42" s="3"/>
      <c r="S42" s="3"/>
      <c r="T42" s="3"/>
      <c r="U42" s="3"/>
      <c r="V42" s="3"/>
      <c r="W42" s="3"/>
      <c r="X42" s="3"/>
      <c r="Y42" s="3"/>
      <c r="Z42" s="3"/>
    </row>
    <row r="43" spans="1:26" ht="13.5" customHeight="1">
      <c r="A43" s="170" t="s">
        <v>111</v>
      </c>
      <c r="B43" s="170" t="s">
        <v>121</v>
      </c>
      <c r="C43" s="240">
        <f>'Variance Analysis'!C10</f>
        <v>30000</v>
      </c>
      <c r="D43" s="240">
        <f>'Variance Analysis'!D10</f>
        <v>30000</v>
      </c>
      <c r="E43" s="240">
        <f>'Variance Analysis'!E10</f>
        <v>30000</v>
      </c>
      <c r="F43" s="240">
        <f>'Variance Analysis'!F10</f>
        <v>30000</v>
      </c>
      <c r="G43" s="240">
        <f>'Variance Analysis'!G10</f>
        <v>30000</v>
      </c>
      <c r="H43" s="240">
        <f>'Variance Analysis'!H10</f>
        <v>30000</v>
      </c>
      <c r="I43" s="240">
        <f>'Variance Analysis'!I10</f>
        <v>30000</v>
      </c>
      <c r="J43" s="240">
        <f>'Variance Analysis'!J10</f>
        <v>30000</v>
      </c>
      <c r="K43" s="240">
        <f>'Variance Analysis'!K10</f>
        <v>30000</v>
      </c>
      <c r="L43" s="240">
        <f>'Variance Analysis'!L10</f>
        <v>30000</v>
      </c>
      <c r="M43" s="240">
        <f>'Variance Analysis'!M10</f>
        <v>30000</v>
      </c>
      <c r="N43" s="240">
        <f>'Variance Analysis'!N10</f>
        <v>30000</v>
      </c>
      <c r="O43" s="3"/>
      <c r="P43" s="3"/>
      <c r="Q43" s="3"/>
      <c r="R43" s="3"/>
      <c r="S43" s="3"/>
      <c r="T43" s="3"/>
      <c r="U43" s="3"/>
      <c r="V43" s="3"/>
      <c r="W43" s="3"/>
      <c r="X43" s="3"/>
      <c r="Y43" s="3"/>
      <c r="Z43" s="3"/>
    </row>
    <row r="44" spans="1:26" ht="13.5" customHeight="1">
      <c r="A44" s="170" t="s">
        <v>112</v>
      </c>
      <c r="B44" s="170" t="s">
        <v>121</v>
      </c>
      <c r="C44" s="240">
        <f>'Variance Analysis'!C11</f>
        <v>30000</v>
      </c>
      <c r="D44" s="240">
        <f>'Variance Analysis'!D11</f>
        <v>30000</v>
      </c>
      <c r="E44" s="240">
        <f>'Variance Analysis'!E11</f>
        <v>29923.74</v>
      </c>
      <c r="F44" s="240">
        <f>'Variance Analysis'!F11</f>
        <v>30000</v>
      </c>
      <c r="G44" s="240">
        <f>'Variance Analysis'!G11</f>
        <v>30000</v>
      </c>
      <c r="H44" s="240">
        <f>'Variance Analysis'!H11</f>
        <v>30000</v>
      </c>
      <c r="I44" s="240">
        <f>'Variance Analysis'!I11</f>
        <v>30000</v>
      </c>
      <c r="J44" s="240">
        <f>'Variance Analysis'!J11</f>
        <v>30000</v>
      </c>
      <c r="K44" s="240">
        <f>'Variance Analysis'!K11</f>
        <v>30000</v>
      </c>
      <c r="L44" s="240">
        <f>'Variance Analysis'!L11</f>
        <v>30000</v>
      </c>
      <c r="M44" s="240">
        <f>'Variance Analysis'!M11</f>
        <v>30000</v>
      </c>
      <c r="N44" s="240">
        <f>'Variance Analysis'!N11</f>
        <v>30000</v>
      </c>
      <c r="O44" s="3"/>
      <c r="P44" s="3"/>
      <c r="Q44" s="3"/>
      <c r="R44" s="3"/>
      <c r="S44" s="3"/>
      <c r="T44" s="3"/>
      <c r="U44" s="3"/>
      <c r="V44" s="3"/>
      <c r="W44" s="3"/>
      <c r="X44" s="3"/>
      <c r="Y44" s="3"/>
      <c r="Z44" s="3"/>
    </row>
    <row r="45" spans="1:26" ht="13.5" customHeight="1" thickBot="1">
      <c r="A45" s="170" t="s">
        <v>55</v>
      </c>
      <c r="B45" s="170" t="s">
        <v>122</v>
      </c>
      <c r="C45" s="241">
        <f>'Water Production Budget'!B2 * 1000</f>
        <v>171933.291</v>
      </c>
      <c r="D45" s="241">
        <f>'Water Production Budget'!C2 * 1000</f>
        <v>185443.943</v>
      </c>
      <c r="E45" s="241">
        <f>'Water Production Budget'!D2 * 1000</f>
        <v>186773.65699999998</v>
      </c>
      <c r="F45" s="241">
        <f>'Water Production Budget'!E2 * 1000</f>
        <v>190541.09299999999</v>
      </c>
      <c r="G45" s="241">
        <f>'Water Production Budget'!F2 * 1000</f>
        <v>95096.062000000005</v>
      </c>
      <c r="H45" s="241">
        <f>'Water Production Budget'!G2 * 1000</f>
        <v>184306.853</v>
      </c>
      <c r="I45" s="241">
        <f>'Water Production Budget'!H2 * 1000</f>
        <v>181901.43900000001</v>
      </c>
      <c r="J45" s="241">
        <f>'Water Production Budget'!I2 * 1000</f>
        <v>149586.76500000001</v>
      </c>
      <c r="K45" s="241">
        <f>'Water Production Budget'!J2 * 1000</f>
        <v>181403.67599999998</v>
      </c>
      <c r="L45" s="241">
        <f>'Water Production Budget'!K2 * 1000</f>
        <v>171057.864</v>
      </c>
      <c r="M45" s="241">
        <f>'Water Production Budget'!L2 * 1000</f>
        <v>165286.99900000001</v>
      </c>
      <c r="N45" s="241">
        <f>'Water Production Budget'!M2 * 1000</f>
        <v>149508.717</v>
      </c>
      <c r="O45" s="3"/>
      <c r="P45" s="3"/>
      <c r="Q45" s="3"/>
      <c r="R45" s="3"/>
      <c r="S45" s="3"/>
      <c r="T45" s="3"/>
      <c r="U45" s="3"/>
      <c r="V45" s="3"/>
      <c r="W45" s="3"/>
      <c r="X45" s="3"/>
      <c r="Y45" s="3"/>
      <c r="Z45" s="3"/>
    </row>
    <row r="46" spans="1:26" ht="13.5" customHeight="1" thickTop="1" thickBot="1">
      <c r="A46" s="66" t="s">
        <v>129</v>
      </c>
      <c r="B46" s="67" t="s">
        <v>124</v>
      </c>
      <c r="C46" s="243">
        <f>SUM($C$42:C44)/SUM($C$45:C45)</f>
        <v>17.04699940862529</v>
      </c>
      <c r="D46" s="243">
        <f>SUM($C$42:D44)/SUM($C$45:D45)</f>
        <v>16.466945877140009</v>
      </c>
      <c r="E46" s="243">
        <f>SUM($C$42:E44)/SUM($C$45:E45)</f>
        <v>20.015383122840465</v>
      </c>
      <c r="F46" s="243">
        <f>SUM($C$42:F44)/SUM($C$45:F45)</f>
        <v>19.873962365159006</v>
      </c>
      <c r="G46" s="243">
        <f>SUM($C$42:G44)/SUM($C$45:G45)</f>
        <v>21.754413439694211</v>
      </c>
      <c r="H46" s="243">
        <f>SUM($C$42:H44)/SUM($C$45:H45)</f>
        <v>21.110142247150776</v>
      </c>
      <c r="I46" s="243">
        <f>SUM($C$42:I44)/SUM($C$45:I45)</f>
        <v>20.768764686635688</v>
      </c>
      <c r="J46" s="243">
        <f>SUM($C$42:J44)/SUM($C$45:J45)</f>
        <v>21.095282503707242</v>
      </c>
      <c r="K46" s="243">
        <f>SUM($C$42:K44)/SUM($C$45:K45)</f>
        <v>20.86876622525099</v>
      </c>
      <c r="L46" s="243">
        <f>SUM($C$42:L44)/SUM($C$45:L45)</f>
        <v>20.852818437942567</v>
      </c>
      <c r="M46" s="243">
        <f>SUM($C$42:M44)/SUM($C$45:M45)</f>
        <v>20.838262408469316</v>
      </c>
      <c r="N46" s="243">
        <f>SUM($C$42:N44)/SUM($C$45:N45)</f>
        <v>21.24873453016847</v>
      </c>
      <c r="O46" s="3"/>
      <c r="P46" s="3"/>
      <c r="Q46" s="3"/>
      <c r="R46" s="3"/>
      <c r="S46" s="3"/>
      <c r="T46" s="3"/>
      <c r="U46" s="3"/>
      <c r="V46" s="3"/>
      <c r="W46" s="3"/>
      <c r="X46" s="3"/>
      <c r="Y46" s="3"/>
      <c r="Z46" s="3"/>
    </row>
    <row r="47" spans="1:26" ht="13.5" customHeight="1">
      <c r="A47" s="1"/>
      <c r="B47" s="3"/>
      <c r="C47" s="69"/>
      <c r="D47" s="69"/>
      <c r="E47" s="69"/>
      <c r="F47" s="69"/>
      <c r="G47" s="69"/>
      <c r="H47" s="69"/>
      <c r="I47" s="69"/>
      <c r="J47" s="69"/>
      <c r="K47" s="69"/>
      <c r="L47" s="69"/>
      <c r="M47" s="69"/>
      <c r="N47" s="69"/>
      <c r="O47" s="3"/>
      <c r="P47" s="3"/>
      <c r="Q47" s="3"/>
      <c r="R47" s="3"/>
      <c r="S47" s="3"/>
      <c r="T47" s="3"/>
      <c r="U47" s="3"/>
      <c r="V47" s="3"/>
      <c r="W47" s="3"/>
      <c r="X47" s="3"/>
      <c r="Y47" s="3"/>
      <c r="Z47" s="3"/>
    </row>
    <row r="48" spans="1:26" ht="13.5" customHeight="1">
      <c r="A48" s="131" t="s">
        <v>130</v>
      </c>
      <c r="B48" s="131"/>
      <c r="C48" s="132"/>
      <c r="D48" s="132"/>
      <c r="E48" s="132"/>
      <c r="F48" s="132"/>
      <c r="G48" s="132"/>
      <c r="H48" s="132"/>
      <c r="I48" s="132"/>
      <c r="J48" s="132"/>
      <c r="K48" s="132"/>
      <c r="L48" s="132"/>
      <c r="M48" s="132"/>
      <c r="N48" s="132"/>
      <c r="O48" s="132"/>
      <c r="P48" s="132"/>
      <c r="Q48" s="132"/>
      <c r="R48" s="132"/>
      <c r="S48" s="132"/>
      <c r="T48" s="132"/>
      <c r="U48" s="132"/>
      <c r="V48" s="132"/>
      <c r="W48" s="132"/>
      <c r="X48" s="132"/>
      <c r="Y48" s="132"/>
      <c r="Z48" s="132"/>
    </row>
    <row r="49" spans="1:26" ht="13.5" customHeight="1">
      <c r="A49" s="131" t="s">
        <v>119</v>
      </c>
      <c r="B49" s="131"/>
      <c r="C49" s="13" t="s">
        <v>43</v>
      </c>
      <c r="D49" s="13" t="s">
        <v>44</v>
      </c>
      <c r="E49" s="13" t="s">
        <v>45</v>
      </c>
      <c r="F49" s="13" t="s">
        <v>46</v>
      </c>
      <c r="G49" s="13" t="s">
        <v>47</v>
      </c>
      <c r="H49" s="13" t="s">
        <v>48</v>
      </c>
      <c r="I49" s="13" t="s">
        <v>49</v>
      </c>
      <c r="J49" s="13" t="s">
        <v>50</v>
      </c>
      <c r="K49" s="13" t="s">
        <v>51</v>
      </c>
      <c r="L49" s="13" t="s">
        <v>52</v>
      </c>
      <c r="M49" s="13" t="s">
        <v>53</v>
      </c>
      <c r="N49" s="13" t="s">
        <v>54</v>
      </c>
      <c r="O49" s="132"/>
      <c r="P49" s="132"/>
      <c r="Q49" s="132"/>
      <c r="R49" s="132"/>
      <c r="S49" s="132"/>
      <c r="T49" s="132"/>
      <c r="U49" s="132"/>
      <c r="V49" s="132"/>
      <c r="W49" s="132"/>
      <c r="X49" s="132"/>
      <c r="Y49" s="132"/>
      <c r="Z49" s="132"/>
    </row>
    <row r="50" spans="1:26" ht="13.5" customHeight="1">
      <c r="A50" s="170" t="s">
        <v>110</v>
      </c>
      <c r="B50" s="170" t="s">
        <v>121</v>
      </c>
      <c r="C50" s="240">
        <f>'Variance Analysis'!C16</f>
        <v>10156042.75</v>
      </c>
      <c r="D50" s="240">
        <f>'Variance Analysis'!D16</f>
        <v>10507931.76</v>
      </c>
      <c r="E50" s="240">
        <f>'Variance Analysis'!E16</f>
        <v>14876453.26</v>
      </c>
      <c r="F50" s="240">
        <f>'Variance Analysis'!F16</f>
        <v>17913936.32</v>
      </c>
      <c r="G50" s="240">
        <f>'Variance Analysis'!G16</f>
        <v>16602328.669999998</v>
      </c>
      <c r="H50" s="240">
        <f>'Variance Analysis'!H16</f>
        <v>11716587.91</v>
      </c>
      <c r="I50" s="240">
        <f>'Variance Analysis'!I16</f>
        <v>8737662.6500000004</v>
      </c>
      <c r="J50" s="240">
        <f>'Variance Analysis'!J16</f>
        <v>8769854.0099999998</v>
      </c>
      <c r="K50" s="240">
        <f>'Variance Analysis'!K16</f>
        <v>10564946.010000002</v>
      </c>
      <c r="L50" s="240">
        <f>'Variance Analysis'!L16</f>
        <v>10222269.529999999</v>
      </c>
      <c r="M50" s="240">
        <f>'Variance Analysis'!M16</f>
        <v>10608268.550000001</v>
      </c>
      <c r="N50" s="240">
        <f>'Variance Analysis'!N16</f>
        <v>12229507.550000001</v>
      </c>
      <c r="O50" s="3"/>
      <c r="P50" s="3"/>
      <c r="Q50" s="3"/>
      <c r="R50" s="3"/>
      <c r="S50" s="3"/>
      <c r="T50" s="3"/>
      <c r="U50" s="3"/>
      <c r="V50" s="3"/>
      <c r="W50" s="3"/>
      <c r="X50" s="3"/>
      <c r="Y50" s="3"/>
      <c r="Z50" s="3"/>
    </row>
    <row r="51" spans="1:26" ht="13.5" customHeight="1">
      <c r="A51" s="170" t="s">
        <v>111</v>
      </c>
      <c r="B51" s="170" t="s">
        <v>121</v>
      </c>
      <c r="C51" s="240">
        <f>'Variance Analysis'!C14</f>
        <v>169981</v>
      </c>
      <c r="D51" s="240">
        <f>'Variance Analysis'!D14</f>
        <v>169981</v>
      </c>
      <c r="E51" s="240">
        <f>'Variance Analysis'!E14</f>
        <v>169981</v>
      </c>
      <c r="F51" s="240">
        <f>'Variance Analysis'!F14</f>
        <v>166888</v>
      </c>
      <c r="G51" s="240">
        <f>'Variance Analysis'!G14</f>
        <v>166888</v>
      </c>
      <c r="H51" s="240">
        <f>'Variance Analysis'!H14</f>
        <v>392677</v>
      </c>
      <c r="I51" s="240">
        <f>'Variance Analysis'!I14</f>
        <v>392677</v>
      </c>
      <c r="J51" s="240">
        <f>'Variance Analysis'!J14</f>
        <v>608648</v>
      </c>
      <c r="K51" s="240">
        <f>'Variance Analysis'!K14</f>
        <v>608648</v>
      </c>
      <c r="L51" s="240">
        <f>'Variance Analysis'!L14</f>
        <v>166888</v>
      </c>
      <c r="M51" s="240">
        <f>'Variance Analysis'!M14</f>
        <v>166888</v>
      </c>
      <c r="N51" s="240">
        <f>'Variance Analysis'!N14</f>
        <v>166888</v>
      </c>
      <c r="O51" s="3"/>
      <c r="P51" s="3"/>
      <c r="Q51" s="3"/>
      <c r="R51" s="3"/>
      <c r="S51" s="3"/>
      <c r="T51" s="3"/>
      <c r="U51" s="3"/>
      <c r="V51" s="3"/>
      <c r="W51" s="3"/>
      <c r="X51" s="3"/>
      <c r="Y51" s="3"/>
      <c r="Z51" s="3"/>
    </row>
    <row r="52" spans="1:26" ht="13.5" customHeight="1">
      <c r="A52" s="170" t="s">
        <v>112</v>
      </c>
      <c r="B52" s="170" t="s">
        <v>121</v>
      </c>
      <c r="C52" s="240">
        <f>'Variance Analysis'!C15</f>
        <v>479062.54</v>
      </c>
      <c r="D52" s="240">
        <f>'Variance Analysis'!D15</f>
        <v>479062.54</v>
      </c>
      <c r="E52" s="240">
        <f>'Variance Analysis'!E15</f>
        <v>479062.54</v>
      </c>
      <c r="F52" s="240">
        <f>'Variance Analysis'!F15</f>
        <v>479062.54</v>
      </c>
      <c r="G52" s="240">
        <f>'Variance Analysis'!G15</f>
        <v>479062.54</v>
      </c>
      <c r="H52" s="240">
        <f>'Variance Analysis'!H15</f>
        <v>479062.54</v>
      </c>
      <c r="I52" s="240">
        <f>'Variance Analysis'!I15</f>
        <v>479062.54</v>
      </c>
      <c r="J52" s="240">
        <f>'Variance Analysis'!J15</f>
        <v>479062.54</v>
      </c>
      <c r="K52" s="240">
        <f>'Variance Analysis'!K15</f>
        <v>479062.54</v>
      </c>
      <c r="L52" s="240">
        <f>'Variance Analysis'!L15</f>
        <v>479062.54</v>
      </c>
      <c r="M52" s="240">
        <f>'Variance Analysis'!M15</f>
        <v>479062.54</v>
      </c>
      <c r="N52" s="240">
        <f>'Variance Analysis'!N15</f>
        <v>479062.54</v>
      </c>
      <c r="O52" s="3"/>
      <c r="P52" s="3"/>
      <c r="Q52" s="3"/>
      <c r="R52" s="3"/>
      <c r="S52" s="3"/>
      <c r="T52" s="3"/>
      <c r="U52" s="3"/>
      <c r="V52" s="3"/>
      <c r="W52" s="3"/>
      <c r="X52" s="3"/>
      <c r="Y52" s="3"/>
      <c r="Z52" s="3"/>
    </row>
    <row r="53" spans="1:26" ht="13.5" customHeight="1" thickBot="1">
      <c r="A53" s="170" t="s">
        <v>69</v>
      </c>
      <c r="B53" s="170" t="s">
        <v>122</v>
      </c>
      <c r="C53" s="241">
        <f>'Water Production Budget'!B3 * 1000</f>
        <v>211968.99900000001</v>
      </c>
      <c r="D53" s="241">
        <f>'Water Production Budget'!C3 * 1000</f>
        <v>224199.05100000001</v>
      </c>
      <c r="E53" s="241">
        <f>'Water Production Budget'!D3 * 1000</f>
        <v>220536.46699999998</v>
      </c>
      <c r="F53" s="241">
        <f>'Water Production Budget'!E3 * 1000</f>
        <v>306760.27599999995</v>
      </c>
      <c r="G53" s="241">
        <f>'Water Production Budget'!F3 * 1000</f>
        <v>260052.864</v>
      </c>
      <c r="H53" s="241">
        <f>'Water Production Budget'!G3 * 1000</f>
        <v>240210.16</v>
      </c>
      <c r="I53" s="241">
        <f>'Water Production Budget'!H3 * 1000</f>
        <v>258160.549</v>
      </c>
      <c r="J53" s="241">
        <f>'Water Production Budget'!I3 * 1000</f>
        <v>310884.52399999998</v>
      </c>
      <c r="K53" s="241">
        <f>'Water Production Budget'!J3 * 1000</f>
        <v>347651.00599999999</v>
      </c>
      <c r="L53" s="241">
        <f>'Water Production Budget'!K3 * 1000</f>
        <v>271990.16599999997</v>
      </c>
      <c r="M53" s="241">
        <f>'Water Production Budget'!L3 * 1000</f>
        <v>301185.12999999995</v>
      </c>
      <c r="N53" s="241">
        <f>'Water Production Budget'!M3 * 1000</f>
        <v>299782.89299999998</v>
      </c>
      <c r="O53" s="3"/>
      <c r="P53" s="3"/>
      <c r="Q53" s="3"/>
      <c r="R53" s="3"/>
      <c r="S53" s="3"/>
      <c r="T53" s="3"/>
      <c r="U53" s="3"/>
      <c r="V53" s="3"/>
      <c r="W53" s="3"/>
      <c r="X53" s="3"/>
      <c r="Y53" s="3"/>
      <c r="Z53" s="3"/>
    </row>
    <row r="54" spans="1:26" ht="13.5" customHeight="1" thickTop="1" thickBot="1">
      <c r="A54" s="66" t="s">
        <v>129</v>
      </c>
      <c r="B54" s="67" t="s">
        <v>124</v>
      </c>
      <c r="C54" s="243">
        <f>SUM($C$50:C52)/SUM($C$53:C53)</f>
        <v>50.974842269269757</v>
      </c>
      <c r="D54" s="243">
        <f>SUM($C$50:D52)/SUM($C$53:D53)</f>
        <v>50.352293319054418</v>
      </c>
      <c r="E54" s="243">
        <f>SUM($C$50:E52)/SUM($C$53:E53)</f>
        <v>57.084362022136041</v>
      </c>
      <c r="F54" s="243">
        <f>SUM($C$50:F52)/SUM($C$53:F53)</f>
        <v>58.172800560238009</v>
      </c>
      <c r="G54" s="243">
        <f>SUM($C$50:G52)/SUM($C$53:G53)</f>
        <v>59.905734944371162</v>
      </c>
      <c r="H54" s="243">
        <f>SUM($C$50:H52)/SUM($C$53:H53)</f>
        <v>58.674878561797556</v>
      </c>
      <c r="I54" s="243">
        <f>SUM($C$50:I52)/SUM($C$53:I53)</f>
        <v>55.458562811382656</v>
      </c>
      <c r="J54" s="243">
        <f>SUM($C$50:J52)/SUM($C$53:J53)</f>
        <v>51.826261147156508</v>
      </c>
      <c r="K54" s="243">
        <f>SUM($C$50:K52)/SUM($C$53:K53)</f>
        <v>49.152453643491768</v>
      </c>
      <c r="L54" s="243">
        <f>SUM($C$50:L52)/SUM($C$53:L53)</f>
        <v>48.209628014707789</v>
      </c>
      <c r="M54" s="243">
        <f>SUM($C$50:M52)/SUM($C$53:M53)</f>
        <v>47.103924844248105</v>
      </c>
      <c r="N54" s="243">
        <f>SUM($C$50:N52)/SUM($C$53:N53)</f>
        <v>46.721094688145094</v>
      </c>
      <c r="O54" s="3"/>
      <c r="P54" s="3"/>
      <c r="Q54" s="3"/>
      <c r="R54" s="3"/>
      <c r="S54" s="3"/>
      <c r="T54" s="3"/>
      <c r="U54" s="3"/>
      <c r="V54" s="3"/>
      <c r="W54" s="3"/>
      <c r="X54" s="3"/>
      <c r="Y54" s="3"/>
      <c r="Z54" s="3"/>
    </row>
    <row r="55" spans="1:26"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5" customHeight="1">
      <c r="A56" s="131" t="s">
        <v>131</v>
      </c>
      <c r="B56" s="131"/>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row>
    <row r="57" spans="1:26" ht="13.5" customHeight="1">
      <c r="A57" s="131" t="s">
        <v>119</v>
      </c>
      <c r="B57" s="131"/>
      <c r="C57" s="13" t="s">
        <v>43</v>
      </c>
      <c r="D57" s="13" t="s">
        <v>44</v>
      </c>
      <c r="E57" s="13" t="s">
        <v>45</v>
      </c>
      <c r="F57" s="13" t="s">
        <v>46</v>
      </c>
      <c r="G57" s="13" t="s">
        <v>47</v>
      </c>
      <c r="H57" s="13" t="s">
        <v>48</v>
      </c>
      <c r="I57" s="13" t="s">
        <v>49</v>
      </c>
      <c r="J57" s="13" t="s">
        <v>50</v>
      </c>
      <c r="K57" s="13" t="s">
        <v>51</v>
      </c>
      <c r="L57" s="13" t="s">
        <v>52</v>
      </c>
      <c r="M57" s="13" t="s">
        <v>53</v>
      </c>
      <c r="N57" s="13" t="s">
        <v>54</v>
      </c>
      <c r="O57" s="131"/>
      <c r="P57" s="131"/>
      <c r="Q57" s="131"/>
      <c r="R57" s="131"/>
      <c r="S57" s="131"/>
      <c r="T57" s="131"/>
      <c r="U57" s="131"/>
      <c r="V57" s="131"/>
      <c r="W57" s="131"/>
      <c r="X57" s="131"/>
      <c r="Y57" s="131"/>
      <c r="Z57" s="131"/>
    </row>
    <row r="58" spans="1:26" ht="13.5" customHeight="1">
      <c r="A58" s="170" t="s">
        <v>110</v>
      </c>
      <c r="B58" s="170" t="s">
        <v>121</v>
      </c>
      <c r="C58" s="240">
        <f>'Variance Analysis'!C20</f>
        <v>5306245.1399999997</v>
      </c>
      <c r="D58" s="240">
        <f>'Variance Analysis'!D20</f>
        <v>4773912.8199999994</v>
      </c>
      <c r="E58" s="240">
        <f>'Variance Analysis'!E20</f>
        <v>4697833.7299999995</v>
      </c>
      <c r="F58" s="240">
        <f>'Variance Analysis'!F20</f>
        <v>2982712.6999999997</v>
      </c>
      <c r="G58" s="240">
        <f>'Variance Analysis'!G20</f>
        <v>6311780.6000000006</v>
      </c>
      <c r="H58" s="240">
        <f>'Variance Analysis'!H20</f>
        <v>2025499.16</v>
      </c>
      <c r="I58" s="240">
        <f>'Variance Analysis'!I20</f>
        <v>3457616.66</v>
      </c>
      <c r="J58" s="240">
        <f>'Variance Analysis'!J20</f>
        <v>2884003.88</v>
      </c>
      <c r="K58" s="240">
        <f>'Variance Analysis'!K20</f>
        <v>2408511.39</v>
      </c>
      <c r="L58" s="240">
        <f>'Variance Analysis'!L20</f>
        <v>4555248.4799999995</v>
      </c>
      <c r="M58" s="240">
        <f>'Variance Analysis'!M20</f>
        <v>4548727.24</v>
      </c>
      <c r="N58" s="240">
        <f>'Variance Analysis'!N20</f>
        <v>4544356.8599999994</v>
      </c>
      <c r="O58" s="3"/>
      <c r="P58" s="3"/>
      <c r="Q58" s="3"/>
      <c r="R58" s="3"/>
      <c r="S58" s="3"/>
      <c r="T58" s="3"/>
      <c r="U58" s="3"/>
      <c r="V58" s="3"/>
      <c r="W58" s="3"/>
      <c r="X58" s="3"/>
      <c r="Y58" s="3"/>
      <c r="Z58" s="3"/>
    </row>
    <row r="59" spans="1:26" ht="13.5" customHeight="1">
      <c r="A59" s="170" t="s">
        <v>111</v>
      </c>
      <c r="B59" s="170" t="s">
        <v>121</v>
      </c>
      <c r="C59" s="240">
        <f>'Variance Analysis'!C18</f>
        <v>150914</v>
      </c>
      <c r="D59" s="240">
        <f>'Variance Analysis'!D18</f>
        <v>150914</v>
      </c>
      <c r="E59" s="240">
        <f>'Variance Analysis'!E18</f>
        <v>150914</v>
      </c>
      <c r="F59" s="240">
        <f>'Variance Analysis'!F18</f>
        <v>145582</v>
      </c>
      <c r="G59" s="240">
        <f>'Variance Analysis'!G18</f>
        <v>145582</v>
      </c>
      <c r="H59" s="240">
        <f>'Variance Analysis'!H18</f>
        <v>341130</v>
      </c>
      <c r="I59" s="240">
        <f>'Variance Analysis'!I18</f>
        <v>341130</v>
      </c>
      <c r="J59" s="240">
        <f>'Variance Analysis'!J18</f>
        <v>528180</v>
      </c>
      <c r="K59" s="240">
        <f>'Variance Analysis'!K18</f>
        <v>528180</v>
      </c>
      <c r="L59" s="240">
        <f>'Variance Analysis'!L18</f>
        <v>145582</v>
      </c>
      <c r="M59" s="240">
        <f>'Variance Analysis'!M18</f>
        <v>145582</v>
      </c>
      <c r="N59" s="240">
        <f>'Variance Analysis'!N18</f>
        <v>145582</v>
      </c>
      <c r="O59" s="3"/>
      <c r="P59" s="3"/>
      <c r="Q59" s="3"/>
      <c r="R59" s="3"/>
      <c r="S59" s="3"/>
      <c r="T59" s="3"/>
      <c r="U59" s="3"/>
      <c r="V59" s="3"/>
      <c r="W59" s="3"/>
      <c r="X59" s="3"/>
      <c r="Y59" s="3"/>
      <c r="Z59" s="3"/>
    </row>
    <row r="60" spans="1:26" ht="13.5" customHeight="1">
      <c r="A60" s="170" t="s">
        <v>112</v>
      </c>
      <c r="B60" s="170" t="s">
        <v>121</v>
      </c>
      <c r="C60" s="240">
        <f>'Variance Analysis'!C19</f>
        <v>4850</v>
      </c>
      <c r="D60" s="240">
        <f>'Variance Analysis'!D19</f>
        <v>9600</v>
      </c>
      <c r="E60" s="240">
        <f>'Variance Analysis'!E19</f>
        <v>4850</v>
      </c>
      <c r="F60" s="240">
        <f>'Variance Analysis'!F19</f>
        <v>4850</v>
      </c>
      <c r="G60" s="240">
        <f>'Variance Analysis'!G19</f>
        <v>4850</v>
      </c>
      <c r="H60" s="240">
        <f>'Variance Analysis'!H19</f>
        <v>4850</v>
      </c>
      <c r="I60" s="240">
        <f>'Variance Analysis'!I19</f>
        <v>4850</v>
      </c>
      <c r="J60" s="240">
        <f>'Variance Analysis'!J19</f>
        <v>9600</v>
      </c>
      <c r="K60" s="240">
        <f>'Variance Analysis'!K19</f>
        <v>4850</v>
      </c>
      <c r="L60" s="240">
        <f>'Variance Analysis'!L19</f>
        <v>4850</v>
      </c>
      <c r="M60" s="240">
        <f>'Variance Analysis'!M19</f>
        <v>4850</v>
      </c>
      <c r="N60" s="240">
        <f>'Variance Analysis'!N19</f>
        <v>4850</v>
      </c>
      <c r="O60" s="3"/>
      <c r="P60" s="3"/>
      <c r="Q60" s="3"/>
      <c r="R60" s="3"/>
      <c r="S60" s="3"/>
      <c r="T60" s="3"/>
      <c r="U60" s="3"/>
      <c r="V60" s="3"/>
      <c r="W60" s="3"/>
      <c r="X60" s="3"/>
      <c r="Y60" s="3"/>
      <c r="Z60" s="3"/>
    </row>
    <row r="61" spans="1:26" ht="13.5" customHeight="1" thickBot="1">
      <c r="A61" s="170" t="s">
        <v>84</v>
      </c>
      <c r="B61" s="170" t="s">
        <v>122</v>
      </c>
      <c r="C61" s="241">
        <f>'Water Production Budget'!B4 * 1000</f>
        <v>234241.99100000001</v>
      </c>
      <c r="D61" s="241">
        <f>'Water Production Budget'!C4 * 1000</f>
        <v>203740.70300000001</v>
      </c>
      <c r="E61" s="241">
        <f>'Water Production Budget'!D4 * 1000</f>
        <v>192235.46099999998</v>
      </c>
      <c r="F61" s="241">
        <f>'Water Production Budget'!E4 * 1000</f>
        <v>176369.56599999999</v>
      </c>
      <c r="G61" s="241">
        <f>'Water Production Budget'!F4 * 1000</f>
        <v>206091.05</v>
      </c>
      <c r="H61" s="241">
        <f>'Water Production Budget'!G4 * 1000</f>
        <v>141321.56660000002</v>
      </c>
      <c r="I61" s="241">
        <f>'Water Production Budget'!H4 * 1000</f>
        <v>214202.497</v>
      </c>
      <c r="J61" s="241">
        <f>'Water Production Budget'!I4 * 1000</f>
        <v>211430.19899999999</v>
      </c>
      <c r="K61" s="241">
        <f>'Water Production Budget'!J4 * 1000</f>
        <v>141814.217</v>
      </c>
      <c r="L61" s="241">
        <f>'Water Production Budget'!K4 * 1000</f>
        <v>118441.136</v>
      </c>
      <c r="M61" s="241">
        <f>'Water Production Budget'!L4 * 1000</f>
        <v>116407.36900000001</v>
      </c>
      <c r="N61" s="241">
        <f>'Water Production Budget'!M4 * 1000</f>
        <v>140380.33399999997</v>
      </c>
      <c r="O61" s="3"/>
      <c r="P61" s="3"/>
      <c r="Q61" s="3"/>
      <c r="R61" s="3"/>
      <c r="S61" s="3"/>
      <c r="T61" s="3"/>
      <c r="U61" s="3"/>
      <c r="V61" s="3"/>
      <c r="W61" s="3"/>
      <c r="X61" s="3"/>
      <c r="Y61" s="3"/>
      <c r="Z61" s="3"/>
    </row>
    <row r="62" spans="1:26" ht="13.5" customHeight="1" thickTop="1" thickBot="1">
      <c r="A62" s="66" t="s">
        <v>129</v>
      </c>
      <c r="B62" s="67" t="s">
        <v>124</v>
      </c>
      <c r="C62" s="243">
        <f>SUM($C$58:C60)/SUM($C$61:C61)</f>
        <v>23.317805303319844</v>
      </c>
      <c r="D62" s="243">
        <f>SUM($C$58:D60)/SUM($C$61:D61)</f>
        <v>23.737093045964045</v>
      </c>
      <c r="E62" s="243">
        <f>SUM($C$58:E60)/SUM($C$61:E61)</f>
        <v>24.198023444754615</v>
      </c>
      <c r="F62" s="243">
        <f>SUM($C$58:F60)/SUM($C$61:F61)</f>
        <v>22.79129462472935</v>
      </c>
      <c r="G62" s="243">
        <f>SUM($C$58:G60)/SUM($C$61:G61)</f>
        <v>24.534325890396293</v>
      </c>
      <c r="H62" s="243">
        <f>SUM($C$58:H60)/SUM($C$61:H61)</f>
        <v>23.584802589056018</v>
      </c>
      <c r="I62" s="243">
        <f>SUM($C$58:I60)/SUM($C$61:I61)</f>
        <v>22.672418171877979</v>
      </c>
      <c r="J62" s="243">
        <f>SUM($C$58:J60)/SUM($C$61:J61)</f>
        <v>21.80395696809768</v>
      </c>
      <c r="K62" s="243">
        <f>SUM($C$58:K60)/SUM($C$61:K61)</f>
        <v>21.71649004462385</v>
      </c>
      <c r="L62" s="243">
        <f>SUM($C$58:L60)/SUM($C$61:L61)</f>
        <v>22.876100999680062</v>
      </c>
      <c r="M62" s="243">
        <f>SUM($C$58:M60)/SUM($C$61:M61)</f>
        <v>23.916952059045812</v>
      </c>
      <c r="N62" s="243">
        <f>SUM($C$58:N60)/SUM($C$61:N61)</f>
        <v>24.554780261657829</v>
      </c>
      <c r="O62" s="3"/>
      <c r="P62" s="3"/>
      <c r="Q62" s="3"/>
      <c r="R62" s="3"/>
      <c r="S62" s="3"/>
      <c r="T62" s="3"/>
      <c r="U62" s="3"/>
      <c r="V62" s="3"/>
      <c r="W62" s="3"/>
      <c r="X62" s="3"/>
      <c r="Y62" s="3"/>
      <c r="Z62" s="3"/>
    </row>
    <row r="63" spans="1:26" ht="13.5" customHeight="1">
      <c r="A63" s="1"/>
      <c r="B63" s="3"/>
      <c r="C63" s="74"/>
      <c r="D63" s="74"/>
      <c r="E63" s="74"/>
      <c r="F63" s="74"/>
      <c r="G63" s="74"/>
      <c r="H63" s="74"/>
      <c r="I63" s="74"/>
      <c r="J63" s="74"/>
      <c r="K63" s="74"/>
      <c r="L63" s="74"/>
      <c r="M63" s="74"/>
      <c r="N63" s="74"/>
      <c r="O63" s="3"/>
      <c r="P63" s="3"/>
      <c r="Q63" s="3"/>
      <c r="R63" s="3"/>
      <c r="S63" s="3"/>
      <c r="T63" s="3"/>
      <c r="U63" s="3"/>
      <c r="V63" s="3"/>
      <c r="W63" s="3"/>
      <c r="X63" s="3"/>
      <c r="Y63" s="3"/>
      <c r="Z63" s="3"/>
    </row>
    <row r="64" spans="1:26" ht="13.5" customHeight="1">
      <c r="A64" s="131" t="s">
        <v>132</v>
      </c>
      <c r="B64" s="163"/>
      <c r="C64" s="163"/>
      <c r="D64" s="163"/>
      <c r="E64" s="163"/>
      <c r="F64" s="163"/>
      <c r="G64" s="163"/>
      <c r="H64" s="163"/>
      <c r="I64" s="163"/>
      <c r="J64" s="163"/>
      <c r="K64" s="163"/>
      <c r="L64" s="163"/>
      <c r="M64" s="163"/>
      <c r="N64" s="163"/>
      <c r="O64" s="163"/>
      <c r="P64" s="163"/>
      <c r="Q64" s="163"/>
      <c r="R64" s="163"/>
      <c r="S64" s="163"/>
      <c r="T64" s="163"/>
      <c r="U64" s="163"/>
      <c r="V64" s="163"/>
      <c r="W64" s="163"/>
      <c r="X64" s="163"/>
      <c r="Y64" s="163"/>
      <c r="Z64" s="163"/>
    </row>
    <row r="65" spans="1:26" ht="13.5" customHeight="1">
      <c r="A65" s="131" t="s">
        <v>119</v>
      </c>
      <c r="B65" s="131"/>
      <c r="C65" s="13" t="s">
        <v>43</v>
      </c>
      <c r="D65" s="13" t="s">
        <v>44</v>
      </c>
      <c r="E65" s="13" t="s">
        <v>45</v>
      </c>
      <c r="F65" s="13" t="s">
        <v>46</v>
      </c>
      <c r="G65" s="13" t="s">
        <v>47</v>
      </c>
      <c r="H65" s="13" t="s">
        <v>48</v>
      </c>
      <c r="I65" s="13" t="s">
        <v>49</v>
      </c>
      <c r="J65" s="13" t="s">
        <v>50</v>
      </c>
      <c r="K65" s="13" t="s">
        <v>51</v>
      </c>
      <c r="L65" s="13" t="s">
        <v>52</v>
      </c>
      <c r="M65" s="13" t="s">
        <v>53</v>
      </c>
      <c r="N65" s="13" t="s">
        <v>54</v>
      </c>
      <c r="O65" s="132"/>
      <c r="P65" s="132"/>
      <c r="Q65" s="132"/>
      <c r="R65" s="132"/>
      <c r="S65" s="132"/>
      <c r="T65" s="132"/>
      <c r="U65" s="132"/>
      <c r="V65" s="132"/>
      <c r="W65" s="132"/>
      <c r="X65" s="132"/>
      <c r="Y65" s="132"/>
      <c r="Z65" s="132"/>
    </row>
    <row r="66" spans="1:26" ht="13.5" customHeight="1">
      <c r="A66" s="170" t="s">
        <v>110</v>
      </c>
      <c r="B66" s="170" t="s">
        <v>121</v>
      </c>
      <c r="C66" s="240">
        <f>'Variance Analysis'!C24</f>
        <v>18333234.599999998</v>
      </c>
      <c r="D66" s="240">
        <f>'Variance Analysis'!D24</f>
        <v>18175809.440000001</v>
      </c>
      <c r="E66" s="240">
        <f>'Variance Analysis'!E24</f>
        <v>24520840.240000002</v>
      </c>
      <c r="F66" s="240">
        <f>'Variance Analysis'!F24</f>
        <v>24546501.299999997</v>
      </c>
      <c r="G66" s="240">
        <f>'Variance Analysis'!G24</f>
        <v>26304420.650000002</v>
      </c>
      <c r="H66" s="240">
        <f>'Variance Analysis'!H24</f>
        <v>17038222.419999998</v>
      </c>
      <c r="I66" s="240">
        <f>'Variance Analysis'!I24</f>
        <v>15566958.25</v>
      </c>
      <c r="J66" s="240">
        <f>'Variance Analysis'!J24</f>
        <v>15139947.07</v>
      </c>
      <c r="K66" s="240">
        <f>'Variance Analysis'!K24</f>
        <v>16394331.83</v>
      </c>
      <c r="L66" s="240">
        <f>'Variance Analysis'!L24</f>
        <v>18260204.530000001</v>
      </c>
      <c r="M66" s="240">
        <f>'Variance Analysis'!M24</f>
        <v>18516572.860000003</v>
      </c>
      <c r="N66" s="240">
        <f>'Variance Analysis'!N24</f>
        <v>20655581.139999997</v>
      </c>
      <c r="O66" s="3"/>
      <c r="P66" s="3"/>
      <c r="Q66" s="3"/>
      <c r="R66" s="3"/>
      <c r="S66" s="3"/>
      <c r="T66" s="3"/>
      <c r="U66" s="3"/>
      <c r="V66" s="3"/>
      <c r="W66" s="3"/>
      <c r="X66" s="3"/>
      <c r="Y66" s="3"/>
      <c r="Z66" s="3"/>
    </row>
    <row r="67" spans="1:26" ht="13.5" customHeight="1">
      <c r="A67" s="170" t="s">
        <v>111</v>
      </c>
      <c r="B67" s="170" t="s">
        <v>121</v>
      </c>
      <c r="C67" s="240">
        <f>'Variance Analysis'!C22</f>
        <v>350895</v>
      </c>
      <c r="D67" s="240">
        <f>'Variance Analysis'!D22</f>
        <v>350895</v>
      </c>
      <c r="E67" s="240">
        <f>'Variance Analysis'!E22</f>
        <v>350895</v>
      </c>
      <c r="F67" s="240">
        <f>'Variance Analysis'!F22</f>
        <v>342470</v>
      </c>
      <c r="G67" s="240">
        <f>'Variance Analysis'!G22</f>
        <v>342470</v>
      </c>
      <c r="H67" s="240">
        <f>'Variance Analysis'!H22</f>
        <v>763807</v>
      </c>
      <c r="I67" s="240">
        <f>'Variance Analysis'!I22</f>
        <v>763807</v>
      </c>
      <c r="J67" s="240">
        <f>'Variance Analysis'!J22</f>
        <v>1166828</v>
      </c>
      <c r="K67" s="240">
        <f>'Variance Analysis'!K22</f>
        <v>1166828</v>
      </c>
      <c r="L67" s="240">
        <f>'Variance Analysis'!L22</f>
        <v>342470</v>
      </c>
      <c r="M67" s="240">
        <f>'Variance Analysis'!M22</f>
        <v>342470</v>
      </c>
      <c r="N67" s="240">
        <f>'Variance Analysis'!N22</f>
        <v>342470</v>
      </c>
      <c r="O67" s="3"/>
      <c r="P67" s="3"/>
      <c r="Q67" s="3"/>
      <c r="R67" s="3"/>
      <c r="S67" s="3"/>
      <c r="T67" s="3"/>
      <c r="U67" s="3"/>
      <c r="V67" s="3"/>
      <c r="W67" s="3"/>
      <c r="X67" s="3"/>
      <c r="Y67" s="3"/>
      <c r="Z67" s="3"/>
    </row>
    <row r="68" spans="1:26" ht="13.5" customHeight="1">
      <c r="A68" s="170" t="s">
        <v>112</v>
      </c>
      <c r="B68" s="170" t="s">
        <v>121</v>
      </c>
      <c r="C68" s="240">
        <f>'Variance Analysis'!C23</f>
        <v>513912.54</v>
      </c>
      <c r="D68" s="240">
        <f>'Variance Analysis'!D23</f>
        <v>518662.54</v>
      </c>
      <c r="E68" s="240">
        <f>'Variance Analysis'!E23</f>
        <v>513836.27999999997</v>
      </c>
      <c r="F68" s="240">
        <f>'Variance Analysis'!F23</f>
        <v>513912.54</v>
      </c>
      <c r="G68" s="240">
        <f>'Variance Analysis'!G23</f>
        <v>513912.54</v>
      </c>
      <c r="H68" s="240">
        <f>'Variance Analysis'!H23</f>
        <v>513912.54</v>
      </c>
      <c r="I68" s="240">
        <f>'Variance Analysis'!I23</f>
        <v>513912.54</v>
      </c>
      <c r="J68" s="240">
        <f>'Variance Analysis'!J23</f>
        <v>518662.54</v>
      </c>
      <c r="K68" s="240">
        <f>'Variance Analysis'!K23</f>
        <v>513912.54</v>
      </c>
      <c r="L68" s="240">
        <f>'Variance Analysis'!L23</f>
        <v>513912.54</v>
      </c>
      <c r="M68" s="240">
        <f>'Variance Analysis'!M23</f>
        <v>513912.54</v>
      </c>
      <c r="N68" s="240">
        <f>'Variance Analysis'!N23</f>
        <v>513912.54</v>
      </c>
      <c r="O68" s="3"/>
      <c r="P68" s="3"/>
      <c r="Q68" s="3"/>
      <c r="R68" s="3"/>
      <c r="S68" s="3"/>
      <c r="T68" s="3"/>
      <c r="U68" s="3"/>
      <c r="V68" s="3"/>
      <c r="W68" s="3"/>
      <c r="X68" s="3"/>
      <c r="Y68" s="3"/>
      <c r="Z68" s="3"/>
    </row>
    <row r="69" spans="1:26" ht="13.5" customHeight="1">
      <c r="A69" s="170" t="s">
        <v>55</v>
      </c>
      <c r="B69" s="170" t="s">
        <v>122</v>
      </c>
      <c r="C69" s="241">
        <f>C45</f>
        <v>171933.291</v>
      </c>
      <c r="D69" s="241">
        <f t="shared" ref="D69:N69" si="3">D45</f>
        <v>185443.943</v>
      </c>
      <c r="E69" s="241">
        <f t="shared" si="3"/>
        <v>186773.65699999998</v>
      </c>
      <c r="F69" s="241">
        <f t="shared" si="3"/>
        <v>190541.09299999999</v>
      </c>
      <c r="G69" s="241">
        <f t="shared" si="3"/>
        <v>95096.062000000005</v>
      </c>
      <c r="H69" s="241">
        <f t="shared" si="3"/>
        <v>184306.853</v>
      </c>
      <c r="I69" s="241">
        <f t="shared" si="3"/>
        <v>181901.43900000001</v>
      </c>
      <c r="J69" s="241">
        <f t="shared" si="3"/>
        <v>149586.76500000001</v>
      </c>
      <c r="K69" s="241">
        <f t="shared" si="3"/>
        <v>181403.67599999998</v>
      </c>
      <c r="L69" s="241">
        <f t="shared" si="3"/>
        <v>171057.864</v>
      </c>
      <c r="M69" s="241">
        <f t="shared" si="3"/>
        <v>165286.99900000001</v>
      </c>
      <c r="N69" s="241">
        <f t="shared" si="3"/>
        <v>149508.717</v>
      </c>
      <c r="O69" s="3"/>
      <c r="P69" s="3"/>
      <c r="Q69" s="3"/>
      <c r="R69" s="3"/>
      <c r="S69" s="3"/>
      <c r="T69" s="3"/>
      <c r="U69" s="3"/>
      <c r="V69" s="3"/>
      <c r="W69" s="3"/>
      <c r="X69" s="3"/>
      <c r="Y69" s="3"/>
      <c r="Z69" s="3"/>
    </row>
    <row r="70" spans="1:26" ht="13.5" customHeight="1">
      <c r="A70" s="170" t="s">
        <v>69</v>
      </c>
      <c r="B70" s="170" t="s">
        <v>122</v>
      </c>
      <c r="C70" s="241">
        <f>C53</f>
        <v>211968.99900000001</v>
      </c>
      <c r="D70" s="241">
        <f t="shared" ref="D70:N70" si="4">D53</f>
        <v>224199.05100000001</v>
      </c>
      <c r="E70" s="241">
        <f t="shared" si="4"/>
        <v>220536.46699999998</v>
      </c>
      <c r="F70" s="241">
        <f t="shared" si="4"/>
        <v>306760.27599999995</v>
      </c>
      <c r="G70" s="241">
        <f t="shared" si="4"/>
        <v>260052.864</v>
      </c>
      <c r="H70" s="241">
        <f t="shared" si="4"/>
        <v>240210.16</v>
      </c>
      <c r="I70" s="241">
        <f t="shared" si="4"/>
        <v>258160.549</v>
      </c>
      <c r="J70" s="241">
        <f t="shared" si="4"/>
        <v>310884.52399999998</v>
      </c>
      <c r="K70" s="241">
        <f t="shared" si="4"/>
        <v>347651.00599999999</v>
      </c>
      <c r="L70" s="241">
        <f t="shared" si="4"/>
        <v>271990.16599999997</v>
      </c>
      <c r="M70" s="241">
        <f t="shared" si="4"/>
        <v>301185.12999999995</v>
      </c>
      <c r="N70" s="241">
        <f t="shared" si="4"/>
        <v>299782.89299999998</v>
      </c>
      <c r="O70" s="3"/>
      <c r="P70" s="3"/>
      <c r="Q70" s="3"/>
      <c r="R70" s="3"/>
      <c r="S70" s="3"/>
      <c r="T70" s="3"/>
      <c r="U70" s="3"/>
      <c r="V70" s="3"/>
      <c r="W70" s="3"/>
      <c r="X70" s="3"/>
      <c r="Y70" s="3"/>
      <c r="Z70" s="3"/>
    </row>
    <row r="71" spans="1:26" ht="13.5" customHeight="1" thickBot="1">
      <c r="A71" s="170" t="s">
        <v>84</v>
      </c>
      <c r="B71" s="170" t="s">
        <v>122</v>
      </c>
      <c r="C71" s="241">
        <f>C61</f>
        <v>234241.99100000001</v>
      </c>
      <c r="D71" s="241">
        <f t="shared" ref="D71:N71" si="5">D61</f>
        <v>203740.70300000001</v>
      </c>
      <c r="E71" s="241">
        <f t="shared" si="5"/>
        <v>192235.46099999998</v>
      </c>
      <c r="F71" s="241">
        <f t="shared" si="5"/>
        <v>176369.56599999999</v>
      </c>
      <c r="G71" s="241">
        <f t="shared" si="5"/>
        <v>206091.05</v>
      </c>
      <c r="H71" s="241">
        <f t="shared" si="5"/>
        <v>141321.56660000002</v>
      </c>
      <c r="I71" s="241">
        <f t="shared" si="5"/>
        <v>214202.497</v>
      </c>
      <c r="J71" s="241">
        <f t="shared" si="5"/>
        <v>211430.19899999999</v>
      </c>
      <c r="K71" s="241">
        <f t="shared" si="5"/>
        <v>141814.217</v>
      </c>
      <c r="L71" s="241">
        <f t="shared" si="5"/>
        <v>118441.136</v>
      </c>
      <c r="M71" s="241">
        <f t="shared" si="5"/>
        <v>116407.36900000001</v>
      </c>
      <c r="N71" s="241">
        <f t="shared" si="5"/>
        <v>140380.33399999997</v>
      </c>
      <c r="O71" s="3"/>
      <c r="P71" s="3"/>
      <c r="Q71" s="3"/>
      <c r="R71" s="3"/>
      <c r="S71" s="3"/>
      <c r="T71" s="3"/>
      <c r="U71" s="3"/>
      <c r="V71" s="3"/>
      <c r="W71" s="3"/>
      <c r="X71" s="3"/>
      <c r="Y71" s="3"/>
      <c r="Z71" s="3"/>
    </row>
    <row r="72" spans="1:26" ht="13.5" customHeight="1" thickTop="1" thickBot="1">
      <c r="A72" s="66" t="s">
        <v>129</v>
      </c>
      <c r="B72" s="67" t="s">
        <v>124</v>
      </c>
      <c r="C72" s="243">
        <f>SUM($C$66:C68)/SUM($C$69:C71)</f>
        <v>31.057542276282895</v>
      </c>
      <c r="D72" s="243">
        <f>SUM($C$66:D68)/SUM($C$69:D71)</f>
        <v>31.053625904713304</v>
      </c>
      <c r="E72" s="243">
        <f>SUM($C$66:E68)/SUM($C$69:E71)</f>
        <v>34.749549076417971</v>
      </c>
      <c r="F72" s="243">
        <f>SUM($C$66:F68)/SUM($C$69:F71)</f>
        <v>35.545287972921223</v>
      </c>
      <c r="G72" s="243">
        <f>SUM($C$66:G68)/SUM($C$69:G71)</f>
        <v>37.897343791311066</v>
      </c>
      <c r="H72" s="243">
        <f>SUM($C$66:H68)/SUM($C$69:H71)</f>
        <v>37.036113170951431</v>
      </c>
      <c r="I72" s="243">
        <f>SUM($C$66:I68)/SUM($C$69:I71)</f>
        <v>35.312691599723536</v>
      </c>
      <c r="J72" s="243">
        <f>SUM($C$66:J68)/SUM($C$69:J71)</f>
        <v>33.920753782976895</v>
      </c>
      <c r="K72" s="243">
        <f>SUM($C$66:K68)/SUM($C$69:K71)</f>
        <v>33.089091936913015</v>
      </c>
      <c r="L72" s="243">
        <f>SUM($C$66:L68)/SUM($C$69:L71)</f>
        <v>33.17590781762101</v>
      </c>
      <c r="M72" s="243">
        <f>SUM($C$66:M68)/SUM($C$69:M71)</f>
        <v>33.181134116358031</v>
      </c>
      <c r="N72" s="243">
        <f>SUM($C$66:N68)/SUM($C$69:N71)</f>
        <v>33.445429463170441</v>
      </c>
      <c r="O72" s="3"/>
      <c r="P72" s="3"/>
      <c r="Q72" s="3"/>
      <c r="R72" s="3"/>
      <c r="S72" s="3"/>
      <c r="T72" s="3"/>
      <c r="U72" s="3"/>
      <c r="V72" s="3"/>
      <c r="W72" s="3"/>
      <c r="X72" s="3"/>
      <c r="Y72" s="3"/>
      <c r="Z72" s="3"/>
    </row>
    <row r="73" spans="1:26"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39.75" customHeight="1">
      <c r="A74" s="151" t="s">
        <v>133</v>
      </c>
      <c r="B74" s="150"/>
      <c r="C74" s="171"/>
      <c r="D74" s="171"/>
      <c r="E74" s="171"/>
      <c r="F74" s="171"/>
      <c r="G74" s="171"/>
      <c r="H74" s="171"/>
      <c r="I74" s="171"/>
      <c r="J74" s="171"/>
      <c r="K74" s="171"/>
      <c r="L74" s="171"/>
      <c r="M74" s="171"/>
      <c r="N74" s="171"/>
      <c r="O74" s="172"/>
      <c r="P74" s="172"/>
      <c r="Q74" s="172"/>
      <c r="R74" s="172"/>
      <c r="S74" s="172"/>
      <c r="T74" s="172"/>
      <c r="U74" s="172"/>
      <c r="V74" s="172"/>
      <c r="W74" s="172"/>
      <c r="X74" s="172"/>
      <c r="Y74" s="172"/>
      <c r="Z74" s="172"/>
    </row>
    <row r="75" spans="1:26"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3.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3.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3.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3.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3.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3.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3.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13.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13.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13.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13.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3.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ht="13.5" customHeight="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sheetData>
  <mergeCells count="2">
    <mergeCell ref="A1:K2"/>
    <mergeCell ref="A5:L5"/>
  </mergeCells>
  <pageMargins left="0.7" right="0.7" top="0.75" bottom="0.75" header="0" footer="0"/>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1"/>
  </sheetPr>
  <dimension ref="A1:AA1007"/>
  <sheetViews>
    <sheetView showGridLines="0" topLeftCell="A31" workbookViewId="0">
      <selection activeCell="E8" sqref="E8"/>
    </sheetView>
  </sheetViews>
  <sheetFormatPr baseColWidth="10" defaultColWidth="14.5" defaultRowHeight="15" customHeight="1"/>
  <cols>
    <col min="1" max="2" width="28.1640625" customWidth="1"/>
    <col min="3" max="3" width="27.5" customWidth="1"/>
    <col min="4" max="4" width="34" customWidth="1"/>
    <col min="5" max="16" width="17.83203125" customWidth="1"/>
    <col min="17" max="17" width="16" customWidth="1"/>
    <col min="18" max="18" width="15.5" customWidth="1"/>
    <col min="19" max="25" width="16" customWidth="1"/>
    <col min="26" max="26" width="17.1640625" customWidth="1"/>
  </cols>
  <sheetData>
    <row r="1" spans="1:27" ht="12" customHeight="1">
      <c r="A1" s="4"/>
      <c r="B1" s="4"/>
      <c r="C1" s="4"/>
      <c r="D1" s="4"/>
      <c r="E1" s="4"/>
      <c r="F1" s="4"/>
      <c r="G1" s="4"/>
      <c r="H1" s="4"/>
      <c r="I1" s="4"/>
      <c r="J1" s="4"/>
      <c r="K1" s="4"/>
      <c r="L1" s="4"/>
      <c r="M1" s="4"/>
      <c r="N1" s="4"/>
      <c r="O1" s="4"/>
      <c r="P1" s="4"/>
      <c r="Q1" s="4"/>
      <c r="R1" s="4"/>
      <c r="S1" s="4"/>
      <c r="T1" s="4"/>
      <c r="U1" s="4"/>
      <c r="V1" s="4"/>
      <c r="W1" s="4"/>
      <c r="X1" s="4"/>
      <c r="Y1" s="4"/>
      <c r="Z1" s="4"/>
    </row>
    <row r="2" spans="1:27" ht="34.5" customHeight="1">
      <c r="A2" s="159" t="s">
        <v>147</v>
      </c>
      <c r="B2" s="159"/>
      <c r="C2" s="159"/>
      <c r="D2" s="159"/>
      <c r="E2" s="79"/>
      <c r="F2" s="79"/>
      <c r="G2" s="79"/>
      <c r="H2" s="79"/>
      <c r="I2" s="79"/>
      <c r="J2" s="79"/>
      <c r="K2" s="79"/>
      <c r="L2" s="79"/>
      <c r="M2" s="79"/>
      <c r="N2" s="79"/>
      <c r="O2" s="79"/>
      <c r="P2" s="79"/>
      <c r="Q2" s="159"/>
      <c r="R2" s="159"/>
      <c r="S2" s="159"/>
      <c r="T2" s="159"/>
      <c r="U2" s="159"/>
      <c r="V2" s="159"/>
      <c r="W2" s="159"/>
      <c r="X2" s="159"/>
      <c r="Y2" s="159"/>
      <c r="Z2" s="159"/>
      <c r="AA2" s="179"/>
    </row>
    <row r="3" spans="1:27" ht="12" customHeight="1">
      <c r="A3" s="80"/>
      <c r="B3" s="81" t="s">
        <v>148</v>
      </c>
      <c r="C3" s="82" t="s">
        <v>41</v>
      </c>
      <c r="D3" s="80" t="s">
        <v>149</v>
      </c>
      <c r="E3" s="83">
        <v>41456</v>
      </c>
      <c r="F3" s="83">
        <v>41487</v>
      </c>
      <c r="G3" s="83">
        <v>41518</v>
      </c>
      <c r="H3" s="83">
        <v>41548</v>
      </c>
      <c r="I3" s="83">
        <v>41579</v>
      </c>
      <c r="J3" s="83">
        <v>41609</v>
      </c>
      <c r="K3" s="83">
        <v>41640</v>
      </c>
      <c r="L3" s="83">
        <v>41671</v>
      </c>
      <c r="M3" s="83">
        <v>41699</v>
      </c>
      <c r="N3" s="83">
        <v>41730</v>
      </c>
      <c r="O3" s="83">
        <v>41760</v>
      </c>
      <c r="P3" s="83">
        <v>41791</v>
      </c>
      <c r="Q3" s="131"/>
      <c r="R3" s="131"/>
      <c r="S3" s="131"/>
      <c r="T3" s="131"/>
      <c r="U3" s="131"/>
      <c r="V3" s="131"/>
      <c r="W3" s="131"/>
      <c r="X3" s="131"/>
      <c r="Y3" s="131"/>
      <c r="Z3" s="131"/>
      <c r="AA3" s="149"/>
    </row>
    <row r="4" spans="1:27" ht="12" customHeight="1">
      <c r="A4" s="84"/>
      <c r="B4" s="85"/>
      <c r="C4" s="86"/>
      <c r="D4" s="87"/>
      <c r="E4" s="88" t="s">
        <v>43</v>
      </c>
      <c r="F4" s="88" t="s">
        <v>44</v>
      </c>
      <c r="G4" s="88" t="s">
        <v>45</v>
      </c>
      <c r="H4" s="88" t="s">
        <v>46</v>
      </c>
      <c r="I4" s="88" t="s">
        <v>47</v>
      </c>
      <c r="J4" s="88" t="s">
        <v>48</v>
      </c>
      <c r="K4" s="88" t="s">
        <v>49</v>
      </c>
      <c r="L4" s="88" t="s">
        <v>50</v>
      </c>
      <c r="M4" s="88" t="s">
        <v>51</v>
      </c>
      <c r="N4" s="88" t="s">
        <v>52</v>
      </c>
      <c r="O4" s="88" t="s">
        <v>53</v>
      </c>
      <c r="P4" s="88" t="s">
        <v>54</v>
      </c>
      <c r="Q4" s="180"/>
      <c r="R4" s="180"/>
      <c r="S4" s="180"/>
      <c r="T4" s="180"/>
      <c r="U4" s="180"/>
      <c r="V4" s="180"/>
      <c r="W4" s="180"/>
      <c r="X4" s="180"/>
      <c r="Y4" s="180"/>
      <c r="Z4" s="180"/>
      <c r="AA4" s="149"/>
    </row>
    <row r="5" spans="1:27" ht="25.5" customHeight="1">
      <c r="A5" s="181" t="s">
        <v>150</v>
      </c>
      <c r="B5" s="182"/>
      <c r="C5" s="183"/>
      <c r="D5" s="89"/>
      <c r="E5" s="90"/>
      <c r="F5" s="90"/>
      <c r="G5" s="90"/>
      <c r="H5" s="90"/>
      <c r="I5" s="90"/>
      <c r="J5" s="90"/>
      <c r="K5" s="90"/>
      <c r="L5" s="90"/>
      <c r="M5" s="90"/>
      <c r="N5" s="90"/>
      <c r="O5" s="90"/>
      <c r="P5" s="90"/>
      <c r="Q5" s="173"/>
      <c r="R5" s="173"/>
      <c r="S5" s="173"/>
      <c r="T5" s="173"/>
      <c r="U5" s="173"/>
      <c r="V5" s="173"/>
      <c r="W5" s="173"/>
      <c r="X5" s="173"/>
      <c r="Y5" s="173"/>
      <c r="Z5" s="173"/>
      <c r="AA5" s="175"/>
    </row>
    <row r="6" spans="1:27" ht="12" customHeight="1">
      <c r="A6" s="91" t="s">
        <v>55</v>
      </c>
      <c r="B6" s="91" t="s">
        <v>56</v>
      </c>
      <c r="C6" s="92" t="s">
        <v>60</v>
      </c>
      <c r="D6" s="93" t="s">
        <v>58</v>
      </c>
      <c r="E6" s="94">
        <v>-33635</v>
      </c>
      <c r="F6" s="94">
        <v>-33635</v>
      </c>
      <c r="G6" s="94">
        <v>-32550</v>
      </c>
      <c r="H6" s="94">
        <v>-33635</v>
      </c>
      <c r="I6" s="94">
        <v>-32550</v>
      </c>
      <c r="J6" s="94">
        <v>-33635</v>
      </c>
      <c r="K6" s="94">
        <v>-33635</v>
      </c>
      <c r="L6" s="94">
        <v>-30380</v>
      </c>
      <c r="M6" s="94">
        <v>-33635</v>
      </c>
      <c r="N6" s="94">
        <v>-32550</v>
      </c>
      <c r="O6" s="94">
        <v>-33635</v>
      </c>
      <c r="P6" s="94">
        <v>-32550</v>
      </c>
      <c r="Q6" s="95"/>
      <c r="R6" s="95"/>
      <c r="S6" s="95"/>
      <c r="T6" s="95"/>
      <c r="U6" s="95"/>
      <c r="V6" s="95"/>
      <c r="W6" s="95"/>
      <c r="X6" s="95"/>
      <c r="Y6" s="95"/>
      <c r="Z6" s="95"/>
    </row>
    <row r="7" spans="1:27" ht="12" customHeight="1">
      <c r="A7" s="91" t="s">
        <v>55</v>
      </c>
      <c r="B7" s="91" t="s">
        <v>56</v>
      </c>
      <c r="C7" s="92" t="s">
        <v>60</v>
      </c>
      <c r="D7" s="93" t="s">
        <v>62</v>
      </c>
      <c r="E7" s="94">
        <v>-2100</v>
      </c>
      <c r="F7" s="94">
        <v>-2100</v>
      </c>
      <c r="G7" s="94">
        <v>-2100</v>
      </c>
      <c r="H7" s="94">
        <v>-2100</v>
      </c>
      <c r="I7" s="94">
        <v>-2100</v>
      </c>
      <c r="J7" s="94">
        <v>-2100</v>
      </c>
      <c r="K7" s="94">
        <v>-2100</v>
      </c>
      <c r="L7" s="94">
        <v>-2100</v>
      </c>
      <c r="M7" s="94">
        <v>-2100</v>
      </c>
      <c r="N7" s="94">
        <v>-2100</v>
      </c>
      <c r="O7" s="94">
        <v>-2100</v>
      </c>
      <c r="P7" s="94">
        <v>-2100</v>
      </c>
      <c r="Q7" s="95"/>
      <c r="R7" s="95"/>
      <c r="S7" s="95"/>
      <c r="T7" s="95"/>
      <c r="U7" s="95"/>
      <c r="V7" s="95"/>
      <c r="W7" s="95"/>
      <c r="X7" s="95"/>
      <c r="Y7" s="95"/>
      <c r="Z7" s="95"/>
    </row>
    <row r="8" spans="1:27" ht="12" customHeight="1">
      <c r="A8" s="91" t="s">
        <v>55</v>
      </c>
      <c r="B8" s="91" t="s">
        <v>56</v>
      </c>
      <c r="C8" s="92" t="s">
        <v>64</v>
      </c>
      <c r="D8" s="93" t="s">
        <v>58</v>
      </c>
      <c r="E8" s="94">
        <v>-8177640.7000000002</v>
      </c>
      <c r="F8" s="94">
        <v>-5932544.7000000002</v>
      </c>
      <c r="G8" s="94">
        <v>-5909109.7000000002</v>
      </c>
      <c r="H8" s="94">
        <v>-4369816.2300000004</v>
      </c>
      <c r="I8" s="94">
        <v>-7216006.2300000004</v>
      </c>
      <c r="J8" s="94">
        <v>-7965482.2300000004</v>
      </c>
      <c r="K8" s="94">
        <v>-10428957.23</v>
      </c>
      <c r="L8" s="94">
        <v>-9696384.2300000004</v>
      </c>
      <c r="M8" s="94">
        <v>-10403739.23</v>
      </c>
      <c r="N8" s="94">
        <v>-8059346.2300000004</v>
      </c>
      <c r="O8" s="94">
        <v>-7432112.2300000004</v>
      </c>
      <c r="P8" s="94">
        <v>-7981183.2300000004</v>
      </c>
      <c r="Q8" s="95"/>
      <c r="R8" s="95"/>
      <c r="S8" s="95"/>
      <c r="T8" s="95"/>
      <c r="U8" s="95"/>
      <c r="V8" s="95"/>
      <c r="W8" s="95"/>
      <c r="X8" s="95"/>
      <c r="Y8" s="95"/>
      <c r="Z8" s="95"/>
    </row>
    <row r="9" spans="1:27" ht="12" customHeight="1">
      <c r="A9" s="91" t="s">
        <v>55</v>
      </c>
      <c r="B9" s="91" t="s">
        <v>65</v>
      </c>
      <c r="C9" s="96" t="s">
        <v>66</v>
      </c>
      <c r="D9" s="93" t="s">
        <v>62</v>
      </c>
      <c r="E9" s="94">
        <v>30000</v>
      </c>
      <c r="F9" s="94">
        <v>30000</v>
      </c>
      <c r="G9" s="94">
        <v>30000</v>
      </c>
      <c r="H9" s="94">
        <v>30000</v>
      </c>
      <c r="I9" s="94">
        <v>30000</v>
      </c>
      <c r="J9" s="94">
        <v>30000</v>
      </c>
      <c r="K9" s="94">
        <v>30000</v>
      </c>
      <c r="L9" s="94">
        <v>30000</v>
      </c>
      <c r="M9" s="94">
        <v>30000</v>
      </c>
      <c r="N9" s="94">
        <v>30000</v>
      </c>
      <c r="O9" s="94">
        <v>30000</v>
      </c>
      <c r="P9" s="94">
        <v>30000</v>
      </c>
      <c r="Q9" s="95"/>
      <c r="R9" s="95"/>
      <c r="S9" s="95"/>
      <c r="T9" s="95"/>
      <c r="U9" s="95"/>
      <c r="V9" s="95"/>
      <c r="W9" s="95"/>
      <c r="X9" s="95"/>
      <c r="Y9" s="95"/>
      <c r="Z9" s="95"/>
    </row>
    <row r="10" spans="1:27" ht="12" customHeight="1">
      <c r="A10" s="91" t="s">
        <v>55</v>
      </c>
      <c r="B10" s="91" t="s">
        <v>28</v>
      </c>
      <c r="C10" s="96" t="s">
        <v>67</v>
      </c>
      <c r="D10" s="93" t="s">
        <v>68</v>
      </c>
      <c r="E10" s="94">
        <v>0</v>
      </c>
      <c r="F10" s="94">
        <v>0</v>
      </c>
      <c r="G10" s="94">
        <v>0</v>
      </c>
      <c r="H10" s="94">
        <v>0</v>
      </c>
      <c r="I10" s="94">
        <v>0</v>
      </c>
      <c r="J10" s="94">
        <v>0</v>
      </c>
      <c r="K10" s="94">
        <v>0</v>
      </c>
      <c r="L10" s="94">
        <v>0</v>
      </c>
      <c r="M10" s="94">
        <v>0</v>
      </c>
      <c r="N10" s="94">
        <v>0</v>
      </c>
      <c r="O10" s="94">
        <v>0</v>
      </c>
      <c r="P10" s="94">
        <v>0</v>
      </c>
      <c r="Q10" s="95"/>
      <c r="R10" s="95"/>
      <c r="S10" s="95"/>
      <c r="T10" s="95"/>
      <c r="U10" s="95"/>
      <c r="V10" s="95"/>
      <c r="W10" s="95"/>
      <c r="X10" s="95"/>
      <c r="Y10" s="95"/>
      <c r="Z10" s="95"/>
    </row>
    <row r="11" spans="1:27" ht="12" customHeight="1">
      <c r="A11" s="91" t="s">
        <v>55</v>
      </c>
      <c r="B11" s="91" t="s">
        <v>28</v>
      </c>
      <c r="C11" s="96" t="s">
        <v>67</v>
      </c>
      <c r="D11" s="93" t="s">
        <v>61</v>
      </c>
      <c r="E11" s="94">
        <v>30000</v>
      </c>
      <c r="F11" s="94">
        <v>30000</v>
      </c>
      <c r="G11" s="94">
        <v>30000</v>
      </c>
      <c r="H11" s="94">
        <v>30000</v>
      </c>
      <c r="I11" s="94">
        <v>30000</v>
      </c>
      <c r="J11" s="94">
        <v>30000</v>
      </c>
      <c r="K11" s="94">
        <v>30000</v>
      </c>
      <c r="L11" s="94">
        <v>30000</v>
      </c>
      <c r="M11" s="94">
        <v>30000</v>
      </c>
      <c r="N11" s="94">
        <v>30000</v>
      </c>
      <c r="O11" s="94">
        <v>30000</v>
      </c>
      <c r="P11" s="94">
        <v>30000</v>
      </c>
      <c r="Q11" s="95"/>
      <c r="R11" s="95"/>
      <c r="S11" s="95"/>
      <c r="T11" s="95"/>
      <c r="U11" s="95"/>
      <c r="V11" s="95"/>
      <c r="W11" s="95"/>
      <c r="X11" s="95"/>
      <c r="Y11" s="95"/>
      <c r="Z11" s="95"/>
    </row>
    <row r="12" spans="1:27" ht="12" customHeight="1">
      <c r="A12" s="91" t="s">
        <v>55</v>
      </c>
      <c r="B12" s="91" t="s">
        <v>28</v>
      </c>
      <c r="C12" s="96" t="s">
        <v>67</v>
      </c>
      <c r="D12" s="93" t="s">
        <v>62</v>
      </c>
      <c r="E12" s="94">
        <v>0</v>
      </c>
      <c r="F12" s="94">
        <v>0</v>
      </c>
      <c r="G12" s="94">
        <v>-76.260000000000005</v>
      </c>
      <c r="H12" s="94">
        <v>0</v>
      </c>
      <c r="I12" s="94">
        <v>0</v>
      </c>
      <c r="J12" s="94">
        <v>0</v>
      </c>
      <c r="K12" s="94">
        <v>0</v>
      </c>
      <c r="L12" s="94">
        <v>0</v>
      </c>
      <c r="M12" s="94">
        <v>0</v>
      </c>
      <c r="N12" s="94">
        <v>0</v>
      </c>
      <c r="O12" s="94">
        <v>0</v>
      </c>
      <c r="P12" s="94">
        <v>0</v>
      </c>
      <c r="Q12" s="95"/>
      <c r="R12" s="95"/>
      <c r="S12" s="95"/>
      <c r="T12" s="95"/>
      <c r="U12" s="95"/>
      <c r="V12" s="95"/>
      <c r="W12" s="95"/>
      <c r="X12" s="95"/>
      <c r="Y12" s="95"/>
      <c r="Z12" s="95"/>
    </row>
    <row r="13" spans="1:27" ht="12" customHeight="1">
      <c r="A13" s="184" t="s">
        <v>55</v>
      </c>
      <c r="B13" s="184" t="s">
        <v>59</v>
      </c>
      <c r="C13" s="185"/>
      <c r="D13" s="97" t="s">
        <v>59</v>
      </c>
      <c r="E13" s="98"/>
      <c r="F13" s="98"/>
      <c r="G13" s="98"/>
      <c r="H13" s="98"/>
      <c r="I13" s="98"/>
      <c r="J13" s="98"/>
      <c r="K13" s="98"/>
      <c r="L13" s="98"/>
      <c r="M13" s="98"/>
      <c r="N13" s="98"/>
      <c r="O13" s="98"/>
      <c r="P13" s="98"/>
      <c r="Q13" s="186"/>
      <c r="R13" s="186"/>
      <c r="S13" s="186"/>
      <c r="T13" s="186"/>
      <c r="U13" s="186"/>
      <c r="V13" s="186"/>
      <c r="W13" s="186"/>
      <c r="X13" s="186"/>
      <c r="Y13" s="186"/>
      <c r="Z13" s="186"/>
      <c r="AA13" s="187"/>
    </row>
    <row r="14" spans="1:27" ht="12" customHeight="1">
      <c r="A14" s="91" t="s">
        <v>55</v>
      </c>
      <c r="B14" s="91" t="s">
        <v>59</v>
      </c>
      <c r="C14" s="96"/>
      <c r="D14" s="93" t="s">
        <v>58</v>
      </c>
      <c r="E14" s="94">
        <f t="shared" ref="E14:P14" si="0">SUMIFS(E$6:E$12,$D$6:$D$12,$D14)</f>
        <v>-8211275.7000000002</v>
      </c>
      <c r="F14" s="94">
        <f t="shared" si="0"/>
        <v>-5966179.7000000002</v>
      </c>
      <c r="G14" s="94">
        <f t="shared" si="0"/>
        <v>-5941659.7000000002</v>
      </c>
      <c r="H14" s="94">
        <f t="shared" si="0"/>
        <v>-4403451.2300000004</v>
      </c>
      <c r="I14" s="94">
        <f t="shared" si="0"/>
        <v>-7248556.2300000004</v>
      </c>
      <c r="J14" s="94">
        <f t="shared" si="0"/>
        <v>-7999117.2300000004</v>
      </c>
      <c r="K14" s="94">
        <f t="shared" si="0"/>
        <v>-10462592.23</v>
      </c>
      <c r="L14" s="94">
        <f t="shared" si="0"/>
        <v>-9726764.2300000004</v>
      </c>
      <c r="M14" s="94">
        <f t="shared" si="0"/>
        <v>-10437374.23</v>
      </c>
      <c r="N14" s="94">
        <f t="shared" si="0"/>
        <v>-8091896.2300000004</v>
      </c>
      <c r="O14" s="94">
        <f t="shared" si="0"/>
        <v>-7465747.2300000004</v>
      </c>
      <c r="P14" s="94">
        <f t="shared" si="0"/>
        <v>-8013733.2300000004</v>
      </c>
      <c r="Q14" s="188"/>
      <c r="R14" s="188"/>
      <c r="S14" s="188"/>
      <c r="T14" s="188"/>
      <c r="U14" s="188"/>
      <c r="V14" s="188"/>
      <c r="W14" s="188"/>
      <c r="X14" s="188"/>
      <c r="Y14" s="188"/>
      <c r="Z14" s="188"/>
    </row>
    <row r="15" spans="1:27" ht="12" customHeight="1">
      <c r="A15" s="91" t="s">
        <v>55</v>
      </c>
      <c r="B15" s="91" t="s">
        <v>59</v>
      </c>
      <c r="C15" s="92"/>
      <c r="D15" s="93" t="s">
        <v>62</v>
      </c>
      <c r="E15" s="94">
        <f t="shared" ref="E15:P15" si="1">SUMIFS(E$6:E$12,$D$6:$D$12,$D15)</f>
        <v>27900</v>
      </c>
      <c r="F15" s="94">
        <f t="shared" si="1"/>
        <v>27900</v>
      </c>
      <c r="G15" s="94">
        <f t="shared" si="1"/>
        <v>27823.74</v>
      </c>
      <c r="H15" s="94">
        <f t="shared" si="1"/>
        <v>27900</v>
      </c>
      <c r="I15" s="94">
        <f t="shared" si="1"/>
        <v>27900</v>
      </c>
      <c r="J15" s="94">
        <f t="shared" si="1"/>
        <v>27900</v>
      </c>
      <c r="K15" s="94">
        <f t="shared" si="1"/>
        <v>27900</v>
      </c>
      <c r="L15" s="94">
        <f t="shared" si="1"/>
        <v>27900</v>
      </c>
      <c r="M15" s="94">
        <f t="shared" si="1"/>
        <v>27900</v>
      </c>
      <c r="N15" s="94">
        <f t="shared" si="1"/>
        <v>27900</v>
      </c>
      <c r="O15" s="94">
        <f t="shared" si="1"/>
        <v>27900</v>
      </c>
      <c r="P15" s="94">
        <f t="shared" si="1"/>
        <v>27900</v>
      </c>
      <c r="Q15" s="188"/>
      <c r="R15" s="188"/>
      <c r="S15" s="188"/>
      <c r="T15" s="188"/>
      <c r="U15" s="188"/>
      <c r="V15" s="188"/>
      <c r="W15" s="188"/>
      <c r="X15" s="188"/>
      <c r="Y15" s="188"/>
      <c r="Z15" s="188"/>
    </row>
    <row r="16" spans="1:27" ht="12" customHeight="1">
      <c r="A16" s="91" t="s">
        <v>55</v>
      </c>
      <c r="B16" s="91" t="s">
        <v>59</v>
      </c>
      <c r="C16" s="92"/>
      <c r="D16" s="93" t="s">
        <v>61</v>
      </c>
      <c r="E16" s="94">
        <f t="shared" ref="E16:P16" si="2">SUMIFS(E$6:E$12,$D$6:$D$12,$D16)</f>
        <v>30000</v>
      </c>
      <c r="F16" s="94">
        <f t="shared" si="2"/>
        <v>30000</v>
      </c>
      <c r="G16" s="94">
        <f t="shared" si="2"/>
        <v>30000</v>
      </c>
      <c r="H16" s="94">
        <f t="shared" si="2"/>
        <v>30000</v>
      </c>
      <c r="I16" s="94">
        <f t="shared" si="2"/>
        <v>30000</v>
      </c>
      <c r="J16" s="94">
        <f t="shared" si="2"/>
        <v>30000</v>
      </c>
      <c r="K16" s="94">
        <f t="shared" si="2"/>
        <v>30000</v>
      </c>
      <c r="L16" s="94">
        <f t="shared" si="2"/>
        <v>30000</v>
      </c>
      <c r="M16" s="94">
        <f t="shared" si="2"/>
        <v>30000</v>
      </c>
      <c r="N16" s="94">
        <f t="shared" si="2"/>
        <v>30000</v>
      </c>
      <c r="O16" s="94">
        <f t="shared" si="2"/>
        <v>30000</v>
      </c>
      <c r="P16" s="94">
        <f t="shared" si="2"/>
        <v>30000</v>
      </c>
      <c r="Q16" s="188"/>
      <c r="R16" s="188"/>
      <c r="S16" s="188"/>
      <c r="T16" s="188"/>
      <c r="U16" s="188"/>
      <c r="V16" s="188"/>
      <c r="W16" s="188"/>
      <c r="X16" s="188"/>
      <c r="Y16" s="188"/>
      <c r="Z16" s="188"/>
    </row>
    <row r="17" spans="1:27" ht="12" customHeight="1">
      <c r="A17" s="91" t="s">
        <v>55</v>
      </c>
      <c r="B17" s="91" t="s">
        <v>59</v>
      </c>
      <c r="C17" s="92"/>
      <c r="D17" s="93" t="s">
        <v>68</v>
      </c>
      <c r="E17" s="94">
        <f t="shared" ref="E17:P17" si="3">SUMIFS(E$6:E$12,$D$6:$D$12,$D17)</f>
        <v>0</v>
      </c>
      <c r="F17" s="94">
        <f t="shared" si="3"/>
        <v>0</v>
      </c>
      <c r="G17" s="94">
        <f t="shared" si="3"/>
        <v>0</v>
      </c>
      <c r="H17" s="94">
        <f t="shared" si="3"/>
        <v>0</v>
      </c>
      <c r="I17" s="94">
        <f t="shared" si="3"/>
        <v>0</v>
      </c>
      <c r="J17" s="94">
        <f t="shared" si="3"/>
        <v>0</v>
      </c>
      <c r="K17" s="94">
        <f t="shared" si="3"/>
        <v>0</v>
      </c>
      <c r="L17" s="94">
        <f t="shared" si="3"/>
        <v>0</v>
      </c>
      <c r="M17" s="94">
        <f t="shared" si="3"/>
        <v>0</v>
      </c>
      <c r="N17" s="94">
        <f t="shared" si="3"/>
        <v>0</v>
      </c>
      <c r="O17" s="94">
        <f t="shared" si="3"/>
        <v>0</v>
      </c>
      <c r="P17" s="94">
        <f t="shared" si="3"/>
        <v>0</v>
      </c>
      <c r="Q17" s="188"/>
      <c r="R17" s="188"/>
      <c r="S17" s="188"/>
      <c r="T17" s="188"/>
      <c r="U17" s="188"/>
      <c r="V17" s="188"/>
      <c r="W17" s="188"/>
      <c r="X17" s="188"/>
      <c r="Y17" s="188"/>
      <c r="Z17" s="188"/>
      <c r="AA17" s="17"/>
    </row>
    <row r="18" spans="1:27" ht="12" customHeight="1">
      <c r="A18" s="91" t="s">
        <v>55</v>
      </c>
      <c r="B18" s="91" t="s">
        <v>59</v>
      </c>
      <c r="C18" s="92"/>
      <c r="D18" s="93" t="s">
        <v>59</v>
      </c>
      <c r="E18" s="94">
        <f t="shared" ref="E18:P18" si="4">SUM(E14:E17)</f>
        <v>-8153375.7000000002</v>
      </c>
      <c r="F18" s="94">
        <f t="shared" si="4"/>
        <v>-5908279.7000000002</v>
      </c>
      <c r="G18" s="94">
        <f t="shared" si="4"/>
        <v>-5883835.96</v>
      </c>
      <c r="H18" s="94">
        <f t="shared" si="4"/>
        <v>-4345551.2300000004</v>
      </c>
      <c r="I18" s="94">
        <f t="shared" si="4"/>
        <v>-7190656.2300000004</v>
      </c>
      <c r="J18" s="94">
        <f t="shared" si="4"/>
        <v>-7941217.2300000004</v>
      </c>
      <c r="K18" s="94">
        <f t="shared" si="4"/>
        <v>-10404692.23</v>
      </c>
      <c r="L18" s="94">
        <f t="shared" si="4"/>
        <v>-9668864.2300000004</v>
      </c>
      <c r="M18" s="94">
        <f t="shared" si="4"/>
        <v>-10379474.23</v>
      </c>
      <c r="N18" s="94">
        <f t="shared" si="4"/>
        <v>-8033996.2300000004</v>
      </c>
      <c r="O18" s="94">
        <f t="shared" si="4"/>
        <v>-7407847.2300000004</v>
      </c>
      <c r="P18" s="94">
        <f t="shared" si="4"/>
        <v>-7955833.2300000004</v>
      </c>
      <c r="Q18" s="188"/>
      <c r="R18" s="188"/>
      <c r="S18" s="188"/>
      <c r="T18" s="188"/>
      <c r="U18" s="188"/>
      <c r="V18" s="188"/>
      <c r="W18" s="188"/>
      <c r="X18" s="188"/>
      <c r="Y18" s="188"/>
      <c r="Z18" s="188"/>
    </row>
    <row r="19" spans="1:27" ht="26.25" customHeight="1">
      <c r="A19" s="189" t="s">
        <v>151</v>
      </c>
      <c r="B19" s="190"/>
      <c r="C19" s="191"/>
      <c r="D19" s="23"/>
      <c r="E19" s="25"/>
      <c r="F19" s="25"/>
      <c r="G19" s="25"/>
      <c r="H19" s="25"/>
      <c r="I19" s="25"/>
      <c r="J19" s="25"/>
      <c r="K19" s="25"/>
      <c r="L19" s="25"/>
      <c r="M19" s="25"/>
      <c r="N19" s="25"/>
      <c r="O19" s="25"/>
      <c r="P19" s="25"/>
      <c r="Q19" s="131"/>
      <c r="R19" s="131"/>
      <c r="S19" s="131"/>
      <c r="T19" s="131"/>
      <c r="U19" s="131"/>
      <c r="V19" s="131"/>
      <c r="W19" s="131"/>
      <c r="X19" s="131"/>
      <c r="Y19" s="131"/>
      <c r="Z19" s="131"/>
      <c r="AA19" s="192"/>
    </row>
    <row r="20" spans="1:27" ht="12" customHeight="1">
      <c r="A20" s="91" t="s">
        <v>69</v>
      </c>
      <c r="B20" s="91" t="s">
        <v>56</v>
      </c>
      <c r="C20" s="92" t="s">
        <v>60</v>
      </c>
      <c r="D20" s="93" t="s">
        <v>63</v>
      </c>
      <c r="E20" s="94">
        <v>-716666.67</v>
      </c>
      <c r="F20" s="94">
        <v>-716666.67</v>
      </c>
      <c r="G20" s="94">
        <v>-716666.67</v>
      </c>
      <c r="H20" s="94">
        <v>-716666.67</v>
      </c>
      <c r="I20" s="94">
        <v>-716666.67</v>
      </c>
      <c r="J20" s="94">
        <v>-716666.67</v>
      </c>
      <c r="K20" s="94">
        <v>-716666.67</v>
      </c>
      <c r="L20" s="94">
        <v>-716666.67</v>
      </c>
      <c r="M20" s="94">
        <v>-716666.67</v>
      </c>
      <c r="N20" s="94">
        <v>-716666.67</v>
      </c>
      <c r="O20" s="94">
        <v>-716666.67</v>
      </c>
      <c r="P20" s="94">
        <v>-716666.67</v>
      </c>
      <c r="Q20" s="95"/>
      <c r="R20" s="95"/>
      <c r="S20" s="95"/>
      <c r="T20" s="95"/>
      <c r="U20" s="95"/>
      <c r="V20" s="95"/>
      <c r="W20" s="95"/>
      <c r="X20" s="95"/>
      <c r="Y20" s="95"/>
      <c r="Z20" s="95"/>
    </row>
    <row r="21" spans="1:27" ht="12" customHeight="1">
      <c r="A21" s="91" t="s">
        <v>69</v>
      </c>
      <c r="B21" s="91" t="s">
        <v>56</v>
      </c>
      <c r="C21" s="92" t="s">
        <v>64</v>
      </c>
      <c r="D21" s="93" t="s">
        <v>58</v>
      </c>
      <c r="E21" s="94">
        <v>-15823183.890000001</v>
      </c>
      <c r="F21" s="94">
        <v>-14219448.65</v>
      </c>
      <c r="G21" s="94">
        <v>-14195162.68</v>
      </c>
      <c r="H21" s="94">
        <v>-12095823.35</v>
      </c>
      <c r="I21" s="94">
        <v>-13008587.449999999</v>
      </c>
      <c r="J21" s="94">
        <v>-12252418.84</v>
      </c>
      <c r="K21" s="94">
        <v>-16974980.300000001</v>
      </c>
      <c r="L21" s="94">
        <v>-16212486.52</v>
      </c>
      <c r="M21" s="94">
        <v>-15257766.699999999</v>
      </c>
      <c r="N21" s="94">
        <v>-18323320.02</v>
      </c>
      <c r="O21" s="94">
        <v>-16365877.74</v>
      </c>
      <c r="P21" s="94">
        <v>-18228731.18</v>
      </c>
      <c r="Q21" s="95"/>
      <c r="R21" s="95"/>
      <c r="S21" s="95"/>
      <c r="T21" s="95"/>
      <c r="U21" s="95"/>
      <c r="V21" s="95"/>
      <c r="W21" s="95"/>
      <c r="X21" s="95"/>
      <c r="Y21" s="95"/>
      <c r="Z21" s="95"/>
    </row>
    <row r="22" spans="1:27" ht="12" customHeight="1">
      <c r="A22" s="91" t="s">
        <v>69</v>
      </c>
      <c r="B22" s="91" t="s">
        <v>65</v>
      </c>
      <c r="C22" s="92" t="s">
        <v>66</v>
      </c>
      <c r="D22" s="93" t="s">
        <v>62</v>
      </c>
      <c r="E22" s="94">
        <v>169981</v>
      </c>
      <c r="F22" s="94">
        <v>169981</v>
      </c>
      <c r="G22" s="94">
        <v>169981</v>
      </c>
      <c r="H22" s="94">
        <v>166888</v>
      </c>
      <c r="I22" s="94">
        <v>166888</v>
      </c>
      <c r="J22" s="94">
        <v>392677</v>
      </c>
      <c r="K22" s="94">
        <v>392677</v>
      </c>
      <c r="L22" s="94">
        <v>608648</v>
      </c>
      <c r="M22" s="94">
        <v>608648</v>
      </c>
      <c r="N22" s="94">
        <v>166888</v>
      </c>
      <c r="O22" s="94">
        <v>166888</v>
      </c>
      <c r="P22" s="94">
        <v>166888</v>
      </c>
      <c r="Q22" s="95"/>
      <c r="R22" s="95"/>
      <c r="S22" s="95"/>
      <c r="T22" s="95"/>
      <c r="U22" s="95"/>
      <c r="V22" s="95"/>
      <c r="W22" s="95"/>
      <c r="X22" s="95"/>
      <c r="Y22" s="95"/>
      <c r="Z22" s="95"/>
    </row>
    <row r="23" spans="1:27" ht="16.5" customHeight="1">
      <c r="A23" s="91" t="s">
        <v>69</v>
      </c>
      <c r="B23" s="91" t="s">
        <v>28</v>
      </c>
      <c r="C23" s="96" t="s">
        <v>67</v>
      </c>
      <c r="D23" s="93" t="s">
        <v>62</v>
      </c>
      <c r="E23" s="94">
        <v>479062.54</v>
      </c>
      <c r="F23" s="94">
        <v>479062.54</v>
      </c>
      <c r="G23" s="94">
        <v>479062.54</v>
      </c>
      <c r="H23" s="94">
        <v>479062.54</v>
      </c>
      <c r="I23" s="94">
        <v>479062.54</v>
      </c>
      <c r="J23" s="94">
        <v>479062.54</v>
      </c>
      <c r="K23" s="94">
        <v>479062.54</v>
      </c>
      <c r="L23" s="94">
        <v>479062.54</v>
      </c>
      <c r="M23" s="94">
        <v>479062.54</v>
      </c>
      <c r="N23" s="94">
        <v>479062.54</v>
      </c>
      <c r="O23" s="94">
        <v>479062.54</v>
      </c>
      <c r="P23" s="94">
        <v>479062.54</v>
      </c>
      <c r="Q23" s="95"/>
      <c r="R23" s="95"/>
      <c r="S23" s="95"/>
      <c r="T23" s="95"/>
      <c r="U23" s="95"/>
      <c r="V23" s="95"/>
      <c r="W23" s="95"/>
      <c r="X23" s="95"/>
      <c r="Y23" s="95"/>
      <c r="Z23" s="95"/>
    </row>
    <row r="24" spans="1:27" ht="16.5" customHeight="1">
      <c r="A24" s="184" t="s">
        <v>69</v>
      </c>
      <c r="B24" s="184" t="s">
        <v>59</v>
      </c>
      <c r="C24" s="185" t="s">
        <v>59</v>
      </c>
      <c r="D24" s="97" t="s">
        <v>59</v>
      </c>
      <c r="E24" s="99"/>
      <c r="F24" s="99"/>
      <c r="G24" s="99"/>
      <c r="H24" s="99"/>
      <c r="I24" s="99"/>
      <c r="J24" s="99"/>
      <c r="K24" s="99"/>
      <c r="L24" s="99"/>
      <c r="M24" s="99"/>
      <c r="N24" s="99"/>
      <c r="O24" s="99"/>
      <c r="P24" s="99"/>
      <c r="Q24" s="193"/>
      <c r="R24" s="193"/>
      <c r="S24" s="193"/>
      <c r="T24" s="193"/>
      <c r="U24" s="193"/>
      <c r="V24" s="193"/>
      <c r="W24" s="193"/>
      <c r="X24" s="193"/>
      <c r="Y24" s="193"/>
      <c r="Z24" s="193"/>
      <c r="AA24" s="194"/>
    </row>
    <row r="25" spans="1:27" ht="12" customHeight="1">
      <c r="A25" s="91" t="s">
        <v>69</v>
      </c>
      <c r="B25" s="91" t="s">
        <v>59</v>
      </c>
      <c r="C25" s="96" t="s">
        <v>59</v>
      </c>
      <c r="D25" s="93" t="s">
        <v>58</v>
      </c>
      <c r="E25" s="94">
        <f t="shared" ref="E25:P25" si="5">SUMIFS(E$20:E$23,$D$20:$D$23,$D25)</f>
        <v>-15823183.890000001</v>
      </c>
      <c r="F25" s="94">
        <f t="shared" si="5"/>
        <v>-14219448.65</v>
      </c>
      <c r="G25" s="94">
        <f t="shared" si="5"/>
        <v>-14195162.68</v>
      </c>
      <c r="H25" s="94">
        <f t="shared" si="5"/>
        <v>-12095823.35</v>
      </c>
      <c r="I25" s="94">
        <f t="shared" si="5"/>
        <v>-13008587.449999999</v>
      </c>
      <c r="J25" s="94">
        <f t="shared" si="5"/>
        <v>-12252418.84</v>
      </c>
      <c r="K25" s="94">
        <f t="shared" si="5"/>
        <v>-16974980.300000001</v>
      </c>
      <c r="L25" s="94">
        <f t="shared" si="5"/>
        <v>-16212486.52</v>
      </c>
      <c r="M25" s="94">
        <f t="shared" si="5"/>
        <v>-15257766.699999999</v>
      </c>
      <c r="N25" s="94">
        <f t="shared" si="5"/>
        <v>-18323320.02</v>
      </c>
      <c r="O25" s="94">
        <f t="shared" si="5"/>
        <v>-16365877.74</v>
      </c>
      <c r="P25" s="94">
        <f t="shared" si="5"/>
        <v>-18228731.18</v>
      </c>
      <c r="Q25" s="188"/>
      <c r="R25" s="188"/>
      <c r="S25" s="188"/>
      <c r="T25" s="188"/>
      <c r="U25" s="188"/>
      <c r="V25" s="188"/>
      <c r="W25" s="188"/>
      <c r="X25" s="188"/>
      <c r="Y25" s="188"/>
      <c r="Z25" s="188"/>
    </row>
    <row r="26" spans="1:27" ht="12" customHeight="1">
      <c r="A26" s="91" t="s">
        <v>69</v>
      </c>
      <c r="B26" s="91" t="s">
        <v>59</v>
      </c>
      <c r="C26" s="96" t="s">
        <v>59</v>
      </c>
      <c r="D26" s="93" t="s">
        <v>62</v>
      </c>
      <c r="E26" s="94">
        <f t="shared" ref="E26:P26" si="6">SUMIFS(E$20:E$23,$D$20:$D$23,$D26)</f>
        <v>649043.54</v>
      </c>
      <c r="F26" s="94">
        <f t="shared" si="6"/>
        <v>649043.54</v>
      </c>
      <c r="G26" s="94">
        <f t="shared" si="6"/>
        <v>649043.54</v>
      </c>
      <c r="H26" s="94">
        <f t="shared" si="6"/>
        <v>645950.54</v>
      </c>
      <c r="I26" s="94">
        <f t="shared" si="6"/>
        <v>645950.54</v>
      </c>
      <c r="J26" s="94">
        <f t="shared" si="6"/>
        <v>871739.54</v>
      </c>
      <c r="K26" s="94">
        <f t="shared" si="6"/>
        <v>871739.54</v>
      </c>
      <c r="L26" s="94">
        <f t="shared" si="6"/>
        <v>1087710.54</v>
      </c>
      <c r="M26" s="94">
        <f t="shared" si="6"/>
        <v>1087710.54</v>
      </c>
      <c r="N26" s="94">
        <f t="shared" si="6"/>
        <v>645950.54</v>
      </c>
      <c r="O26" s="94">
        <f t="shared" si="6"/>
        <v>645950.54</v>
      </c>
      <c r="P26" s="94">
        <f t="shared" si="6"/>
        <v>645950.54</v>
      </c>
      <c r="Q26" s="188"/>
      <c r="R26" s="188"/>
      <c r="S26" s="188"/>
      <c r="T26" s="188"/>
      <c r="U26" s="188"/>
      <c r="V26" s="188"/>
      <c r="W26" s="188"/>
      <c r="X26" s="188"/>
      <c r="Y26" s="188"/>
      <c r="Z26" s="188"/>
    </row>
    <row r="27" spans="1:27" ht="12" customHeight="1">
      <c r="A27" s="91" t="s">
        <v>69</v>
      </c>
      <c r="B27" s="91" t="s">
        <v>59</v>
      </c>
      <c r="C27" s="96" t="s">
        <v>59</v>
      </c>
      <c r="D27" s="93" t="s">
        <v>63</v>
      </c>
      <c r="E27" s="94">
        <f t="shared" ref="E27:P27" si="7">SUMIFS(E$20:E$23,$D$20:$D$23,$D27)</f>
        <v>-716666.67</v>
      </c>
      <c r="F27" s="94">
        <f t="shared" si="7"/>
        <v>-716666.67</v>
      </c>
      <c r="G27" s="94">
        <f t="shared" si="7"/>
        <v>-716666.67</v>
      </c>
      <c r="H27" s="94">
        <f t="shared" si="7"/>
        <v>-716666.67</v>
      </c>
      <c r="I27" s="94">
        <f t="shared" si="7"/>
        <v>-716666.67</v>
      </c>
      <c r="J27" s="94">
        <f t="shared" si="7"/>
        <v>-716666.67</v>
      </c>
      <c r="K27" s="94">
        <f t="shared" si="7"/>
        <v>-716666.67</v>
      </c>
      <c r="L27" s="94">
        <f t="shared" si="7"/>
        <v>-716666.67</v>
      </c>
      <c r="M27" s="94">
        <f t="shared" si="7"/>
        <v>-716666.67</v>
      </c>
      <c r="N27" s="94">
        <f t="shared" si="7"/>
        <v>-716666.67</v>
      </c>
      <c r="O27" s="94">
        <f t="shared" si="7"/>
        <v>-716666.67</v>
      </c>
      <c r="P27" s="94">
        <f t="shared" si="7"/>
        <v>-716666.67</v>
      </c>
      <c r="Q27" s="188"/>
      <c r="R27" s="188"/>
      <c r="S27" s="188"/>
      <c r="T27" s="188"/>
      <c r="U27" s="188"/>
      <c r="V27" s="188"/>
      <c r="W27" s="188"/>
      <c r="X27" s="188"/>
      <c r="Y27" s="188"/>
      <c r="Z27" s="188"/>
    </row>
    <row r="28" spans="1:27" ht="12" customHeight="1">
      <c r="A28" s="91" t="s">
        <v>69</v>
      </c>
      <c r="B28" s="91" t="s">
        <v>59</v>
      </c>
      <c r="C28" s="96" t="s">
        <v>59</v>
      </c>
      <c r="D28" s="93" t="s">
        <v>59</v>
      </c>
      <c r="E28" s="94">
        <f t="shared" ref="E28:P28" si="8">SUM(E25:E27)</f>
        <v>-15890807.020000001</v>
      </c>
      <c r="F28" s="94">
        <f t="shared" si="8"/>
        <v>-14287071.779999999</v>
      </c>
      <c r="G28" s="94">
        <f t="shared" si="8"/>
        <v>-14262785.810000001</v>
      </c>
      <c r="H28" s="94">
        <f t="shared" si="8"/>
        <v>-12166539.479999999</v>
      </c>
      <c r="I28" s="94">
        <f t="shared" si="8"/>
        <v>-13079303.58</v>
      </c>
      <c r="J28" s="94">
        <f t="shared" si="8"/>
        <v>-12097345.970000001</v>
      </c>
      <c r="K28" s="94">
        <f t="shared" si="8"/>
        <v>-16819907.430000003</v>
      </c>
      <c r="L28" s="94">
        <f t="shared" si="8"/>
        <v>-15841442.65</v>
      </c>
      <c r="M28" s="94">
        <f t="shared" si="8"/>
        <v>-14886722.83</v>
      </c>
      <c r="N28" s="94">
        <f t="shared" si="8"/>
        <v>-18394036.150000002</v>
      </c>
      <c r="O28" s="94">
        <f t="shared" si="8"/>
        <v>-16436593.869999999</v>
      </c>
      <c r="P28" s="94">
        <f t="shared" si="8"/>
        <v>-18299447.310000002</v>
      </c>
      <c r="Q28" s="100"/>
      <c r="R28" s="100"/>
      <c r="S28" s="100"/>
      <c r="T28" s="100"/>
      <c r="U28" s="100"/>
      <c r="V28" s="100"/>
      <c r="W28" s="100"/>
      <c r="X28" s="100"/>
      <c r="Y28" s="100"/>
      <c r="Z28" s="100"/>
    </row>
    <row r="29" spans="1:27" ht="13.5" customHeight="1">
      <c r="A29" s="189" t="s">
        <v>152</v>
      </c>
      <c r="B29" s="195"/>
      <c r="C29" s="196"/>
      <c r="D29" s="101"/>
      <c r="E29" s="102"/>
      <c r="F29" s="102"/>
      <c r="G29" s="102"/>
      <c r="H29" s="102"/>
      <c r="I29" s="102"/>
      <c r="J29" s="102"/>
      <c r="K29" s="102"/>
      <c r="L29" s="102"/>
      <c r="M29" s="102"/>
      <c r="N29" s="102"/>
      <c r="O29" s="102"/>
      <c r="P29" s="102"/>
      <c r="Q29" s="197"/>
      <c r="R29" s="197"/>
      <c r="S29" s="197"/>
      <c r="T29" s="197"/>
      <c r="U29" s="197"/>
      <c r="V29" s="197"/>
      <c r="W29" s="197"/>
      <c r="X29" s="197"/>
      <c r="Y29" s="197"/>
      <c r="Z29" s="197"/>
      <c r="AA29" s="175"/>
    </row>
    <row r="30" spans="1:27" ht="12" customHeight="1">
      <c r="A30" s="91" t="s">
        <v>84</v>
      </c>
      <c r="B30" s="91" t="s">
        <v>56</v>
      </c>
      <c r="C30" s="92" t="s">
        <v>57</v>
      </c>
      <c r="D30" s="93" t="s">
        <v>58</v>
      </c>
      <c r="E30" s="94">
        <v>-730166.36</v>
      </c>
      <c r="F30" s="94">
        <v>-730166.36</v>
      </c>
      <c r="G30" s="94">
        <v>-730166.36</v>
      </c>
      <c r="H30" s="94">
        <v>-730166.36</v>
      </c>
      <c r="I30" s="94">
        <v>-730166.36</v>
      </c>
      <c r="J30" s="94">
        <v>-730166.36</v>
      </c>
      <c r="K30" s="94">
        <v>-730166.36</v>
      </c>
      <c r="L30" s="94">
        <v>-730166.36</v>
      </c>
      <c r="M30" s="94">
        <v>-730166.36</v>
      </c>
      <c r="N30" s="94">
        <v>-730166.36</v>
      </c>
      <c r="O30" s="94">
        <v>-730166.36</v>
      </c>
      <c r="P30" s="94">
        <v>-730166.36</v>
      </c>
      <c r="Q30" s="95"/>
      <c r="R30" s="95"/>
      <c r="S30" s="95"/>
      <c r="T30" s="95"/>
      <c r="U30" s="95"/>
      <c r="V30" s="95"/>
      <c r="W30" s="95"/>
      <c r="X30" s="95"/>
      <c r="Y30" s="95"/>
      <c r="Z30" s="95"/>
    </row>
    <row r="31" spans="1:27" ht="12" customHeight="1">
      <c r="A31" s="91" t="s">
        <v>84</v>
      </c>
      <c r="B31" s="91" t="s">
        <v>56</v>
      </c>
      <c r="C31" s="92" t="s">
        <v>60</v>
      </c>
      <c r="D31" s="93" t="s">
        <v>58</v>
      </c>
      <c r="E31" s="94">
        <v>-18698</v>
      </c>
      <c r="F31" s="94">
        <v>-21779</v>
      </c>
      <c r="G31" s="94">
        <v>-20043</v>
      </c>
      <c r="H31" s="94">
        <v>-21643</v>
      </c>
      <c r="I31" s="94">
        <v>-23201</v>
      </c>
      <c r="J31" s="94">
        <v>-25464</v>
      </c>
      <c r="K31" s="94">
        <v>-24132</v>
      </c>
      <c r="L31" s="94">
        <v>-23270</v>
      </c>
      <c r="M31" s="94">
        <v>-25552</v>
      </c>
      <c r="N31" s="94">
        <v>-24038</v>
      </c>
      <c r="O31" s="94">
        <v>-23156</v>
      </c>
      <c r="P31" s="94">
        <v>-22991</v>
      </c>
      <c r="Q31" s="95"/>
      <c r="R31" s="95"/>
      <c r="S31" s="95"/>
      <c r="T31" s="95"/>
      <c r="U31" s="95"/>
      <c r="V31" s="95"/>
      <c r="W31" s="95"/>
      <c r="X31" s="95"/>
      <c r="Y31" s="95"/>
      <c r="Z31" s="95"/>
    </row>
    <row r="32" spans="1:27" ht="12" customHeight="1">
      <c r="A32" s="91" t="s">
        <v>84</v>
      </c>
      <c r="B32" s="91" t="s">
        <v>56</v>
      </c>
      <c r="C32" s="92" t="s">
        <v>60</v>
      </c>
      <c r="D32" s="93" t="s">
        <v>61</v>
      </c>
      <c r="E32" s="94">
        <v>-14558.04</v>
      </c>
      <c r="F32" s="94">
        <v>-14558.04</v>
      </c>
      <c r="G32" s="94">
        <v>-14558.04</v>
      </c>
      <c r="H32" s="94">
        <v>-14558.04</v>
      </c>
      <c r="I32" s="94">
        <v>-14558.04</v>
      </c>
      <c r="J32" s="94">
        <v>-14558.04</v>
      </c>
      <c r="K32" s="94">
        <v>-14558.04</v>
      </c>
      <c r="L32" s="94">
        <v>-14558.04</v>
      </c>
      <c r="M32" s="94">
        <v>-156131.31</v>
      </c>
      <c r="N32" s="94">
        <v>-14558.04</v>
      </c>
      <c r="O32" s="94">
        <v>-14558.04</v>
      </c>
      <c r="P32" s="94">
        <v>-14558.04</v>
      </c>
      <c r="Q32" s="95"/>
      <c r="R32" s="95"/>
      <c r="S32" s="95"/>
      <c r="T32" s="95"/>
      <c r="U32" s="95"/>
      <c r="V32" s="95"/>
      <c r="W32" s="95"/>
      <c r="X32" s="95"/>
      <c r="Y32" s="95"/>
      <c r="Z32" s="95"/>
    </row>
    <row r="33" spans="1:27" ht="12" customHeight="1">
      <c r="A33" s="91" t="s">
        <v>84</v>
      </c>
      <c r="B33" s="91" t="s">
        <v>56</v>
      </c>
      <c r="C33" s="92" t="s">
        <v>60</v>
      </c>
      <c r="D33" s="103" t="s">
        <v>62</v>
      </c>
      <c r="E33" s="94">
        <v>-56091.39</v>
      </c>
      <c r="F33" s="94">
        <v>-56091.39</v>
      </c>
      <c r="G33" s="94">
        <v>-56091.39</v>
      </c>
      <c r="H33" s="94">
        <v>-56091.39</v>
      </c>
      <c r="I33" s="94">
        <v>-56091.39</v>
      </c>
      <c r="J33" s="94">
        <v>-56091.39</v>
      </c>
      <c r="K33" s="94">
        <v>-56091.39</v>
      </c>
      <c r="L33" s="94">
        <v>-56091.39</v>
      </c>
      <c r="M33" s="94">
        <v>-56091.39</v>
      </c>
      <c r="N33" s="94">
        <v>-56091.39</v>
      </c>
      <c r="O33" s="94">
        <v>-56091.39</v>
      </c>
      <c r="P33" s="94">
        <v>-56091.39</v>
      </c>
      <c r="Q33" s="95"/>
      <c r="R33" s="95"/>
      <c r="S33" s="95"/>
      <c r="T33" s="95"/>
      <c r="U33" s="95"/>
      <c r="V33" s="95"/>
      <c r="W33" s="95"/>
      <c r="X33" s="95"/>
      <c r="Y33" s="95"/>
      <c r="Z33" s="95"/>
    </row>
    <row r="34" spans="1:27" ht="12" customHeight="1">
      <c r="A34" s="91" t="s">
        <v>84</v>
      </c>
      <c r="B34" s="104" t="s">
        <v>56</v>
      </c>
      <c r="C34" s="96" t="s">
        <v>64</v>
      </c>
      <c r="D34" s="93" t="s">
        <v>58</v>
      </c>
      <c r="E34" s="94">
        <v>-16666943.529999999</v>
      </c>
      <c r="F34" s="94">
        <v>-16258088.529999999</v>
      </c>
      <c r="G34" s="94">
        <v>-17958215.530000001</v>
      </c>
      <c r="H34" s="94">
        <v>-15571267.15</v>
      </c>
      <c r="I34" s="94">
        <v>-17374107.149999999</v>
      </c>
      <c r="J34" s="94">
        <v>-17918762.149999999</v>
      </c>
      <c r="K34" s="94">
        <v>-19614025.149999999</v>
      </c>
      <c r="L34" s="94">
        <v>-19072840.149999999</v>
      </c>
      <c r="M34" s="94">
        <v>-19773598.420000002</v>
      </c>
      <c r="N34" s="94">
        <v>-16300307.15</v>
      </c>
      <c r="O34" s="94">
        <v>-17748636.149999999</v>
      </c>
      <c r="P34" s="94">
        <v>-18417115.149999999</v>
      </c>
      <c r="Q34" s="95"/>
      <c r="R34" s="95"/>
      <c r="S34" s="95"/>
      <c r="T34" s="95"/>
      <c r="U34" s="95"/>
      <c r="V34" s="95"/>
      <c r="W34" s="95"/>
      <c r="X34" s="95"/>
      <c r="Y34" s="95"/>
      <c r="Z34" s="95"/>
    </row>
    <row r="35" spans="1:27" ht="12" customHeight="1">
      <c r="A35" s="91" t="s">
        <v>84</v>
      </c>
      <c r="B35" s="91" t="s">
        <v>65</v>
      </c>
      <c r="C35" s="92" t="s">
        <v>66</v>
      </c>
      <c r="D35" s="93" t="s">
        <v>61</v>
      </c>
      <c r="E35" s="94">
        <v>1050</v>
      </c>
      <c r="F35" s="94">
        <v>1050</v>
      </c>
      <c r="G35" s="94">
        <v>1050</v>
      </c>
      <c r="H35" s="94">
        <v>1050</v>
      </c>
      <c r="I35" s="94">
        <v>1050</v>
      </c>
      <c r="J35" s="94">
        <v>1050</v>
      </c>
      <c r="K35" s="94">
        <v>1050</v>
      </c>
      <c r="L35" s="94">
        <v>1050</v>
      </c>
      <c r="M35" s="94">
        <v>1050</v>
      </c>
      <c r="N35" s="94">
        <v>1050</v>
      </c>
      <c r="O35" s="94">
        <v>1050</v>
      </c>
      <c r="P35" s="94">
        <v>1050</v>
      </c>
      <c r="Q35" s="95"/>
      <c r="R35" s="95"/>
      <c r="S35" s="95"/>
      <c r="T35" s="95"/>
      <c r="U35" s="95"/>
      <c r="V35" s="95"/>
      <c r="W35" s="95"/>
      <c r="X35" s="95"/>
      <c r="Y35" s="95"/>
      <c r="Z35" s="95"/>
    </row>
    <row r="36" spans="1:27" ht="12" customHeight="1">
      <c r="A36" s="91" t="s">
        <v>84</v>
      </c>
      <c r="B36" s="91" t="s">
        <v>65</v>
      </c>
      <c r="C36" s="92" t="s">
        <v>66</v>
      </c>
      <c r="D36" s="93" t="s">
        <v>62</v>
      </c>
      <c r="E36" s="94">
        <v>149864</v>
      </c>
      <c r="F36" s="94">
        <v>149864</v>
      </c>
      <c r="G36" s="94">
        <v>149864</v>
      </c>
      <c r="H36" s="94">
        <v>144532</v>
      </c>
      <c r="I36" s="94">
        <v>144532</v>
      </c>
      <c r="J36" s="94">
        <v>340080</v>
      </c>
      <c r="K36" s="94">
        <v>340080</v>
      </c>
      <c r="L36" s="94">
        <v>527130</v>
      </c>
      <c r="M36" s="94">
        <v>527130</v>
      </c>
      <c r="N36" s="94">
        <v>144532</v>
      </c>
      <c r="O36" s="94">
        <v>144532</v>
      </c>
      <c r="P36" s="94">
        <v>144532</v>
      </c>
      <c r="Q36" s="95"/>
      <c r="R36" s="95"/>
      <c r="S36" s="95"/>
      <c r="T36" s="95"/>
      <c r="U36" s="95"/>
      <c r="V36" s="95"/>
      <c r="W36" s="95"/>
      <c r="X36" s="95"/>
      <c r="Y36" s="95"/>
      <c r="Z36" s="95"/>
    </row>
    <row r="37" spans="1:27" ht="12" customHeight="1">
      <c r="A37" s="91" t="s">
        <v>84</v>
      </c>
      <c r="B37" s="91" t="s">
        <v>28</v>
      </c>
      <c r="C37" s="96" t="s">
        <v>67</v>
      </c>
      <c r="D37" s="93" t="s">
        <v>62</v>
      </c>
      <c r="E37" s="94">
        <v>4850</v>
      </c>
      <c r="F37" s="94">
        <v>9600</v>
      </c>
      <c r="G37" s="94">
        <v>4850</v>
      </c>
      <c r="H37" s="94">
        <v>4850</v>
      </c>
      <c r="I37" s="94">
        <v>4850</v>
      </c>
      <c r="J37" s="94">
        <v>4850</v>
      </c>
      <c r="K37" s="94">
        <v>4850</v>
      </c>
      <c r="L37" s="94">
        <v>9600</v>
      </c>
      <c r="M37" s="94">
        <v>4850</v>
      </c>
      <c r="N37" s="94">
        <v>4850</v>
      </c>
      <c r="O37" s="94">
        <v>4850</v>
      </c>
      <c r="P37" s="94">
        <v>4850</v>
      </c>
      <c r="Q37" s="95"/>
      <c r="R37" s="95"/>
      <c r="S37" s="95"/>
      <c r="T37" s="95"/>
      <c r="U37" s="95"/>
      <c r="V37" s="95"/>
      <c r="W37" s="95"/>
      <c r="X37" s="95"/>
      <c r="Y37" s="95"/>
      <c r="Z37" s="95"/>
    </row>
    <row r="38" spans="1:27" ht="16.5" customHeight="1">
      <c r="A38" s="184" t="s">
        <v>84</v>
      </c>
      <c r="B38" s="184" t="s">
        <v>59</v>
      </c>
      <c r="C38" s="185" t="s">
        <v>59</v>
      </c>
      <c r="D38" s="97" t="s">
        <v>59</v>
      </c>
      <c r="E38" s="99"/>
      <c r="F38" s="99"/>
      <c r="G38" s="99"/>
      <c r="H38" s="99"/>
      <c r="I38" s="99"/>
      <c r="J38" s="99"/>
      <c r="K38" s="99"/>
      <c r="L38" s="99"/>
      <c r="M38" s="99"/>
      <c r="N38" s="99"/>
      <c r="O38" s="99"/>
      <c r="P38" s="99"/>
      <c r="Q38" s="193"/>
      <c r="R38" s="193"/>
      <c r="S38" s="193"/>
      <c r="T38" s="193"/>
      <c r="U38" s="193"/>
      <c r="V38" s="193"/>
      <c r="W38" s="193"/>
      <c r="X38" s="193"/>
      <c r="Y38" s="193"/>
      <c r="Z38" s="193"/>
      <c r="AA38" s="194"/>
    </row>
    <row r="39" spans="1:27" ht="12" customHeight="1">
      <c r="A39" s="91" t="s">
        <v>84</v>
      </c>
      <c r="B39" s="91"/>
      <c r="C39" s="96" t="s">
        <v>59</v>
      </c>
      <c r="D39" s="93" t="s">
        <v>58</v>
      </c>
      <c r="E39" s="94">
        <f>SUMIFS(E$30:E$37,$D$30:$D$37,$D39)</f>
        <v>-17415807.890000001</v>
      </c>
      <c r="F39" s="94">
        <v>-17010033.890000001</v>
      </c>
      <c r="G39" s="94">
        <v>-18708424.890000001</v>
      </c>
      <c r="H39" s="94">
        <v>-16323076.51</v>
      </c>
      <c r="I39" s="94">
        <v>-18127474.509999998</v>
      </c>
      <c r="J39" s="94">
        <v>-18674392.509999998</v>
      </c>
      <c r="K39" s="94">
        <v>-20368323.509999998</v>
      </c>
      <c r="L39" s="94">
        <v>-19826276.509999998</v>
      </c>
      <c r="M39" s="94">
        <v>-20529316.780000001</v>
      </c>
      <c r="N39" s="94">
        <v>-17054511.510000002</v>
      </c>
      <c r="O39" s="94">
        <v>-18501958.509999998</v>
      </c>
      <c r="P39" s="94">
        <v>-19170272.509999998</v>
      </c>
      <c r="Q39" s="188"/>
      <c r="R39" s="188"/>
      <c r="S39" s="188"/>
      <c r="T39" s="188"/>
      <c r="U39" s="188"/>
      <c r="V39" s="188"/>
      <c r="W39" s="188"/>
      <c r="X39" s="188"/>
      <c r="Y39" s="188"/>
      <c r="Z39" s="188"/>
    </row>
    <row r="40" spans="1:27" ht="12" customHeight="1">
      <c r="A40" s="91" t="s">
        <v>84</v>
      </c>
      <c r="B40" s="91"/>
      <c r="C40" s="96" t="s">
        <v>59</v>
      </c>
      <c r="D40" s="93" t="s">
        <v>61</v>
      </c>
      <c r="E40" s="94">
        <f>SUMIFS(E$30:E$37,$D$30:$D$37,$D40)</f>
        <v>-13508.04</v>
      </c>
      <c r="F40" s="94">
        <v>-13508.04</v>
      </c>
      <c r="G40" s="94">
        <v>-13508.04</v>
      </c>
      <c r="H40" s="94">
        <v>-13508.04</v>
      </c>
      <c r="I40" s="94">
        <v>-13508.04</v>
      </c>
      <c r="J40" s="94">
        <v>-13508.04</v>
      </c>
      <c r="K40" s="94">
        <v>-13508.04</v>
      </c>
      <c r="L40" s="94">
        <v>-13508.04</v>
      </c>
      <c r="M40" s="94">
        <v>-155081.31</v>
      </c>
      <c r="N40" s="94">
        <v>-13508.04</v>
      </c>
      <c r="O40" s="94">
        <v>-13508.04</v>
      </c>
      <c r="P40" s="94">
        <v>-13508.04</v>
      </c>
      <c r="Q40" s="188"/>
      <c r="R40" s="188"/>
      <c r="S40" s="188"/>
      <c r="T40" s="188"/>
      <c r="U40" s="188"/>
      <c r="V40" s="188"/>
      <c r="W40" s="188"/>
      <c r="X40" s="188"/>
      <c r="Y40" s="188"/>
      <c r="Z40" s="188"/>
    </row>
    <row r="41" spans="1:27" ht="12" customHeight="1">
      <c r="A41" s="91" t="s">
        <v>84</v>
      </c>
      <c r="B41" s="91"/>
      <c r="C41" s="96" t="s">
        <v>59</v>
      </c>
      <c r="D41" s="93" t="s">
        <v>62</v>
      </c>
      <c r="E41" s="94">
        <f>SUMIFS(E$30:E$37,$D$30:$D$37,$D41)</f>
        <v>98622.61</v>
      </c>
      <c r="F41" s="94">
        <v>103372.61</v>
      </c>
      <c r="G41" s="94">
        <v>98622.61</v>
      </c>
      <c r="H41" s="94">
        <v>93290.61</v>
      </c>
      <c r="I41" s="94">
        <v>93290.61</v>
      </c>
      <c r="J41" s="94">
        <v>288838.61</v>
      </c>
      <c r="K41" s="94">
        <v>288838.61</v>
      </c>
      <c r="L41" s="94">
        <v>480638.61</v>
      </c>
      <c r="M41" s="94">
        <v>475888.61</v>
      </c>
      <c r="N41" s="94">
        <v>93290.61</v>
      </c>
      <c r="O41" s="94">
        <v>93290.61</v>
      </c>
      <c r="P41" s="94">
        <v>93290.61</v>
      </c>
      <c r="Q41" s="188"/>
      <c r="R41" s="188"/>
      <c r="S41" s="188"/>
      <c r="T41" s="188"/>
      <c r="U41" s="188"/>
      <c r="V41" s="188"/>
      <c r="W41" s="188"/>
      <c r="X41" s="188"/>
      <c r="Y41" s="188"/>
      <c r="Z41" s="188"/>
    </row>
    <row r="42" spans="1:27" ht="12" customHeight="1">
      <c r="A42" s="91" t="s">
        <v>84</v>
      </c>
      <c r="B42" s="91"/>
      <c r="C42" s="104" t="s">
        <v>59</v>
      </c>
      <c r="D42" s="93" t="s">
        <v>59</v>
      </c>
      <c r="E42" s="94">
        <f t="shared" ref="E42:P42" si="9">SUM(E39:E41)</f>
        <v>-17330693.32</v>
      </c>
      <c r="F42" s="94">
        <f t="shared" si="9"/>
        <v>-16920169.32</v>
      </c>
      <c r="G42" s="94">
        <f t="shared" si="9"/>
        <v>-18623310.32</v>
      </c>
      <c r="H42" s="94">
        <f t="shared" si="9"/>
        <v>-16243293.939999999</v>
      </c>
      <c r="I42" s="94">
        <f t="shared" si="9"/>
        <v>-18047691.939999998</v>
      </c>
      <c r="J42" s="94">
        <f t="shared" si="9"/>
        <v>-18399061.939999998</v>
      </c>
      <c r="K42" s="94">
        <f t="shared" si="9"/>
        <v>-20092992.939999998</v>
      </c>
      <c r="L42" s="94">
        <f t="shared" si="9"/>
        <v>-19359145.939999998</v>
      </c>
      <c r="M42" s="94">
        <f t="shared" si="9"/>
        <v>-20208509.48</v>
      </c>
      <c r="N42" s="94">
        <f t="shared" si="9"/>
        <v>-16974728.940000001</v>
      </c>
      <c r="O42" s="94">
        <f t="shared" si="9"/>
        <v>-18422175.939999998</v>
      </c>
      <c r="P42" s="94">
        <f t="shared" si="9"/>
        <v>-19090489.939999998</v>
      </c>
      <c r="Q42" s="100"/>
      <c r="R42" s="100"/>
      <c r="S42" s="100"/>
      <c r="T42" s="100"/>
      <c r="U42" s="100"/>
      <c r="V42" s="100"/>
      <c r="W42" s="100"/>
      <c r="X42" s="100"/>
      <c r="Y42" s="100"/>
      <c r="Z42" s="100"/>
    </row>
    <row r="43" spans="1:27" ht="27" customHeight="1">
      <c r="A43" s="198" t="s">
        <v>153</v>
      </c>
      <c r="B43" s="199"/>
      <c r="C43" s="200"/>
      <c r="D43" s="105"/>
      <c r="E43" s="106"/>
      <c r="F43" s="106"/>
      <c r="G43" s="106"/>
      <c r="H43" s="106"/>
      <c r="I43" s="106"/>
      <c r="J43" s="106"/>
      <c r="K43" s="106"/>
      <c r="L43" s="106"/>
      <c r="M43" s="106"/>
      <c r="N43" s="106"/>
      <c r="O43" s="106"/>
      <c r="P43" s="106"/>
      <c r="Q43" s="180"/>
      <c r="R43" s="180"/>
      <c r="S43" s="180"/>
      <c r="T43" s="180"/>
      <c r="U43" s="180"/>
      <c r="V43" s="180"/>
      <c r="W43" s="180"/>
      <c r="X43" s="180"/>
      <c r="Y43" s="180"/>
      <c r="Z43" s="180"/>
      <c r="AA43" s="134"/>
    </row>
    <row r="44" spans="1:27" ht="12" customHeight="1">
      <c r="A44" s="107" t="s">
        <v>154</v>
      </c>
      <c r="B44" s="91" t="s">
        <v>56</v>
      </c>
      <c r="C44" s="92" t="s">
        <v>57</v>
      </c>
      <c r="D44" s="93" t="s">
        <v>58</v>
      </c>
      <c r="E44" s="94">
        <f t="shared" ref="E44:P44" si="10">SUMIFS(E$6:E$42,$D$6:$D$42,$D44,$C$6:$C$42,$C44)</f>
        <v>-730166.36</v>
      </c>
      <c r="F44" s="94">
        <f t="shared" si="10"/>
        <v>-730166.36</v>
      </c>
      <c r="G44" s="94">
        <f t="shared" si="10"/>
        <v>-730166.36</v>
      </c>
      <c r="H44" s="94">
        <f t="shared" si="10"/>
        <v>-730166.36</v>
      </c>
      <c r="I44" s="94">
        <f t="shared" si="10"/>
        <v>-730166.36</v>
      </c>
      <c r="J44" s="94">
        <f t="shared" si="10"/>
        <v>-730166.36</v>
      </c>
      <c r="K44" s="94">
        <f t="shared" si="10"/>
        <v>-730166.36</v>
      </c>
      <c r="L44" s="94">
        <f t="shared" si="10"/>
        <v>-730166.36</v>
      </c>
      <c r="M44" s="94">
        <f t="shared" si="10"/>
        <v>-730166.36</v>
      </c>
      <c r="N44" s="94">
        <f t="shared" si="10"/>
        <v>-730166.36</v>
      </c>
      <c r="O44" s="94">
        <f t="shared" si="10"/>
        <v>-730166.36</v>
      </c>
      <c r="P44" s="94">
        <f t="shared" si="10"/>
        <v>-730166.36</v>
      </c>
      <c r="Q44" s="4"/>
      <c r="R44" s="4"/>
      <c r="S44" s="4"/>
      <c r="T44" s="4"/>
      <c r="U44" s="4"/>
      <c r="V44" s="4"/>
      <c r="W44" s="4"/>
      <c r="X44" s="4"/>
      <c r="Y44" s="4"/>
      <c r="Z44" s="4"/>
    </row>
    <row r="45" spans="1:27" ht="12" customHeight="1">
      <c r="A45" s="107" t="s">
        <v>154</v>
      </c>
      <c r="B45" s="91" t="s">
        <v>56</v>
      </c>
      <c r="C45" s="92" t="s">
        <v>64</v>
      </c>
      <c r="D45" s="93" t="s">
        <v>58</v>
      </c>
      <c r="E45" s="94">
        <f t="shared" ref="E45:P45" si="11">SUMIFS(E$6:E$42,$D$6:$D$42,$D45,$C$6:$C$42,$C45)</f>
        <v>-40667768.119999997</v>
      </c>
      <c r="F45" s="94">
        <f t="shared" si="11"/>
        <v>-36410081.880000003</v>
      </c>
      <c r="G45" s="94">
        <f t="shared" si="11"/>
        <v>-38062487.909999996</v>
      </c>
      <c r="H45" s="94">
        <f t="shared" si="11"/>
        <v>-32036906.73</v>
      </c>
      <c r="I45" s="94">
        <f t="shared" si="11"/>
        <v>-37598700.829999998</v>
      </c>
      <c r="J45" s="94">
        <f t="shared" si="11"/>
        <v>-38136663.219999999</v>
      </c>
      <c r="K45" s="94">
        <f t="shared" si="11"/>
        <v>-47017962.68</v>
      </c>
      <c r="L45" s="94">
        <f t="shared" si="11"/>
        <v>-44981710.899999999</v>
      </c>
      <c r="M45" s="94">
        <f t="shared" si="11"/>
        <v>-45435104.350000001</v>
      </c>
      <c r="N45" s="94">
        <f t="shared" si="11"/>
        <v>-42682973.399999999</v>
      </c>
      <c r="O45" s="94">
        <f t="shared" si="11"/>
        <v>-41546626.119999997</v>
      </c>
      <c r="P45" s="94">
        <f t="shared" si="11"/>
        <v>-44627029.560000002</v>
      </c>
      <c r="Q45" s="4"/>
      <c r="R45" s="4"/>
      <c r="S45" s="4"/>
      <c r="T45" s="4"/>
      <c r="U45" s="4"/>
      <c r="V45" s="4"/>
      <c r="W45" s="4"/>
      <c r="X45" s="4"/>
      <c r="Y45" s="4"/>
      <c r="Z45" s="4"/>
    </row>
    <row r="46" spans="1:27" ht="12" customHeight="1">
      <c r="A46" s="107" t="s">
        <v>154</v>
      </c>
      <c r="B46" s="91" t="s">
        <v>56</v>
      </c>
      <c r="C46" s="92" t="s">
        <v>60</v>
      </c>
      <c r="D46" s="93" t="s">
        <v>58</v>
      </c>
      <c r="E46" s="94">
        <f t="shared" ref="E46:P46" si="12">SUMIFS(E$6:E$42,$D$6:$D$42,$D46,$C$6:$C$42,$C46)</f>
        <v>-52333</v>
      </c>
      <c r="F46" s="94">
        <f t="shared" si="12"/>
        <v>-55414</v>
      </c>
      <c r="G46" s="94">
        <f t="shared" si="12"/>
        <v>-52593</v>
      </c>
      <c r="H46" s="94">
        <f t="shared" si="12"/>
        <v>-55278</v>
      </c>
      <c r="I46" s="94">
        <f t="shared" si="12"/>
        <v>-55751</v>
      </c>
      <c r="J46" s="94">
        <f t="shared" si="12"/>
        <v>-59099</v>
      </c>
      <c r="K46" s="94">
        <f t="shared" si="12"/>
        <v>-57767</v>
      </c>
      <c r="L46" s="94">
        <f t="shared" si="12"/>
        <v>-53650</v>
      </c>
      <c r="M46" s="94">
        <f t="shared" si="12"/>
        <v>-59187</v>
      </c>
      <c r="N46" s="94">
        <f t="shared" si="12"/>
        <v>-56588</v>
      </c>
      <c r="O46" s="94">
        <f t="shared" si="12"/>
        <v>-56791</v>
      </c>
      <c r="P46" s="94">
        <f t="shared" si="12"/>
        <v>-55541</v>
      </c>
      <c r="Q46" s="4"/>
      <c r="R46" s="4"/>
      <c r="S46" s="4"/>
      <c r="T46" s="4"/>
      <c r="U46" s="4"/>
      <c r="V46" s="4"/>
      <c r="W46" s="4"/>
      <c r="X46" s="4"/>
      <c r="Y46" s="4"/>
      <c r="Z46" s="4"/>
    </row>
    <row r="47" spans="1:27" ht="12" customHeight="1">
      <c r="A47" s="107" t="s">
        <v>154</v>
      </c>
      <c r="B47" s="91" t="s">
        <v>56</v>
      </c>
      <c r="C47" s="92" t="s">
        <v>60</v>
      </c>
      <c r="D47" s="93" t="s">
        <v>61</v>
      </c>
      <c r="E47" s="94">
        <f t="shared" ref="E47:P47" si="13">SUMIFS(E$6:E$42,$D$6:$D$42,$D47,$C$6:$C$42,$C47)</f>
        <v>-14558.04</v>
      </c>
      <c r="F47" s="94">
        <f t="shared" si="13"/>
        <v>-14558.04</v>
      </c>
      <c r="G47" s="94">
        <f t="shared" si="13"/>
        <v>-14558.04</v>
      </c>
      <c r="H47" s="94">
        <f t="shared" si="13"/>
        <v>-14558.04</v>
      </c>
      <c r="I47" s="94">
        <f t="shared" si="13"/>
        <v>-14558.04</v>
      </c>
      <c r="J47" s="94">
        <f t="shared" si="13"/>
        <v>-14558.04</v>
      </c>
      <c r="K47" s="94">
        <f t="shared" si="13"/>
        <v>-14558.04</v>
      </c>
      <c r="L47" s="94">
        <f t="shared" si="13"/>
        <v>-14558.04</v>
      </c>
      <c r="M47" s="94">
        <f t="shared" si="13"/>
        <v>-156131.31</v>
      </c>
      <c r="N47" s="94">
        <f t="shared" si="13"/>
        <v>-14558.04</v>
      </c>
      <c r="O47" s="94">
        <f t="shared" si="13"/>
        <v>-14558.04</v>
      </c>
      <c r="P47" s="94">
        <f t="shared" si="13"/>
        <v>-14558.04</v>
      </c>
      <c r="Q47" s="4"/>
      <c r="R47" s="4"/>
      <c r="S47" s="4"/>
      <c r="T47" s="4"/>
      <c r="U47" s="4"/>
      <c r="V47" s="4"/>
      <c r="W47" s="4"/>
      <c r="X47" s="4"/>
      <c r="Y47" s="4"/>
      <c r="Z47" s="4"/>
    </row>
    <row r="48" spans="1:27" ht="12" customHeight="1">
      <c r="A48" s="107" t="s">
        <v>154</v>
      </c>
      <c r="B48" s="91" t="s">
        <v>56</v>
      </c>
      <c r="C48" s="92" t="s">
        <v>60</v>
      </c>
      <c r="D48" s="103" t="s">
        <v>62</v>
      </c>
      <c r="E48" s="94">
        <f t="shared" ref="E48:P48" si="14">SUMIFS(E$6:E$42,$D$6:$D$42,$D48,$C$6:$C$42,$C48)</f>
        <v>-58191.39</v>
      </c>
      <c r="F48" s="94">
        <f t="shared" si="14"/>
        <v>-58191.39</v>
      </c>
      <c r="G48" s="94">
        <f t="shared" si="14"/>
        <v>-58191.39</v>
      </c>
      <c r="H48" s="94">
        <f t="shared" si="14"/>
        <v>-58191.39</v>
      </c>
      <c r="I48" s="94">
        <f t="shared" si="14"/>
        <v>-58191.39</v>
      </c>
      <c r="J48" s="94">
        <f t="shared" si="14"/>
        <v>-58191.39</v>
      </c>
      <c r="K48" s="94">
        <f t="shared" si="14"/>
        <v>-58191.39</v>
      </c>
      <c r="L48" s="94">
        <f t="shared" si="14"/>
        <v>-58191.39</v>
      </c>
      <c r="M48" s="94">
        <f t="shared" si="14"/>
        <v>-58191.39</v>
      </c>
      <c r="N48" s="94">
        <f t="shared" si="14"/>
        <v>-58191.39</v>
      </c>
      <c r="O48" s="94">
        <f t="shared" si="14"/>
        <v>-58191.39</v>
      </c>
      <c r="P48" s="94">
        <f t="shared" si="14"/>
        <v>-58191.39</v>
      </c>
      <c r="Q48" s="4"/>
      <c r="R48" s="4"/>
      <c r="S48" s="4"/>
      <c r="T48" s="4"/>
      <c r="U48" s="4"/>
      <c r="V48" s="4"/>
      <c r="W48" s="4"/>
      <c r="X48" s="4"/>
      <c r="Y48" s="4"/>
      <c r="Z48" s="4"/>
    </row>
    <row r="49" spans="1:26" ht="12" customHeight="1">
      <c r="A49" s="107" t="s">
        <v>154</v>
      </c>
      <c r="B49" s="91" t="s">
        <v>56</v>
      </c>
      <c r="C49" s="92" t="s">
        <v>60</v>
      </c>
      <c r="D49" s="93" t="s">
        <v>63</v>
      </c>
      <c r="E49" s="94">
        <f t="shared" ref="E49:P49" si="15">SUMIFS(E$6:E$42,$D$6:$D$42,$D49,$C$6:$C$42,$C49)</f>
        <v>-716666.67</v>
      </c>
      <c r="F49" s="94">
        <f t="shared" si="15"/>
        <v>-716666.67</v>
      </c>
      <c r="G49" s="94">
        <f t="shared" si="15"/>
        <v>-716666.67</v>
      </c>
      <c r="H49" s="94">
        <f t="shared" si="15"/>
        <v>-716666.67</v>
      </c>
      <c r="I49" s="94">
        <f t="shared" si="15"/>
        <v>-716666.67</v>
      </c>
      <c r="J49" s="94">
        <f t="shared" si="15"/>
        <v>-716666.67</v>
      </c>
      <c r="K49" s="94">
        <f t="shared" si="15"/>
        <v>-716666.67</v>
      </c>
      <c r="L49" s="94">
        <f t="shared" si="15"/>
        <v>-716666.67</v>
      </c>
      <c r="M49" s="94">
        <f t="shared" si="15"/>
        <v>-716666.67</v>
      </c>
      <c r="N49" s="94">
        <f t="shared" si="15"/>
        <v>-716666.67</v>
      </c>
      <c r="O49" s="94">
        <f t="shared" si="15"/>
        <v>-716666.67</v>
      </c>
      <c r="P49" s="94">
        <f t="shared" si="15"/>
        <v>-716666.67</v>
      </c>
      <c r="Q49" s="4"/>
      <c r="R49" s="4"/>
      <c r="S49" s="4"/>
      <c r="T49" s="4"/>
      <c r="U49" s="4"/>
      <c r="V49" s="4"/>
      <c r="W49" s="4"/>
      <c r="X49" s="4"/>
      <c r="Y49" s="4"/>
      <c r="Z49" s="4"/>
    </row>
    <row r="50" spans="1:26" ht="12" customHeight="1">
      <c r="A50" s="107" t="s">
        <v>154</v>
      </c>
      <c r="B50" s="91" t="s">
        <v>65</v>
      </c>
      <c r="C50" s="96" t="s">
        <v>66</v>
      </c>
      <c r="D50" s="93" t="s">
        <v>62</v>
      </c>
      <c r="E50" s="94">
        <f t="shared" ref="E50:P50" si="16">SUMIFS(E$6:E$42,$D$6:$D$42,$D50,$C$6:$C$42,$C50)</f>
        <v>349845</v>
      </c>
      <c r="F50" s="94">
        <f t="shared" si="16"/>
        <v>349845</v>
      </c>
      <c r="G50" s="94">
        <f t="shared" si="16"/>
        <v>349845</v>
      </c>
      <c r="H50" s="94">
        <f t="shared" si="16"/>
        <v>341420</v>
      </c>
      <c r="I50" s="94">
        <f t="shared" si="16"/>
        <v>341420</v>
      </c>
      <c r="J50" s="94">
        <f t="shared" si="16"/>
        <v>762757</v>
      </c>
      <c r="K50" s="94">
        <f t="shared" si="16"/>
        <v>762757</v>
      </c>
      <c r="L50" s="94">
        <f t="shared" si="16"/>
        <v>1165778</v>
      </c>
      <c r="M50" s="94">
        <f t="shared" si="16"/>
        <v>1165778</v>
      </c>
      <c r="N50" s="94">
        <f t="shared" si="16"/>
        <v>341420</v>
      </c>
      <c r="O50" s="94">
        <f t="shared" si="16"/>
        <v>341420</v>
      </c>
      <c r="P50" s="94">
        <f t="shared" si="16"/>
        <v>341420</v>
      </c>
      <c r="Q50" s="4"/>
      <c r="R50" s="4"/>
      <c r="S50" s="4"/>
      <c r="T50" s="4"/>
      <c r="U50" s="4"/>
      <c r="V50" s="4"/>
      <c r="W50" s="4"/>
      <c r="X50" s="4"/>
      <c r="Y50" s="4"/>
      <c r="Z50" s="4"/>
    </row>
    <row r="51" spans="1:26" ht="12" customHeight="1">
      <c r="A51" s="107" t="s">
        <v>154</v>
      </c>
      <c r="B51" s="91" t="s">
        <v>65</v>
      </c>
      <c r="C51" s="96" t="s">
        <v>66</v>
      </c>
      <c r="D51" s="93" t="s">
        <v>61</v>
      </c>
      <c r="E51" s="94">
        <f t="shared" ref="E51:P51" si="17">SUMIFS(E$6:E$42,$D$6:$D$42,$D51,$C$6:$C$42,$C51)</f>
        <v>1050</v>
      </c>
      <c r="F51" s="94">
        <f t="shared" si="17"/>
        <v>1050</v>
      </c>
      <c r="G51" s="94">
        <f t="shared" si="17"/>
        <v>1050</v>
      </c>
      <c r="H51" s="94">
        <f t="shared" si="17"/>
        <v>1050</v>
      </c>
      <c r="I51" s="94">
        <f t="shared" si="17"/>
        <v>1050</v>
      </c>
      <c r="J51" s="94">
        <f t="shared" si="17"/>
        <v>1050</v>
      </c>
      <c r="K51" s="94">
        <f t="shared" si="17"/>
        <v>1050</v>
      </c>
      <c r="L51" s="94">
        <f t="shared" si="17"/>
        <v>1050</v>
      </c>
      <c r="M51" s="94">
        <f t="shared" si="17"/>
        <v>1050</v>
      </c>
      <c r="N51" s="94">
        <f t="shared" si="17"/>
        <v>1050</v>
      </c>
      <c r="O51" s="94">
        <f t="shared" si="17"/>
        <v>1050</v>
      </c>
      <c r="P51" s="94">
        <f t="shared" si="17"/>
        <v>1050</v>
      </c>
      <c r="Q51" s="4"/>
      <c r="R51" s="4"/>
      <c r="S51" s="4"/>
      <c r="T51" s="4"/>
      <c r="U51" s="4"/>
      <c r="V51" s="4"/>
      <c r="W51" s="4"/>
      <c r="X51" s="4"/>
      <c r="Y51" s="4"/>
      <c r="Z51" s="4"/>
    </row>
    <row r="52" spans="1:26" ht="12" customHeight="1">
      <c r="A52" s="107" t="s">
        <v>154</v>
      </c>
      <c r="B52" s="91" t="s">
        <v>28</v>
      </c>
      <c r="C52" s="96" t="s">
        <v>67</v>
      </c>
      <c r="D52" s="93" t="s">
        <v>62</v>
      </c>
      <c r="E52" s="94">
        <f t="shared" ref="E52:P52" si="18">SUMIFS(E$6:E$42,$D$6:$D$42,$D52,$C$6:$C$42,$C52)</f>
        <v>483912.54</v>
      </c>
      <c r="F52" s="94">
        <f t="shared" si="18"/>
        <v>488662.54</v>
      </c>
      <c r="G52" s="94">
        <f t="shared" si="18"/>
        <v>483836.27999999997</v>
      </c>
      <c r="H52" s="94">
        <f t="shared" si="18"/>
        <v>483912.54</v>
      </c>
      <c r="I52" s="94">
        <f t="shared" si="18"/>
        <v>483912.54</v>
      </c>
      <c r="J52" s="94">
        <f t="shared" si="18"/>
        <v>483912.54</v>
      </c>
      <c r="K52" s="94">
        <f t="shared" si="18"/>
        <v>483912.54</v>
      </c>
      <c r="L52" s="94">
        <f t="shared" si="18"/>
        <v>488662.54</v>
      </c>
      <c r="M52" s="94">
        <f t="shared" si="18"/>
        <v>483912.54</v>
      </c>
      <c r="N52" s="94">
        <f t="shared" si="18"/>
        <v>483912.54</v>
      </c>
      <c r="O52" s="94">
        <f t="shared" si="18"/>
        <v>483912.54</v>
      </c>
      <c r="P52" s="94">
        <f t="shared" si="18"/>
        <v>483912.54</v>
      </c>
      <c r="Q52" s="4"/>
      <c r="R52" s="4"/>
      <c r="S52" s="4"/>
      <c r="T52" s="4"/>
      <c r="U52" s="4"/>
      <c r="V52" s="4"/>
      <c r="W52" s="4"/>
      <c r="X52" s="4"/>
      <c r="Y52" s="4"/>
      <c r="Z52" s="4"/>
    </row>
    <row r="53" spans="1:26" ht="12" customHeight="1">
      <c r="A53" s="107" t="s">
        <v>154</v>
      </c>
      <c r="B53" s="91" t="s">
        <v>28</v>
      </c>
      <c r="C53" s="96" t="s">
        <v>67</v>
      </c>
      <c r="D53" s="93" t="s">
        <v>68</v>
      </c>
      <c r="E53" s="94">
        <f t="shared" ref="E53:P53" si="19">SUMIFS(E$6:E$42,$D$6:$D$42,$D53,$C$6:$C$42,$C53)</f>
        <v>0</v>
      </c>
      <c r="F53" s="94">
        <f t="shared" si="19"/>
        <v>0</v>
      </c>
      <c r="G53" s="94">
        <f t="shared" si="19"/>
        <v>0</v>
      </c>
      <c r="H53" s="94">
        <f t="shared" si="19"/>
        <v>0</v>
      </c>
      <c r="I53" s="94">
        <f t="shared" si="19"/>
        <v>0</v>
      </c>
      <c r="J53" s="94">
        <f t="shared" si="19"/>
        <v>0</v>
      </c>
      <c r="K53" s="94">
        <f t="shared" si="19"/>
        <v>0</v>
      </c>
      <c r="L53" s="94">
        <f t="shared" si="19"/>
        <v>0</v>
      </c>
      <c r="M53" s="94">
        <f t="shared" si="19"/>
        <v>0</v>
      </c>
      <c r="N53" s="94">
        <f t="shared" si="19"/>
        <v>0</v>
      </c>
      <c r="O53" s="94">
        <f t="shared" si="19"/>
        <v>0</v>
      </c>
      <c r="P53" s="94">
        <f t="shared" si="19"/>
        <v>0</v>
      </c>
      <c r="Q53" s="4"/>
      <c r="R53" s="4"/>
      <c r="S53" s="4"/>
      <c r="T53" s="4"/>
      <c r="U53" s="4"/>
      <c r="V53" s="4"/>
      <c r="W53" s="4"/>
      <c r="X53" s="4"/>
      <c r="Y53" s="4"/>
      <c r="Z53" s="4"/>
    </row>
    <row r="54" spans="1:26" ht="12" customHeight="1">
      <c r="A54" s="107" t="s">
        <v>154</v>
      </c>
      <c r="B54" s="91" t="s">
        <v>28</v>
      </c>
      <c r="C54" s="96" t="s">
        <v>67</v>
      </c>
      <c r="D54" s="93" t="s">
        <v>61</v>
      </c>
      <c r="E54" s="94">
        <f t="shared" ref="E54:P54" si="20">SUMIFS(E$6:E$42,$D$6:$D$42,$D54,$C$6:$C$42,$C54)</f>
        <v>30000</v>
      </c>
      <c r="F54" s="94">
        <f t="shared" si="20"/>
        <v>30000</v>
      </c>
      <c r="G54" s="94">
        <f t="shared" si="20"/>
        <v>30000</v>
      </c>
      <c r="H54" s="94">
        <f t="shared" si="20"/>
        <v>30000</v>
      </c>
      <c r="I54" s="94">
        <f t="shared" si="20"/>
        <v>30000</v>
      </c>
      <c r="J54" s="94">
        <f t="shared" si="20"/>
        <v>30000</v>
      </c>
      <c r="K54" s="94">
        <f t="shared" si="20"/>
        <v>30000</v>
      </c>
      <c r="L54" s="94">
        <f t="shared" si="20"/>
        <v>30000</v>
      </c>
      <c r="M54" s="94">
        <f t="shared" si="20"/>
        <v>30000</v>
      </c>
      <c r="N54" s="94">
        <f t="shared" si="20"/>
        <v>30000</v>
      </c>
      <c r="O54" s="94">
        <f t="shared" si="20"/>
        <v>30000</v>
      </c>
      <c r="P54" s="94">
        <f t="shared" si="20"/>
        <v>30000</v>
      </c>
      <c r="Q54" s="4"/>
      <c r="R54" s="4"/>
      <c r="S54" s="4"/>
      <c r="T54" s="4"/>
      <c r="U54" s="4"/>
      <c r="V54" s="4"/>
      <c r="W54" s="4"/>
      <c r="X54" s="4"/>
      <c r="Y54" s="4"/>
      <c r="Z54" s="4"/>
    </row>
    <row r="55" spans="1:26" ht="12"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sheetPr>
  <dimension ref="A1:Z1000"/>
  <sheetViews>
    <sheetView showGridLines="0" topLeftCell="A8" zoomScale="92" workbookViewId="0">
      <selection activeCell="C46" sqref="C46"/>
    </sheetView>
  </sheetViews>
  <sheetFormatPr baseColWidth="10" defaultColWidth="14.5" defaultRowHeight="15" customHeight="1"/>
  <cols>
    <col min="1" max="1" width="47.5" customWidth="1"/>
    <col min="2" max="2" width="33.5" customWidth="1"/>
    <col min="3" max="3" width="19.5" customWidth="1"/>
    <col min="4" max="4" width="16.6640625" customWidth="1"/>
    <col min="5" max="14" width="19.5" customWidth="1"/>
    <col min="15" max="15" width="11.5" customWidth="1"/>
    <col min="16" max="17" width="12.5" customWidth="1"/>
    <col min="18" max="25" width="9.1640625" customWidth="1"/>
  </cols>
  <sheetData>
    <row r="1" spans="1:26" ht="27.75" customHeight="1">
      <c r="A1" s="197" t="s">
        <v>155</v>
      </c>
      <c r="B1" s="173"/>
      <c r="C1" s="108">
        <v>41456</v>
      </c>
      <c r="D1" s="108">
        <v>41487</v>
      </c>
      <c r="E1" s="108">
        <v>41518</v>
      </c>
      <c r="F1" s="108">
        <v>41548</v>
      </c>
      <c r="G1" s="108">
        <v>41579</v>
      </c>
      <c r="H1" s="108">
        <v>41609</v>
      </c>
      <c r="I1" s="108">
        <v>41640</v>
      </c>
      <c r="J1" s="108">
        <v>41671</v>
      </c>
      <c r="K1" s="108">
        <v>41699</v>
      </c>
      <c r="L1" s="108">
        <v>41730</v>
      </c>
      <c r="M1" s="108">
        <v>41760</v>
      </c>
      <c r="N1" s="108">
        <v>41791</v>
      </c>
      <c r="O1" s="173"/>
      <c r="P1" s="173"/>
      <c r="Q1" s="173"/>
      <c r="R1" s="173"/>
      <c r="S1" s="173"/>
      <c r="T1" s="173"/>
      <c r="U1" s="173"/>
      <c r="V1" s="173"/>
      <c r="W1" s="173"/>
      <c r="X1" s="173"/>
      <c r="Y1" s="173"/>
      <c r="Z1" s="175"/>
    </row>
    <row r="2" spans="1:26" ht="21.75" customHeight="1">
      <c r="A2" s="287"/>
      <c r="B2" s="272"/>
      <c r="C2" s="109" t="s">
        <v>43</v>
      </c>
      <c r="D2" s="110" t="s">
        <v>44</v>
      </c>
      <c r="E2" s="111" t="s">
        <v>45</v>
      </c>
      <c r="F2" s="111" t="s">
        <v>46</v>
      </c>
      <c r="G2" s="111" t="s">
        <v>47</v>
      </c>
      <c r="H2" s="111" t="s">
        <v>48</v>
      </c>
      <c r="I2" s="111" t="s">
        <v>49</v>
      </c>
      <c r="J2" s="111" t="s">
        <v>50</v>
      </c>
      <c r="K2" s="111" t="s">
        <v>51</v>
      </c>
      <c r="L2" s="111" t="s">
        <v>52</v>
      </c>
      <c r="M2" s="111" t="s">
        <v>53</v>
      </c>
      <c r="N2" s="111" t="s">
        <v>54</v>
      </c>
      <c r="O2" s="173"/>
      <c r="P2" s="173"/>
      <c r="Q2" s="173"/>
      <c r="R2" s="173"/>
      <c r="S2" s="173"/>
      <c r="T2" s="173"/>
      <c r="U2" s="173"/>
      <c r="V2" s="173"/>
      <c r="W2" s="173"/>
      <c r="X2" s="173"/>
      <c r="Y2" s="173"/>
      <c r="Z2" s="175"/>
    </row>
    <row r="3" spans="1:26" ht="12" customHeight="1">
      <c r="A3" s="161" t="s">
        <v>55</v>
      </c>
      <c r="B3" s="162" t="s">
        <v>56</v>
      </c>
      <c r="C3" s="16">
        <f>SUMIFS('CC BUDGET'!E$6:E$42,'CC BUDGET'!$B$6:$B$42,'CC BUDGET'!$B$6,'CC BUDGET'!$A$6:$A$42,'CC BUDGET'!$A$6)</f>
        <v>-8213375.7000000002</v>
      </c>
      <c r="D3" s="16">
        <f>SUMIFS('CC BUDGET'!F$6:F$42,'CC BUDGET'!$B$6:$B$42,'CC BUDGET'!$B$6,'CC BUDGET'!$A$6:$A$42,'CC BUDGET'!$A$6)</f>
        <v>-5968279.7000000002</v>
      </c>
      <c r="E3" s="16">
        <f>SUMIFS('CC BUDGET'!G$6:G$42,'CC BUDGET'!$B$6:$B$42,'CC BUDGET'!$B$6,'CC BUDGET'!$A$6:$A$42,'CC BUDGET'!$A$6)</f>
        <v>-5943759.7000000002</v>
      </c>
      <c r="F3" s="16">
        <f>SUMIFS('CC BUDGET'!H$6:H$42,'CC BUDGET'!$B$6:$B$42,'CC BUDGET'!$B$6,'CC BUDGET'!$A$6:$A$42,'CC BUDGET'!$A$6)</f>
        <v>-4405551.2300000004</v>
      </c>
      <c r="G3" s="16">
        <f>SUMIFS('CC BUDGET'!I$6:I$42,'CC BUDGET'!$B$6:$B$42,'CC BUDGET'!$B$6,'CC BUDGET'!$A$6:$A$42,'CC BUDGET'!$A$6)</f>
        <v>-7250656.2300000004</v>
      </c>
      <c r="H3" s="16">
        <f>SUMIFS('CC BUDGET'!J$6:J$42,'CC BUDGET'!$B$6:$B$42,'CC BUDGET'!$B$6,'CC BUDGET'!$A$6:$A$42,'CC BUDGET'!$A$6)</f>
        <v>-8001217.2300000004</v>
      </c>
      <c r="I3" s="16">
        <f>SUMIFS('CC BUDGET'!K$6:K$42,'CC BUDGET'!$B$6:$B$42,'CC BUDGET'!$B$6,'CC BUDGET'!$A$6:$A$42,'CC BUDGET'!$A$6)</f>
        <v>-10464692.23</v>
      </c>
      <c r="J3" s="16">
        <f>SUMIFS('CC BUDGET'!L$6:L$42,'CC BUDGET'!$B$6:$B$42,'CC BUDGET'!$B$6,'CC BUDGET'!$A$6:$A$42,'CC BUDGET'!$A$6)</f>
        <v>-9728864.2300000004</v>
      </c>
      <c r="K3" s="16">
        <f>SUMIFS('CC BUDGET'!M$6:M$42,'CC BUDGET'!$B$6:$B$42,'CC BUDGET'!$B$6,'CC BUDGET'!$A$6:$A$42,'CC BUDGET'!$A$6)</f>
        <v>-10439474.23</v>
      </c>
      <c r="L3" s="16">
        <f>SUMIFS('CC BUDGET'!N$6:N$42,'CC BUDGET'!$B$6:$B$42,'CC BUDGET'!$B$6,'CC BUDGET'!$A$6:$A$42,'CC BUDGET'!$A$6)</f>
        <v>-8093996.2300000004</v>
      </c>
      <c r="M3" s="16">
        <f>SUMIFS('CC BUDGET'!O$6:O$42,'CC BUDGET'!$B$6:$B$42,'CC BUDGET'!$B$6,'CC BUDGET'!$A$6:$A$42,'CC BUDGET'!$A$6)</f>
        <v>-7467847.2300000004</v>
      </c>
      <c r="N3" s="16">
        <f>SUMIFS('CC BUDGET'!P$6:P$42,'CC BUDGET'!$B$6:$B$42,'CC BUDGET'!$B$6,'CC BUDGET'!$A$6:$A$42,'CC BUDGET'!$A$6)</f>
        <v>-8015833.2300000004</v>
      </c>
      <c r="O3" s="4"/>
      <c r="P3" s="4"/>
      <c r="Q3" s="4"/>
      <c r="R3" s="4"/>
      <c r="S3" s="4"/>
      <c r="T3" s="4"/>
      <c r="U3" s="4"/>
      <c r="V3" s="4"/>
      <c r="W3" s="4"/>
      <c r="X3" s="4"/>
      <c r="Y3" s="4"/>
      <c r="Z3" s="18"/>
    </row>
    <row r="4" spans="1:26" ht="12" customHeight="1">
      <c r="A4" s="112"/>
      <c r="B4" s="113" t="s">
        <v>81</v>
      </c>
      <c r="C4" s="16">
        <f>SUMIFS('CC BUDGET'!E$6:E$42,'CC BUDGET'!$B$6:$B$42,'CC BUDGET'!$B$9,'CC BUDGET'!$A$6:$A$42,'CC BUDGET'!$A$6)</f>
        <v>30000</v>
      </c>
      <c r="D4" s="16">
        <f>SUMIFS('CC BUDGET'!F$6:F$42,'CC BUDGET'!$B$6:$B$42,'CC BUDGET'!$B$9,'CC BUDGET'!$A$6:$A$42,'CC BUDGET'!$A$6)</f>
        <v>30000</v>
      </c>
      <c r="E4" s="16">
        <f>SUMIFS('CC BUDGET'!G$6:G$42,'CC BUDGET'!$B$6:$B$42,'CC BUDGET'!$B$9,'CC BUDGET'!$A$6:$A$42,'CC BUDGET'!$A$6)</f>
        <v>30000</v>
      </c>
      <c r="F4" s="16">
        <f>SUMIFS('CC BUDGET'!H$6:H$42,'CC BUDGET'!$B$6:$B$42,'CC BUDGET'!$B$9,'CC BUDGET'!$A$6:$A$42,'CC BUDGET'!$A$6)</f>
        <v>30000</v>
      </c>
      <c r="G4" s="16">
        <f>SUMIFS('CC BUDGET'!I$6:I$42,'CC BUDGET'!$B$6:$B$42,'CC BUDGET'!$B$9,'CC BUDGET'!$A$6:$A$42,'CC BUDGET'!$A$6)</f>
        <v>30000</v>
      </c>
      <c r="H4" s="16">
        <f>SUMIFS('CC BUDGET'!J$6:J$42,'CC BUDGET'!$B$6:$B$42,'CC BUDGET'!$B$9,'CC BUDGET'!$A$6:$A$42,'CC BUDGET'!$A$6)</f>
        <v>30000</v>
      </c>
      <c r="I4" s="16">
        <f>SUMIFS('CC BUDGET'!K$6:K$42,'CC BUDGET'!$B$6:$B$42,'CC BUDGET'!$B$9,'CC BUDGET'!$A$6:$A$42,'CC BUDGET'!$A$6)</f>
        <v>30000</v>
      </c>
      <c r="J4" s="16">
        <f>SUMIFS('CC BUDGET'!L$6:L$42,'CC BUDGET'!$B$6:$B$42,'CC BUDGET'!$B$9,'CC BUDGET'!$A$6:$A$42,'CC BUDGET'!$A$6)</f>
        <v>30000</v>
      </c>
      <c r="K4" s="16">
        <f>SUMIFS('CC BUDGET'!M$6:M$42,'CC BUDGET'!$B$6:$B$42,'CC BUDGET'!$B$9,'CC BUDGET'!$A$6:$A$42,'CC BUDGET'!$A$6)</f>
        <v>30000</v>
      </c>
      <c r="L4" s="16">
        <f>SUMIFS('CC BUDGET'!N$6:N$42,'CC BUDGET'!$B$6:$B$42,'CC BUDGET'!$B$9,'CC BUDGET'!$A$6:$A$42,'CC BUDGET'!$A$6)</f>
        <v>30000</v>
      </c>
      <c r="M4" s="16">
        <f>SUMIFS('CC BUDGET'!O$6:O$42,'CC BUDGET'!$B$6:$B$42,'CC BUDGET'!$B$9,'CC BUDGET'!$A$6:$A$42,'CC BUDGET'!$A$6)</f>
        <v>30000</v>
      </c>
      <c r="N4" s="16">
        <f>SUMIFS('CC BUDGET'!P$6:P$42,'CC BUDGET'!$B$6:$B$42,'CC BUDGET'!$B$9,'CC BUDGET'!$A$6:$A$42,'CC BUDGET'!$A$6)</f>
        <v>30000</v>
      </c>
      <c r="O4" s="4"/>
      <c r="P4" s="4"/>
      <c r="Q4" s="4"/>
      <c r="R4" s="4"/>
      <c r="S4" s="4"/>
      <c r="T4" s="4"/>
      <c r="U4" s="4"/>
      <c r="V4" s="4"/>
      <c r="W4" s="4"/>
      <c r="X4" s="4"/>
      <c r="Y4" s="4"/>
      <c r="Z4" s="18"/>
    </row>
    <row r="5" spans="1:26" ht="12" customHeight="1">
      <c r="A5" s="112"/>
      <c r="B5" s="114" t="s">
        <v>82</v>
      </c>
      <c r="C5" s="16">
        <f>SUMIFS('CC BUDGET'!E$6:E$42,'CC BUDGET'!$B$6:$B$42,'CC BUDGET'!$B$10,'CC BUDGET'!$A$6:$A$42,'CC BUDGET'!$A$6)</f>
        <v>30000</v>
      </c>
      <c r="D5" s="16">
        <f>SUMIFS('CC BUDGET'!F$6:F$42,'CC BUDGET'!$B$6:$B$42,'CC BUDGET'!$B$10,'CC BUDGET'!$A$6:$A$42,'CC BUDGET'!$A$6)</f>
        <v>30000</v>
      </c>
      <c r="E5" s="16">
        <f>SUMIFS('CC BUDGET'!G$6:G$42,'CC BUDGET'!$B$6:$B$42,'CC BUDGET'!$B$10,'CC BUDGET'!$A$6:$A$42,'CC BUDGET'!$A$6)</f>
        <v>29923.74</v>
      </c>
      <c r="F5" s="16">
        <f>SUMIFS('CC BUDGET'!H$6:H$42,'CC BUDGET'!$B$6:$B$42,'CC BUDGET'!$B$10,'CC BUDGET'!$A$6:$A$42,'CC BUDGET'!$A$6)</f>
        <v>30000</v>
      </c>
      <c r="G5" s="16">
        <f>SUMIFS('CC BUDGET'!I$6:I$42,'CC BUDGET'!$B$6:$B$42,'CC BUDGET'!$B$10,'CC BUDGET'!$A$6:$A$42,'CC BUDGET'!$A$6)</f>
        <v>30000</v>
      </c>
      <c r="H5" s="16">
        <f>SUMIFS('CC BUDGET'!J$6:J$42,'CC BUDGET'!$B$6:$B$42,'CC BUDGET'!$B$10,'CC BUDGET'!$A$6:$A$42,'CC BUDGET'!$A$6)</f>
        <v>30000</v>
      </c>
      <c r="I5" s="16">
        <f>SUMIFS('CC BUDGET'!K$6:K$42,'CC BUDGET'!$B$6:$B$42,'CC BUDGET'!$B$10,'CC BUDGET'!$A$6:$A$42,'CC BUDGET'!$A$6)</f>
        <v>30000</v>
      </c>
      <c r="J5" s="16">
        <f>SUMIFS('CC BUDGET'!L$6:L$42,'CC BUDGET'!$B$6:$B$42,'CC BUDGET'!$B$10,'CC BUDGET'!$A$6:$A$42,'CC BUDGET'!$A$6)</f>
        <v>30000</v>
      </c>
      <c r="K5" s="16">
        <f>SUMIFS('CC BUDGET'!M$6:M$42,'CC BUDGET'!$B$6:$B$42,'CC BUDGET'!$B$10,'CC BUDGET'!$A$6:$A$42,'CC BUDGET'!$A$6)</f>
        <v>30000</v>
      </c>
      <c r="L5" s="16">
        <f>SUMIFS('CC BUDGET'!N$6:N$42,'CC BUDGET'!$B$6:$B$42,'CC BUDGET'!$B$10,'CC BUDGET'!$A$6:$A$42,'CC BUDGET'!$A$6)</f>
        <v>30000</v>
      </c>
      <c r="M5" s="16">
        <f>SUMIFS('CC BUDGET'!O$6:O$42,'CC BUDGET'!$B$6:$B$42,'CC BUDGET'!$B$10,'CC BUDGET'!$A$6:$A$42,'CC BUDGET'!$A$6)</f>
        <v>30000</v>
      </c>
      <c r="N5" s="16">
        <f>SUMIFS('CC BUDGET'!P$6:P$42,'CC BUDGET'!$B$6:$B$42,'CC BUDGET'!$B$10,'CC BUDGET'!$A$6:$A$42,'CC BUDGET'!$A$6)</f>
        <v>30000</v>
      </c>
      <c r="O5" s="4"/>
      <c r="P5" s="4"/>
      <c r="Q5" s="4"/>
      <c r="R5" s="4"/>
      <c r="S5" s="4"/>
      <c r="T5" s="4"/>
      <c r="U5" s="4"/>
      <c r="V5" s="4"/>
      <c r="W5" s="4"/>
      <c r="X5" s="4"/>
      <c r="Y5" s="4"/>
      <c r="Z5" s="18"/>
    </row>
    <row r="6" spans="1:26" ht="12" customHeight="1">
      <c r="A6" s="112"/>
      <c r="B6" s="114"/>
      <c r="C6" s="16"/>
      <c r="D6" s="16"/>
      <c r="E6" s="16"/>
      <c r="F6" s="16"/>
      <c r="G6" s="16"/>
      <c r="H6" s="16"/>
      <c r="I6" s="16"/>
      <c r="J6" s="16"/>
      <c r="K6" s="16"/>
      <c r="L6" s="16"/>
      <c r="M6" s="16"/>
      <c r="N6" s="16"/>
      <c r="O6" s="4"/>
      <c r="P6" s="4"/>
      <c r="Q6" s="4"/>
      <c r="R6" s="4"/>
      <c r="S6" s="4"/>
      <c r="T6" s="4"/>
      <c r="U6" s="4"/>
      <c r="V6" s="4"/>
      <c r="W6" s="4"/>
      <c r="X6" s="4"/>
      <c r="Y6" s="4"/>
      <c r="Z6" s="18"/>
    </row>
    <row r="7" spans="1:26" ht="12" customHeight="1">
      <c r="A7" s="116" t="s">
        <v>69</v>
      </c>
      <c r="B7" s="113" t="s">
        <v>56</v>
      </c>
      <c r="C7" s="16">
        <f>SUMIFS('CC BUDGET'!E$6:E$42,'CC BUDGET'!$B$6:$B$42,'CC BUDGET'!$B$6,'CC BUDGET'!$A$6:$A$42,'CC BUDGET'!$A$20)</f>
        <v>-16539850.560000001</v>
      </c>
      <c r="D7" s="16">
        <f>SUMIFS('CC BUDGET'!F$6:F$42,'CC BUDGET'!$B$6:$B$42,'CC BUDGET'!$B$6,'CC BUDGET'!$A$6:$A$42,'CC BUDGET'!$A$20)</f>
        <v>-14936115.32</v>
      </c>
      <c r="E7" s="16">
        <f>SUMIFS('CC BUDGET'!G$6:G$42,'CC BUDGET'!$B$6:$B$42,'CC BUDGET'!$B$6,'CC BUDGET'!$A$6:$A$42,'CC BUDGET'!$A$20)</f>
        <v>-14911829.35</v>
      </c>
      <c r="F7" s="16">
        <f>SUMIFS('CC BUDGET'!H$6:H$42,'CC BUDGET'!$B$6:$B$42,'CC BUDGET'!$B$6,'CC BUDGET'!$A$6:$A$42,'CC BUDGET'!$A$20)</f>
        <v>-12812490.02</v>
      </c>
      <c r="G7" s="16">
        <f>SUMIFS('CC BUDGET'!I$6:I$42,'CC BUDGET'!$B$6:$B$42,'CC BUDGET'!$B$6,'CC BUDGET'!$A$6:$A$42,'CC BUDGET'!$A$20)</f>
        <v>-13725254.119999999</v>
      </c>
      <c r="H7" s="16">
        <f>SUMIFS('CC BUDGET'!J$6:J$42,'CC BUDGET'!$B$6:$B$42,'CC BUDGET'!$B$6,'CC BUDGET'!$A$6:$A$42,'CC BUDGET'!$A$20)</f>
        <v>-12969085.51</v>
      </c>
      <c r="I7" s="16">
        <f>SUMIFS('CC BUDGET'!K$6:K$42,'CC BUDGET'!$B$6:$B$42,'CC BUDGET'!$B$6,'CC BUDGET'!$A$6:$A$42,'CC BUDGET'!$A$20)</f>
        <v>-17691646.970000003</v>
      </c>
      <c r="J7" s="16">
        <f>SUMIFS('CC BUDGET'!L$6:L$42,'CC BUDGET'!$B$6:$B$42,'CC BUDGET'!$B$6,'CC BUDGET'!$A$6:$A$42,'CC BUDGET'!$A$20)</f>
        <v>-16929153.190000001</v>
      </c>
      <c r="K7" s="16">
        <f>SUMIFS('CC BUDGET'!M$6:M$42,'CC BUDGET'!$B$6:$B$42,'CC BUDGET'!$B$6,'CC BUDGET'!$A$6:$A$42,'CC BUDGET'!$A$20)</f>
        <v>-15974433.369999999</v>
      </c>
      <c r="L7" s="16">
        <f>SUMIFS('CC BUDGET'!N$6:N$42,'CC BUDGET'!$B$6:$B$42,'CC BUDGET'!$B$6,'CC BUDGET'!$A$6:$A$42,'CC BUDGET'!$A$20)</f>
        <v>-19039986.690000001</v>
      </c>
      <c r="M7" s="16">
        <f>SUMIFS('CC BUDGET'!O$6:O$42,'CC BUDGET'!$B$6:$B$42,'CC BUDGET'!$B$6,'CC BUDGET'!$A$6:$A$42,'CC BUDGET'!$A$20)</f>
        <v>-17082544.41</v>
      </c>
      <c r="N7" s="16">
        <f>SUMIFS('CC BUDGET'!P$6:P$42,'CC BUDGET'!$B$6:$B$42,'CC BUDGET'!$B$6,'CC BUDGET'!$A$6:$A$42,'CC BUDGET'!$A$20)</f>
        <v>-18945397.850000001</v>
      </c>
      <c r="O7" s="4"/>
      <c r="P7" s="4"/>
      <c r="Q7" s="4"/>
      <c r="R7" s="4"/>
      <c r="S7" s="4"/>
      <c r="T7" s="4"/>
      <c r="U7" s="4"/>
      <c r="V7" s="4"/>
      <c r="W7" s="4"/>
      <c r="X7" s="4"/>
      <c r="Y7" s="4"/>
      <c r="Z7" s="18"/>
    </row>
    <row r="8" spans="1:26" ht="12" customHeight="1">
      <c r="A8" s="116"/>
      <c r="B8" s="114" t="s">
        <v>81</v>
      </c>
      <c r="C8" s="16">
        <f>SUMIFS('CC BUDGET'!E$6:E$42,'CC BUDGET'!$B$6:$B$42,'CC BUDGET'!$B$9,'CC BUDGET'!$A$6:$A$42,'CC BUDGET'!$A$20)</f>
        <v>169981</v>
      </c>
      <c r="D8" s="16">
        <f>SUMIFS('CC BUDGET'!F$6:F$42,'CC BUDGET'!$B$6:$B$42,'CC BUDGET'!$B$9,'CC BUDGET'!$A$6:$A$42,'CC BUDGET'!$A$20)</f>
        <v>169981</v>
      </c>
      <c r="E8" s="16">
        <f>SUMIFS('CC BUDGET'!G$6:G$42,'CC BUDGET'!$B$6:$B$42,'CC BUDGET'!$B$9,'CC BUDGET'!$A$6:$A$42,'CC BUDGET'!$A$20)</f>
        <v>169981</v>
      </c>
      <c r="F8" s="16">
        <f>SUMIFS('CC BUDGET'!H$6:H$42,'CC BUDGET'!$B$6:$B$42,'CC BUDGET'!$B$9,'CC BUDGET'!$A$6:$A$42,'CC BUDGET'!$A$20)</f>
        <v>166888</v>
      </c>
      <c r="G8" s="16">
        <f>SUMIFS('CC BUDGET'!I$6:I$42,'CC BUDGET'!$B$6:$B$42,'CC BUDGET'!$B$9,'CC BUDGET'!$A$6:$A$42,'CC BUDGET'!$A$20)</f>
        <v>166888</v>
      </c>
      <c r="H8" s="16">
        <f>SUMIFS('CC BUDGET'!J$6:J$42,'CC BUDGET'!$B$6:$B$42,'CC BUDGET'!$B$9,'CC BUDGET'!$A$6:$A$42,'CC BUDGET'!$A$20)</f>
        <v>392677</v>
      </c>
      <c r="I8" s="16">
        <f>SUMIFS('CC BUDGET'!K$6:K$42,'CC BUDGET'!$B$6:$B$42,'CC BUDGET'!$B$9,'CC BUDGET'!$A$6:$A$42,'CC BUDGET'!$A$20)</f>
        <v>392677</v>
      </c>
      <c r="J8" s="16">
        <f>SUMIFS('CC BUDGET'!L$6:L$42,'CC BUDGET'!$B$6:$B$42,'CC BUDGET'!$B$9,'CC BUDGET'!$A$6:$A$42,'CC BUDGET'!$A$20)</f>
        <v>608648</v>
      </c>
      <c r="K8" s="16">
        <f>SUMIFS('CC BUDGET'!M$6:M$42,'CC BUDGET'!$B$6:$B$42,'CC BUDGET'!$B$9,'CC BUDGET'!$A$6:$A$42,'CC BUDGET'!$A$20)</f>
        <v>608648</v>
      </c>
      <c r="L8" s="16">
        <f>SUMIFS('CC BUDGET'!N$6:N$42,'CC BUDGET'!$B$6:$B$42,'CC BUDGET'!$B$9,'CC BUDGET'!$A$6:$A$42,'CC BUDGET'!$A$20)</f>
        <v>166888</v>
      </c>
      <c r="M8" s="16">
        <f>SUMIFS('CC BUDGET'!O$6:O$42,'CC BUDGET'!$B$6:$B$42,'CC BUDGET'!$B$9,'CC BUDGET'!$A$6:$A$42,'CC BUDGET'!$A$20)</f>
        <v>166888</v>
      </c>
      <c r="N8" s="16">
        <f>SUMIFS('CC BUDGET'!P$6:P$42,'CC BUDGET'!$B$6:$B$42,'CC BUDGET'!$B$9,'CC BUDGET'!$A$6:$A$42,'CC BUDGET'!$A$20)</f>
        <v>166888</v>
      </c>
      <c r="O8" s="4"/>
      <c r="P8" s="4"/>
      <c r="Q8" s="4"/>
      <c r="R8" s="4"/>
      <c r="S8" s="4"/>
      <c r="T8" s="4"/>
      <c r="U8" s="4"/>
      <c r="V8" s="4"/>
      <c r="W8" s="4"/>
      <c r="X8" s="4"/>
      <c r="Y8" s="4"/>
      <c r="Z8" s="18"/>
    </row>
    <row r="9" spans="1:26" ht="12" customHeight="1">
      <c r="A9" s="112"/>
      <c r="B9" s="113" t="s">
        <v>82</v>
      </c>
      <c r="C9" s="16">
        <f>SUMIFS('CC BUDGET'!E$6:E$42,'CC BUDGET'!$B$6:$B$42,'CC BUDGET'!$B$10,'CC BUDGET'!$A$6:$A$42,'CC BUDGET'!$A$20)</f>
        <v>479062.54</v>
      </c>
      <c r="D9" s="16">
        <f>SUMIFS('CC BUDGET'!F$6:F$42,'CC BUDGET'!$B$6:$B$42,'CC BUDGET'!$B$10,'CC BUDGET'!$A$6:$A$42,'CC BUDGET'!$A$20)</f>
        <v>479062.54</v>
      </c>
      <c r="E9" s="16">
        <f>SUMIFS('CC BUDGET'!G$6:G$42,'CC BUDGET'!$B$6:$B$42,'CC BUDGET'!$B$10,'CC BUDGET'!$A$6:$A$42,'CC BUDGET'!$A$20)</f>
        <v>479062.54</v>
      </c>
      <c r="F9" s="16">
        <f>SUMIFS('CC BUDGET'!H$6:H$42,'CC BUDGET'!$B$6:$B$42,'CC BUDGET'!$B$10,'CC BUDGET'!$A$6:$A$42,'CC BUDGET'!$A$20)</f>
        <v>479062.54</v>
      </c>
      <c r="G9" s="16">
        <f>SUMIFS('CC BUDGET'!I$6:I$42,'CC BUDGET'!$B$6:$B$42,'CC BUDGET'!$B$10,'CC BUDGET'!$A$6:$A$42,'CC BUDGET'!$A$20)</f>
        <v>479062.54</v>
      </c>
      <c r="H9" s="16">
        <f>SUMIFS('CC BUDGET'!J$6:J$42,'CC BUDGET'!$B$6:$B$42,'CC BUDGET'!$B$10,'CC BUDGET'!$A$6:$A$42,'CC BUDGET'!$A$20)</f>
        <v>479062.54</v>
      </c>
      <c r="I9" s="16">
        <f>SUMIFS('CC BUDGET'!K$6:K$42,'CC BUDGET'!$B$6:$B$42,'CC BUDGET'!$B$10,'CC BUDGET'!$A$6:$A$42,'CC BUDGET'!$A$20)</f>
        <v>479062.54</v>
      </c>
      <c r="J9" s="16">
        <f>SUMIFS('CC BUDGET'!L$6:L$42,'CC BUDGET'!$B$6:$B$42,'CC BUDGET'!$B$10,'CC BUDGET'!$A$6:$A$42,'CC BUDGET'!$A$20)</f>
        <v>479062.54</v>
      </c>
      <c r="K9" s="16">
        <f>SUMIFS('CC BUDGET'!M$6:M$42,'CC BUDGET'!$B$6:$B$42,'CC BUDGET'!$B$10,'CC BUDGET'!$A$6:$A$42,'CC BUDGET'!$A$20)</f>
        <v>479062.54</v>
      </c>
      <c r="L9" s="16">
        <f>SUMIFS('CC BUDGET'!N$6:N$42,'CC BUDGET'!$B$6:$B$42,'CC BUDGET'!$B$10,'CC BUDGET'!$A$6:$A$42,'CC BUDGET'!$A$20)</f>
        <v>479062.54</v>
      </c>
      <c r="M9" s="16">
        <f>SUMIFS('CC BUDGET'!O$6:O$42,'CC BUDGET'!$B$6:$B$42,'CC BUDGET'!$B$10,'CC BUDGET'!$A$6:$A$42,'CC BUDGET'!$A$20)</f>
        <v>479062.54</v>
      </c>
      <c r="N9" s="16">
        <f>SUMIFS('CC BUDGET'!P$6:P$42,'CC BUDGET'!$B$6:$B$42,'CC BUDGET'!$B$10,'CC BUDGET'!$A$6:$A$42,'CC BUDGET'!$A$20)</f>
        <v>479062.54</v>
      </c>
      <c r="O9" s="4"/>
      <c r="P9" s="4"/>
      <c r="Q9" s="4"/>
      <c r="R9" s="4"/>
      <c r="S9" s="4"/>
      <c r="T9" s="4"/>
      <c r="U9" s="4"/>
      <c r="V9" s="4"/>
      <c r="W9" s="4"/>
      <c r="X9" s="4"/>
      <c r="Y9" s="4"/>
      <c r="Z9" s="18"/>
    </row>
    <row r="10" spans="1:26" ht="12" customHeight="1">
      <c r="A10" s="112"/>
      <c r="B10" s="113"/>
      <c r="C10" s="16"/>
      <c r="D10" s="16"/>
      <c r="E10" s="16"/>
      <c r="F10" s="16"/>
      <c r="G10" s="16"/>
      <c r="H10" s="16"/>
      <c r="I10" s="16"/>
      <c r="J10" s="16"/>
      <c r="K10" s="16"/>
      <c r="L10" s="16"/>
      <c r="M10" s="16"/>
      <c r="N10" s="16"/>
      <c r="O10" s="4"/>
      <c r="P10" s="4"/>
      <c r="Q10" s="4"/>
      <c r="R10" s="4"/>
      <c r="S10" s="4"/>
      <c r="T10" s="4"/>
      <c r="U10" s="4"/>
      <c r="V10" s="4"/>
      <c r="W10" s="4"/>
      <c r="X10" s="4"/>
      <c r="Y10" s="4"/>
      <c r="Z10" s="18"/>
    </row>
    <row r="11" spans="1:26" ht="12" customHeight="1">
      <c r="A11" s="116" t="s">
        <v>84</v>
      </c>
      <c r="B11" s="114" t="s">
        <v>56</v>
      </c>
      <c r="C11" s="16">
        <f>SUMIFS('CC BUDGET'!E$6:E$42,'CC BUDGET'!$B$6:$B$42,'CC BUDGET'!$B$6,'CC BUDGET'!$A$6:$A$42,'CC BUDGET'!$A$30)</f>
        <v>-17486457.32</v>
      </c>
      <c r="D11" s="16">
        <f>SUMIFS('CC BUDGET'!F$6:F$42,'CC BUDGET'!$B$6:$B$42,'CC BUDGET'!$B$6,'CC BUDGET'!$A$6:$A$42,'CC BUDGET'!$A$30)</f>
        <v>-17080683.32</v>
      </c>
      <c r="E11" s="16">
        <f>SUMIFS('CC BUDGET'!G$6:G$42,'CC BUDGET'!$B$6:$B$42,'CC BUDGET'!$B$6,'CC BUDGET'!$A$6:$A$42,'CC BUDGET'!$A$30)</f>
        <v>-18779074.32</v>
      </c>
      <c r="F11" s="16">
        <f>SUMIFS('CC BUDGET'!H$6:H$42,'CC BUDGET'!$B$6:$B$42,'CC BUDGET'!$B$6,'CC BUDGET'!$A$6:$A$42,'CC BUDGET'!$A$30)</f>
        <v>-16393725.940000001</v>
      </c>
      <c r="G11" s="16">
        <f>SUMIFS('CC BUDGET'!I$6:I$42,'CC BUDGET'!$B$6:$B$42,'CC BUDGET'!$B$6,'CC BUDGET'!$A$6:$A$42,'CC BUDGET'!$A$30)</f>
        <v>-18198123.939999998</v>
      </c>
      <c r="H11" s="16">
        <f>SUMIFS('CC BUDGET'!J$6:J$42,'CC BUDGET'!$B$6:$B$42,'CC BUDGET'!$B$6,'CC BUDGET'!$A$6:$A$42,'CC BUDGET'!$A$30)</f>
        <v>-18745041.939999998</v>
      </c>
      <c r="I11" s="16">
        <f>SUMIFS('CC BUDGET'!K$6:K$42,'CC BUDGET'!$B$6:$B$42,'CC BUDGET'!$B$6,'CC BUDGET'!$A$6:$A$42,'CC BUDGET'!$A$30)</f>
        <v>-20438972.939999998</v>
      </c>
      <c r="J11" s="16">
        <f>SUMIFS('CC BUDGET'!L$6:L$42,'CC BUDGET'!$B$6:$B$42,'CC BUDGET'!$B$6,'CC BUDGET'!$A$6:$A$42,'CC BUDGET'!$A$30)</f>
        <v>-19896925.939999998</v>
      </c>
      <c r="K11" s="16">
        <f>SUMIFS('CC BUDGET'!M$6:M$42,'CC BUDGET'!$B$6:$B$42,'CC BUDGET'!$B$6,'CC BUDGET'!$A$6:$A$42,'CC BUDGET'!$A$30)</f>
        <v>-20741539.48</v>
      </c>
      <c r="L11" s="16">
        <f>SUMIFS('CC BUDGET'!N$6:N$42,'CC BUDGET'!$B$6:$B$42,'CC BUDGET'!$B$6,'CC BUDGET'!$A$6:$A$42,'CC BUDGET'!$A$30)</f>
        <v>-17125160.940000001</v>
      </c>
      <c r="M11" s="16">
        <f>SUMIFS('CC BUDGET'!O$6:O$42,'CC BUDGET'!$B$6:$B$42,'CC BUDGET'!$B$6,'CC BUDGET'!$A$6:$A$42,'CC BUDGET'!$A$30)</f>
        <v>-18572607.939999998</v>
      </c>
      <c r="N11" s="16">
        <f>SUMIFS('CC BUDGET'!P$6:P$42,'CC BUDGET'!$B$6:$B$42,'CC BUDGET'!$B$6,'CC BUDGET'!$A$6:$A$42,'CC BUDGET'!$A$30)</f>
        <v>-19240921.939999998</v>
      </c>
      <c r="O11" s="4"/>
      <c r="P11" s="4"/>
      <c r="Q11" s="4"/>
      <c r="R11" s="4"/>
      <c r="S11" s="4"/>
      <c r="T11" s="4"/>
      <c r="U11" s="4"/>
      <c r="V11" s="4"/>
      <c r="W11" s="4"/>
      <c r="X11" s="4"/>
      <c r="Y11" s="4"/>
      <c r="Z11" s="18"/>
    </row>
    <row r="12" spans="1:26" ht="12" customHeight="1">
      <c r="A12" s="112"/>
      <c r="B12" s="113" t="s">
        <v>81</v>
      </c>
      <c r="C12" s="16">
        <f>SUMIFS('CC BUDGET'!E$6:E$42,'CC BUDGET'!$B$6:$B$42,'CC BUDGET'!$B$9,'CC BUDGET'!$A$6:$A$42,'CC BUDGET'!$A$30)</f>
        <v>150914</v>
      </c>
      <c r="D12" s="16">
        <f>SUMIFS('CC BUDGET'!F$6:F$42,'CC BUDGET'!$B$6:$B$42,'CC BUDGET'!$B$9,'CC BUDGET'!$A$6:$A$42,'CC BUDGET'!$A$30)</f>
        <v>150914</v>
      </c>
      <c r="E12" s="16">
        <f>SUMIFS('CC BUDGET'!G$6:G$42,'CC BUDGET'!$B$6:$B$42,'CC BUDGET'!$B$9,'CC BUDGET'!$A$6:$A$42,'CC BUDGET'!$A$30)</f>
        <v>150914</v>
      </c>
      <c r="F12" s="16">
        <f>SUMIFS('CC BUDGET'!H$6:H$42,'CC BUDGET'!$B$6:$B$42,'CC BUDGET'!$B$9,'CC BUDGET'!$A$6:$A$42,'CC BUDGET'!$A$30)</f>
        <v>145582</v>
      </c>
      <c r="G12" s="16">
        <f>SUMIFS('CC BUDGET'!I$6:I$42,'CC BUDGET'!$B$6:$B$42,'CC BUDGET'!$B$9,'CC BUDGET'!$A$6:$A$42,'CC BUDGET'!$A$30)</f>
        <v>145582</v>
      </c>
      <c r="H12" s="16">
        <f>SUMIFS('CC BUDGET'!J$6:J$42,'CC BUDGET'!$B$6:$B$42,'CC BUDGET'!$B$9,'CC BUDGET'!$A$6:$A$42,'CC BUDGET'!$A$30)</f>
        <v>341130</v>
      </c>
      <c r="I12" s="16">
        <f>SUMIFS('CC BUDGET'!K$6:K$42,'CC BUDGET'!$B$6:$B$42,'CC BUDGET'!$B$9,'CC BUDGET'!$A$6:$A$42,'CC BUDGET'!$A$30)</f>
        <v>341130</v>
      </c>
      <c r="J12" s="16">
        <f>SUMIFS('CC BUDGET'!L$6:L$42,'CC BUDGET'!$B$6:$B$42,'CC BUDGET'!$B$9,'CC BUDGET'!$A$6:$A$42,'CC BUDGET'!$A$30)</f>
        <v>528180</v>
      </c>
      <c r="K12" s="16">
        <f>SUMIFS('CC BUDGET'!M$6:M$42,'CC BUDGET'!$B$6:$B$42,'CC BUDGET'!$B$9,'CC BUDGET'!$A$6:$A$42,'CC BUDGET'!$A$30)</f>
        <v>528180</v>
      </c>
      <c r="L12" s="16">
        <f>SUMIFS('CC BUDGET'!N$6:N$42,'CC BUDGET'!$B$6:$B$42,'CC BUDGET'!$B$9,'CC BUDGET'!$A$6:$A$42,'CC BUDGET'!$A$30)</f>
        <v>145582</v>
      </c>
      <c r="M12" s="16">
        <f>SUMIFS('CC BUDGET'!O$6:O$42,'CC BUDGET'!$B$6:$B$42,'CC BUDGET'!$B$9,'CC BUDGET'!$A$6:$A$42,'CC BUDGET'!$A$30)</f>
        <v>145582</v>
      </c>
      <c r="N12" s="16">
        <f>SUMIFS('CC BUDGET'!P$6:P$42,'CC BUDGET'!$B$6:$B$42,'CC BUDGET'!$B$9,'CC BUDGET'!$A$6:$A$42,'CC BUDGET'!$A$30)</f>
        <v>145582</v>
      </c>
      <c r="O12" s="4"/>
      <c r="P12" s="4"/>
      <c r="Q12" s="4"/>
      <c r="R12" s="4"/>
      <c r="S12" s="4"/>
      <c r="T12" s="4"/>
      <c r="U12" s="4"/>
      <c r="V12" s="4"/>
      <c r="W12" s="4"/>
      <c r="X12" s="4"/>
      <c r="Y12" s="4"/>
      <c r="Z12" s="18"/>
    </row>
    <row r="13" spans="1:26" ht="12" customHeight="1">
      <c r="A13" s="116"/>
      <c r="B13" s="114" t="s">
        <v>82</v>
      </c>
      <c r="C13" s="16">
        <f>SUMIFS('CC BUDGET'!E$6:E$42,'CC BUDGET'!$B$6:$B$42,'CC BUDGET'!$B$10,'CC BUDGET'!$A$6:$A$42,'CC BUDGET'!$A$30)</f>
        <v>4850</v>
      </c>
      <c r="D13" s="16">
        <f>SUMIFS('CC BUDGET'!F$6:F$42,'CC BUDGET'!$B$6:$B$42,'CC BUDGET'!$B$10,'CC BUDGET'!$A$6:$A$42,'CC BUDGET'!$A$30)</f>
        <v>9600</v>
      </c>
      <c r="E13" s="16">
        <f>SUMIFS('CC BUDGET'!G$6:G$42,'CC BUDGET'!$B$6:$B$42,'CC BUDGET'!$B$10,'CC BUDGET'!$A$6:$A$42,'CC BUDGET'!$A$30)</f>
        <v>4850</v>
      </c>
      <c r="F13" s="16">
        <f>SUMIFS('CC BUDGET'!H$6:H$42,'CC BUDGET'!$B$6:$B$42,'CC BUDGET'!$B$10,'CC BUDGET'!$A$6:$A$42,'CC BUDGET'!$A$30)</f>
        <v>4850</v>
      </c>
      <c r="G13" s="16">
        <f>SUMIFS('CC BUDGET'!I$6:I$42,'CC BUDGET'!$B$6:$B$42,'CC BUDGET'!$B$10,'CC BUDGET'!$A$6:$A$42,'CC BUDGET'!$A$30)</f>
        <v>4850</v>
      </c>
      <c r="H13" s="16">
        <f>SUMIFS('CC BUDGET'!J$6:J$42,'CC BUDGET'!$B$6:$B$42,'CC BUDGET'!$B$10,'CC BUDGET'!$A$6:$A$42,'CC BUDGET'!$A$30)</f>
        <v>4850</v>
      </c>
      <c r="I13" s="16">
        <f>SUMIFS('CC BUDGET'!K$6:K$42,'CC BUDGET'!$B$6:$B$42,'CC BUDGET'!$B$10,'CC BUDGET'!$A$6:$A$42,'CC BUDGET'!$A$30)</f>
        <v>4850</v>
      </c>
      <c r="J13" s="16">
        <f>SUMIFS('CC BUDGET'!L$6:L$42,'CC BUDGET'!$B$6:$B$42,'CC BUDGET'!$B$10,'CC BUDGET'!$A$6:$A$42,'CC BUDGET'!$A$30)</f>
        <v>9600</v>
      </c>
      <c r="K13" s="16">
        <f>SUMIFS('CC BUDGET'!M$6:M$42,'CC BUDGET'!$B$6:$B$42,'CC BUDGET'!$B$10,'CC BUDGET'!$A$6:$A$42,'CC BUDGET'!$A$30)</f>
        <v>4850</v>
      </c>
      <c r="L13" s="16">
        <f>SUMIFS('CC BUDGET'!N$6:N$42,'CC BUDGET'!$B$6:$B$42,'CC BUDGET'!$B$10,'CC BUDGET'!$A$6:$A$42,'CC BUDGET'!$A$30)</f>
        <v>4850</v>
      </c>
      <c r="M13" s="16">
        <f>SUMIFS('CC BUDGET'!O$6:O$42,'CC BUDGET'!$B$6:$B$42,'CC BUDGET'!$B$10,'CC BUDGET'!$A$6:$A$42,'CC BUDGET'!$A$30)</f>
        <v>4850</v>
      </c>
      <c r="N13" s="16">
        <f>SUMIFS('CC BUDGET'!P$6:P$42,'CC BUDGET'!$B$6:$B$42,'CC BUDGET'!$B$10,'CC BUDGET'!$A$6:$A$42,'CC BUDGET'!$A$30)</f>
        <v>4850</v>
      </c>
      <c r="O13" s="4"/>
      <c r="P13" s="4"/>
      <c r="Q13" s="4"/>
      <c r="R13" s="4"/>
      <c r="S13" s="4"/>
      <c r="T13" s="4"/>
      <c r="U13" s="4"/>
      <c r="V13" s="4"/>
      <c r="W13" s="4"/>
      <c r="X13" s="4"/>
      <c r="Y13" s="4"/>
      <c r="Z13" s="18"/>
    </row>
    <row r="14" spans="1:26" ht="12" customHeight="1">
      <c r="A14" s="70"/>
      <c r="B14" s="114"/>
      <c r="C14" s="16"/>
      <c r="D14" s="16"/>
      <c r="E14" s="16"/>
      <c r="F14" s="16"/>
      <c r="G14" s="16"/>
      <c r="H14" s="16"/>
      <c r="I14" s="16"/>
      <c r="J14" s="16"/>
      <c r="K14" s="16"/>
      <c r="L14" s="16"/>
      <c r="M14" s="16"/>
      <c r="N14" s="16"/>
      <c r="O14" s="4"/>
      <c r="P14" s="4"/>
      <c r="Q14" s="4"/>
      <c r="R14" s="4"/>
      <c r="S14" s="4"/>
      <c r="T14" s="4"/>
      <c r="U14" s="4"/>
      <c r="V14" s="4"/>
      <c r="W14" s="4"/>
      <c r="X14" s="4"/>
      <c r="Y14" s="4"/>
      <c r="Z14" s="18"/>
    </row>
    <row r="15" spans="1:26" ht="12" customHeight="1">
      <c r="A15" s="126" t="s">
        <v>94</v>
      </c>
      <c r="B15" s="114" t="s">
        <v>56</v>
      </c>
      <c r="C15" s="16">
        <f t="shared" ref="C15:N15" si="0">C3+C7+C11</f>
        <v>-42239683.579999998</v>
      </c>
      <c r="D15" s="16">
        <f t="shared" si="0"/>
        <v>-37985078.340000004</v>
      </c>
      <c r="E15" s="16">
        <f t="shared" si="0"/>
        <v>-39634663.370000005</v>
      </c>
      <c r="F15" s="16">
        <f t="shared" si="0"/>
        <v>-33611767.189999998</v>
      </c>
      <c r="G15" s="16">
        <f t="shared" si="0"/>
        <v>-39174034.289999999</v>
      </c>
      <c r="H15" s="16">
        <f t="shared" si="0"/>
        <v>-39715344.68</v>
      </c>
      <c r="I15" s="16">
        <f t="shared" si="0"/>
        <v>-48595312.140000001</v>
      </c>
      <c r="J15" s="16">
        <f t="shared" si="0"/>
        <v>-46554943.359999999</v>
      </c>
      <c r="K15" s="16">
        <f t="shared" si="0"/>
        <v>-47155447.079999998</v>
      </c>
      <c r="L15" s="16">
        <f t="shared" si="0"/>
        <v>-44259143.859999999</v>
      </c>
      <c r="M15" s="16">
        <f t="shared" si="0"/>
        <v>-43122999.579999998</v>
      </c>
      <c r="N15" s="16">
        <f t="shared" si="0"/>
        <v>-46202153.019999996</v>
      </c>
      <c r="O15" s="4"/>
      <c r="P15" s="4"/>
      <c r="Q15" s="4"/>
      <c r="R15" s="4"/>
      <c r="S15" s="4"/>
      <c r="T15" s="4"/>
      <c r="U15" s="4"/>
      <c r="V15" s="4"/>
      <c r="W15" s="4"/>
      <c r="X15" s="4"/>
      <c r="Y15" s="4"/>
      <c r="Z15" s="18"/>
    </row>
    <row r="16" spans="1:26" ht="12" customHeight="1">
      <c r="A16" s="126"/>
      <c r="B16" s="113" t="s">
        <v>81</v>
      </c>
      <c r="C16" s="16">
        <f t="shared" ref="C16:N16" si="1">C4+C8+C12</f>
        <v>350895</v>
      </c>
      <c r="D16" s="16">
        <f t="shared" si="1"/>
        <v>350895</v>
      </c>
      <c r="E16" s="16">
        <f t="shared" si="1"/>
        <v>350895</v>
      </c>
      <c r="F16" s="16">
        <f t="shared" si="1"/>
        <v>342470</v>
      </c>
      <c r="G16" s="16">
        <f t="shared" si="1"/>
        <v>342470</v>
      </c>
      <c r="H16" s="16">
        <f t="shared" si="1"/>
        <v>763807</v>
      </c>
      <c r="I16" s="16">
        <f t="shared" si="1"/>
        <v>763807</v>
      </c>
      <c r="J16" s="16">
        <f t="shared" si="1"/>
        <v>1166828</v>
      </c>
      <c r="K16" s="16">
        <f t="shared" si="1"/>
        <v>1166828</v>
      </c>
      <c r="L16" s="16">
        <f t="shared" si="1"/>
        <v>342470</v>
      </c>
      <c r="M16" s="16">
        <f t="shared" si="1"/>
        <v>342470</v>
      </c>
      <c r="N16" s="16">
        <f t="shared" si="1"/>
        <v>342470</v>
      </c>
      <c r="O16" s="4"/>
      <c r="P16" s="4"/>
      <c r="Q16" s="4"/>
      <c r="R16" s="4"/>
      <c r="S16" s="4"/>
      <c r="T16" s="4"/>
      <c r="U16" s="4"/>
      <c r="V16" s="4"/>
      <c r="W16" s="4"/>
      <c r="X16" s="4"/>
      <c r="Y16" s="4"/>
      <c r="Z16" s="18"/>
    </row>
    <row r="17" spans="1:26" ht="12" customHeight="1">
      <c r="A17" s="126"/>
      <c r="B17" s="114" t="s">
        <v>82</v>
      </c>
      <c r="C17" s="16">
        <f t="shared" ref="C17:N17" si="2">C5+C9+C13</f>
        <v>513912.54</v>
      </c>
      <c r="D17" s="16">
        <f t="shared" si="2"/>
        <v>518662.54</v>
      </c>
      <c r="E17" s="16">
        <f t="shared" si="2"/>
        <v>513836.27999999997</v>
      </c>
      <c r="F17" s="16">
        <f t="shared" si="2"/>
        <v>513912.54</v>
      </c>
      <c r="G17" s="16">
        <f t="shared" si="2"/>
        <v>513912.54</v>
      </c>
      <c r="H17" s="16">
        <f t="shared" si="2"/>
        <v>513912.54</v>
      </c>
      <c r="I17" s="16">
        <f t="shared" si="2"/>
        <v>513912.54</v>
      </c>
      <c r="J17" s="16">
        <f t="shared" si="2"/>
        <v>518662.54</v>
      </c>
      <c r="K17" s="16">
        <f t="shared" si="2"/>
        <v>513912.54</v>
      </c>
      <c r="L17" s="16">
        <f t="shared" si="2"/>
        <v>513912.54</v>
      </c>
      <c r="M17" s="16">
        <f t="shared" si="2"/>
        <v>513912.54</v>
      </c>
      <c r="N17" s="16">
        <f t="shared" si="2"/>
        <v>513912.54</v>
      </c>
      <c r="O17" s="4"/>
      <c r="P17" s="4"/>
      <c r="Q17" s="4"/>
      <c r="R17" s="4"/>
      <c r="S17" s="4"/>
      <c r="T17" s="4"/>
      <c r="U17" s="4"/>
      <c r="V17" s="4"/>
      <c r="W17" s="4"/>
      <c r="X17" s="4"/>
      <c r="Y17" s="4"/>
      <c r="Z17" s="18"/>
    </row>
    <row r="18" spans="1:26" ht="12" customHeight="1">
      <c r="A18" s="126"/>
      <c r="B18" s="127"/>
      <c r="C18" s="128"/>
      <c r="D18" s="128"/>
      <c r="E18" s="128"/>
      <c r="F18" s="22"/>
      <c r="G18" s="22"/>
      <c r="H18" s="22"/>
      <c r="I18" s="22"/>
      <c r="J18" s="22"/>
      <c r="K18" s="22"/>
      <c r="L18" s="22"/>
      <c r="M18" s="22"/>
      <c r="N18" s="22"/>
      <c r="O18" s="4"/>
      <c r="P18" s="4"/>
      <c r="Q18" s="4"/>
      <c r="R18" s="4"/>
      <c r="S18" s="4"/>
      <c r="T18" s="4"/>
      <c r="U18" s="4"/>
      <c r="V18" s="4"/>
      <c r="W18" s="4"/>
      <c r="X18" s="4"/>
      <c r="Y18" s="4"/>
      <c r="Z18" s="18"/>
    </row>
    <row r="19" spans="1:26" ht="12" customHeight="1">
      <c r="A19" s="2" t="s">
        <v>156</v>
      </c>
      <c r="B19" s="4"/>
      <c r="C19" s="4"/>
      <c r="D19" s="4"/>
      <c r="E19" s="4"/>
      <c r="F19" s="4"/>
      <c r="G19" s="4"/>
      <c r="H19" s="4"/>
      <c r="I19" s="4"/>
      <c r="J19" s="4"/>
      <c r="K19" s="4"/>
      <c r="L19" s="4"/>
      <c r="M19" s="4"/>
      <c r="N19" s="4"/>
      <c r="O19" s="51"/>
      <c r="P19" s="51"/>
      <c r="Q19" s="51"/>
      <c r="R19" s="4"/>
      <c r="S19" s="4"/>
      <c r="T19" s="4"/>
      <c r="U19" s="4"/>
      <c r="V19" s="4"/>
      <c r="W19" s="4"/>
      <c r="X19" s="4"/>
      <c r="Y19" s="4"/>
      <c r="Z19" s="18"/>
    </row>
    <row r="20" spans="1:26" ht="22.5" customHeight="1">
      <c r="A20" s="287"/>
      <c r="B20" s="272"/>
      <c r="C20" s="108">
        <v>41456</v>
      </c>
      <c r="D20" s="108">
        <v>41487</v>
      </c>
      <c r="E20" s="108">
        <v>41518</v>
      </c>
      <c r="F20" s="108">
        <v>41548</v>
      </c>
      <c r="G20" s="108">
        <v>41579</v>
      </c>
      <c r="H20" s="108">
        <v>41609</v>
      </c>
      <c r="I20" s="108">
        <v>41640</v>
      </c>
      <c r="J20" s="108">
        <v>41671</v>
      </c>
      <c r="K20" s="108">
        <v>41699</v>
      </c>
      <c r="L20" s="108">
        <v>41730</v>
      </c>
      <c r="M20" s="108">
        <v>41760</v>
      </c>
      <c r="N20" s="108">
        <v>41791</v>
      </c>
      <c r="O20" s="173"/>
      <c r="P20" s="201"/>
      <c r="Q20" s="201"/>
      <c r="R20" s="173"/>
      <c r="S20" s="173"/>
      <c r="T20" s="173"/>
      <c r="U20" s="173"/>
      <c r="V20" s="173"/>
      <c r="W20" s="173"/>
      <c r="X20" s="173"/>
      <c r="Y20" s="173"/>
      <c r="Z20" s="175"/>
    </row>
    <row r="21" spans="1:26" ht="22.5" customHeight="1">
      <c r="A21" s="272"/>
      <c r="B21" s="272"/>
      <c r="C21" s="109" t="s">
        <v>43</v>
      </c>
      <c r="D21" s="110" t="s">
        <v>44</v>
      </c>
      <c r="E21" s="111" t="s">
        <v>45</v>
      </c>
      <c r="F21" s="111" t="s">
        <v>46</v>
      </c>
      <c r="G21" s="111" t="s">
        <v>47</v>
      </c>
      <c r="H21" s="111" t="s">
        <v>48</v>
      </c>
      <c r="I21" s="111" t="s">
        <v>49</v>
      </c>
      <c r="J21" s="111" t="s">
        <v>50</v>
      </c>
      <c r="K21" s="111" t="s">
        <v>51</v>
      </c>
      <c r="L21" s="111" t="s">
        <v>52</v>
      </c>
      <c r="M21" s="111" t="s">
        <v>53</v>
      </c>
      <c r="N21" s="111" t="s">
        <v>54</v>
      </c>
      <c r="O21" s="173"/>
      <c r="P21" s="201"/>
      <c r="Q21" s="201"/>
      <c r="R21" s="173"/>
      <c r="S21" s="173"/>
      <c r="T21" s="173"/>
      <c r="U21" s="173"/>
      <c r="V21" s="173"/>
      <c r="W21" s="173"/>
      <c r="X21" s="173"/>
      <c r="Y21" s="173"/>
      <c r="Z21" s="175"/>
    </row>
    <row r="22" spans="1:26" ht="12" customHeight="1">
      <c r="A22" s="116" t="s">
        <v>55</v>
      </c>
      <c r="B22" s="114" t="s">
        <v>61</v>
      </c>
      <c r="C22" s="16">
        <v>1163751.79</v>
      </c>
      <c r="D22" s="16">
        <v>1205052.53</v>
      </c>
      <c r="E22" s="16">
        <v>1201863.6299999999</v>
      </c>
      <c r="F22" s="16">
        <v>1944765.86</v>
      </c>
      <c r="G22" s="16">
        <v>1867560.16</v>
      </c>
      <c r="H22" s="16">
        <v>1777808.55</v>
      </c>
      <c r="I22" s="16">
        <v>1853528.05</v>
      </c>
      <c r="J22" s="16">
        <v>1664132.31</v>
      </c>
      <c r="K22" s="16">
        <v>1871749.69</v>
      </c>
      <c r="L22" s="16">
        <v>1959368.68</v>
      </c>
      <c r="M22" s="16">
        <v>1844414.11</v>
      </c>
      <c r="N22" s="16">
        <v>1934543.95</v>
      </c>
      <c r="O22" s="4"/>
      <c r="P22" s="51"/>
      <c r="Q22" s="51"/>
      <c r="R22" s="4"/>
      <c r="S22" s="4"/>
      <c r="T22" s="4"/>
      <c r="U22" s="4"/>
      <c r="V22" s="4"/>
      <c r="W22" s="4"/>
      <c r="X22" s="4"/>
      <c r="Y22" s="4"/>
      <c r="Z22" s="18"/>
    </row>
    <row r="23" spans="1:26" ht="12" customHeight="1">
      <c r="A23" s="112"/>
      <c r="B23" s="113" t="s">
        <v>72</v>
      </c>
      <c r="C23" s="16">
        <v>0</v>
      </c>
      <c r="D23" s="16">
        <v>0</v>
      </c>
      <c r="E23" s="16">
        <v>2000000</v>
      </c>
      <c r="F23" s="16">
        <v>0</v>
      </c>
      <c r="G23" s="16">
        <v>0</v>
      </c>
      <c r="H23" s="16">
        <v>0</v>
      </c>
      <c r="I23" s="16">
        <v>0</v>
      </c>
      <c r="J23" s="16">
        <v>0</v>
      </c>
      <c r="K23" s="16">
        <v>0</v>
      </c>
      <c r="L23" s="16">
        <v>0</v>
      </c>
      <c r="M23" s="16">
        <v>0</v>
      </c>
      <c r="N23" s="16">
        <v>0</v>
      </c>
      <c r="O23" s="51"/>
      <c r="P23" s="51"/>
      <c r="Q23" s="51"/>
      <c r="R23" s="4"/>
      <c r="S23" s="4"/>
      <c r="T23" s="4"/>
      <c r="U23" s="4"/>
      <c r="V23" s="4"/>
      <c r="W23" s="4"/>
      <c r="X23" s="4"/>
      <c r="Y23" s="4"/>
      <c r="Z23" s="18"/>
    </row>
    <row r="24" spans="1:26" ht="12" customHeight="1">
      <c r="A24" s="112"/>
      <c r="B24" s="114" t="s">
        <v>62</v>
      </c>
      <c r="C24" s="16">
        <v>1702274.92</v>
      </c>
      <c r="D24" s="16">
        <v>1683992.33</v>
      </c>
      <c r="E24" s="16">
        <v>1739769.62</v>
      </c>
      <c r="F24" s="16">
        <v>1700166.42</v>
      </c>
      <c r="G24" s="16">
        <v>1517831.22</v>
      </c>
      <c r="H24" s="16">
        <v>1513406.8</v>
      </c>
      <c r="I24" s="16">
        <v>1513230.89</v>
      </c>
      <c r="J24" s="16">
        <v>1497036.87</v>
      </c>
      <c r="K24" s="16">
        <v>1544204.74</v>
      </c>
      <c r="L24" s="16">
        <v>1518397.84</v>
      </c>
      <c r="M24" s="16">
        <v>1510242.96</v>
      </c>
      <c r="N24" s="16">
        <v>1942252.78</v>
      </c>
      <c r="O24" s="4"/>
      <c r="P24" s="51"/>
      <c r="Q24" s="51"/>
      <c r="R24" s="4"/>
      <c r="S24" s="4"/>
      <c r="T24" s="4"/>
      <c r="U24" s="4"/>
      <c r="V24" s="4"/>
      <c r="W24" s="4"/>
      <c r="X24" s="4"/>
      <c r="Y24" s="4"/>
      <c r="Z24" s="18"/>
    </row>
    <row r="25" spans="1:26" ht="12" customHeight="1">
      <c r="A25" s="116"/>
      <c r="B25" s="113" t="s">
        <v>63</v>
      </c>
      <c r="C25" s="16">
        <v>4920</v>
      </c>
      <c r="D25" s="16">
        <v>4920</v>
      </c>
      <c r="E25" s="16">
        <v>4920</v>
      </c>
      <c r="F25" s="16">
        <v>4920</v>
      </c>
      <c r="G25" s="16">
        <v>4920</v>
      </c>
      <c r="H25" s="16">
        <v>4920</v>
      </c>
      <c r="I25" s="16">
        <v>4920</v>
      </c>
      <c r="J25" s="16">
        <v>324920</v>
      </c>
      <c r="K25" s="16">
        <v>4920</v>
      </c>
      <c r="L25" s="16">
        <v>4920</v>
      </c>
      <c r="M25" s="16">
        <v>4920</v>
      </c>
      <c r="N25" s="16">
        <v>4920</v>
      </c>
      <c r="O25" s="4"/>
      <c r="P25" s="51"/>
      <c r="Q25" s="51"/>
      <c r="R25" s="4"/>
      <c r="S25" s="4"/>
      <c r="T25" s="4"/>
      <c r="U25" s="4"/>
      <c r="V25" s="4"/>
      <c r="W25" s="4"/>
      <c r="X25" s="4"/>
      <c r="Y25" s="4"/>
      <c r="Z25" s="18"/>
    </row>
    <row r="26" spans="1:26" ht="12" customHeight="1">
      <c r="A26" s="116"/>
      <c r="B26" s="114" t="s">
        <v>59</v>
      </c>
      <c r="C26" s="16">
        <v>2870946.71</v>
      </c>
      <c r="D26" s="16">
        <v>2893964.8600000003</v>
      </c>
      <c r="E26" s="16">
        <v>4946553.25</v>
      </c>
      <c r="F26" s="16">
        <v>3649852.2800000003</v>
      </c>
      <c r="G26" s="16">
        <v>3390311.38</v>
      </c>
      <c r="H26" s="16">
        <v>3296135.35</v>
      </c>
      <c r="I26" s="16">
        <v>3371678.94</v>
      </c>
      <c r="J26" s="16">
        <v>3486089.18</v>
      </c>
      <c r="K26" s="16">
        <v>3420874.4299999997</v>
      </c>
      <c r="L26" s="16">
        <v>3482686.52</v>
      </c>
      <c r="M26" s="16">
        <v>3359577.0700000003</v>
      </c>
      <c r="N26" s="16">
        <v>3881716.73</v>
      </c>
      <c r="O26" s="4"/>
      <c r="P26" s="51"/>
      <c r="Q26" s="51"/>
      <c r="R26" s="4"/>
      <c r="S26" s="4"/>
      <c r="T26" s="4"/>
      <c r="U26" s="4"/>
      <c r="V26" s="4"/>
      <c r="W26" s="4"/>
      <c r="X26" s="4"/>
      <c r="Y26" s="4"/>
      <c r="Z26" s="18"/>
    </row>
    <row r="27" spans="1:26" ht="12" customHeight="1">
      <c r="A27" s="116"/>
      <c r="B27" s="114"/>
      <c r="C27" s="16"/>
      <c r="D27" s="16"/>
      <c r="E27" s="16"/>
      <c r="F27" s="16"/>
      <c r="G27" s="16"/>
      <c r="H27" s="16"/>
      <c r="I27" s="16"/>
      <c r="J27" s="16"/>
      <c r="K27" s="16"/>
      <c r="L27" s="16"/>
      <c r="M27" s="16"/>
      <c r="N27" s="16"/>
      <c r="O27" s="4"/>
      <c r="P27" s="51"/>
      <c r="Q27" s="51"/>
      <c r="R27" s="4"/>
      <c r="S27" s="4"/>
      <c r="T27" s="4"/>
      <c r="U27" s="4"/>
      <c r="V27" s="4"/>
      <c r="W27" s="4"/>
      <c r="X27" s="4"/>
      <c r="Y27" s="4"/>
      <c r="Z27" s="18"/>
    </row>
    <row r="28" spans="1:26" ht="12" customHeight="1">
      <c r="A28" s="116" t="s">
        <v>69</v>
      </c>
      <c r="B28" s="113" t="s">
        <v>61</v>
      </c>
      <c r="C28" s="16">
        <v>5664147.5</v>
      </c>
      <c r="D28" s="16">
        <v>5902636.3799999999</v>
      </c>
      <c r="E28" s="16">
        <v>4823114.5999999996</v>
      </c>
      <c r="F28" s="16">
        <v>4430305.0599999996</v>
      </c>
      <c r="G28" s="16">
        <v>4282143.8099999996</v>
      </c>
      <c r="H28" s="16">
        <v>5743215.29</v>
      </c>
      <c r="I28" s="16">
        <v>4842126.8600000003</v>
      </c>
      <c r="J28" s="16">
        <v>5112540.46</v>
      </c>
      <c r="K28" s="16">
        <v>5570254.9000000004</v>
      </c>
      <c r="L28" s="16">
        <v>5408179.1699999999</v>
      </c>
      <c r="M28" s="16">
        <v>5525259.2800000003</v>
      </c>
      <c r="N28" s="16">
        <v>5914799.1500000004</v>
      </c>
      <c r="O28" s="4"/>
      <c r="P28" s="51"/>
      <c r="Q28" s="51"/>
      <c r="R28" s="4"/>
      <c r="S28" s="4"/>
      <c r="T28" s="4"/>
      <c r="U28" s="4"/>
      <c r="V28" s="4"/>
      <c r="W28" s="4"/>
      <c r="X28" s="4"/>
      <c r="Y28" s="4"/>
      <c r="Z28" s="18"/>
    </row>
    <row r="29" spans="1:26" ht="12" customHeight="1">
      <c r="A29" s="116"/>
      <c r="B29" s="114" t="s">
        <v>72</v>
      </c>
      <c r="C29" s="16">
        <v>775958.73</v>
      </c>
      <c r="D29" s="16">
        <v>773964.63</v>
      </c>
      <c r="E29" s="16">
        <v>6182094.2000000002</v>
      </c>
      <c r="F29" s="16">
        <v>8644420.9199999999</v>
      </c>
      <c r="G29" s="16">
        <v>8539649.3200000003</v>
      </c>
      <c r="H29" s="16">
        <v>1057461.83</v>
      </c>
      <c r="I29" s="16">
        <v>0</v>
      </c>
      <c r="J29" s="16">
        <v>0</v>
      </c>
      <c r="K29" s="16">
        <v>0</v>
      </c>
      <c r="L29" s="16">
        <v>0</v>
      </c>
      <c r="M29" s="16">
        <v>186344.09</v>
      </c>
      <c r="N29" s="16">
        <v>1460568.46</v>
      </c>
      <c r="O29" s="4"/>
      <c r="P29" s="51"/>
      <c r="Q29" s="51"/>
      <c r="R29" s="4"/>
      <c r="S29" s="4"/>
      <c r="T29" s="4"/>
      <c r="U29" s="4"/>
      <c r="V29" s="4"/>
      <c r="W29" s="4"/>
      <c r="X29" s="4"/>
      <c r="Y29" s="4"/>
      <c r="Z29" s="18"/>
    </row>
    <row r="30" spans="1:26" ht="12" customHeight="1">
      <c r="A30" s="112"/>
      <c r="B30" s="113" t="s">
        <v>62</v>
      </c>
      <c r="C30" s="16">
        <v>3429296.78</v>
      </c>
      <c r="D30" s="16">
        <v>3552180.83</v>
      </c>
      <c r="E30" s="16">
        <v>3543279.36</v>
      </c>
      <c r="F30" s="16">
        <v>4555466.68</v>
      </c>
      <c r="G30" s="16">
        <v>3500779.36</v>
      </c>
      <c r="H30" s="16">
        <v>4575466.68</v>
      </c>
      <c r="I30" s="16">
        <v>3605466.68</v>
      </c>
      <c r="J30" s="16">
        <v>3386393.77</v>
      </c>
      <c r="K30" s="16">
        <v>4689043.8600000003</v>
      </c>
      <c r="L30" s="16">
        <v>4534160.49</v>
      </c>
      <c r="M30" s="16">
        <v>4608043.8600000003</v>
      </c>
      <c r="N30" s="16">
        <v>4554160.49</v>
      </c>
      <c r="O30" s="4"/>
      <c r="P30" s="51"/>
      <c r="Q30" s="51"/>
      <c r="R30" s="4"/>
      <c r="S30" s="4"/>
      <c r="T30" s="4"/>
      <c r="U30" s="4"/>
      <c r="V30" s="4"/>
      <c r="W30" s="4"/>
      <c r="X30" s="4"/>
      <c r="Y30" s="4"/>
      <c r="Z30" s="18"/>
    </row>
    <row r="31" spans="1:26" ht="12" customHeight="1">
      <c r="A31" s="116"/>
      <c r="B31" s="114" t="s">
        <v>63</v>
      </c>
      <c r="C31" s="16">
        <v>286639.74</v>
      </c>
      <c r="D31" s="16">
        <v>279149.92</v>
      </c>
      <c r="E31" s="16">
        <v>327965.09999999998</v>
      </c>
      <c r="F31" s="16">
        <v>283743.65999999997</v>
      </c>
      <c r="G31" s="16">
        <v>279756.18</v>
      </c>
      <c r="H31" s="16">
        <v>340444.11</v>
      </c>
      <c r="I31" s="16">
        <v>290069.11</v>
      </c>
      <c r="J31" s="16">
        <v>270919.78000000003</v>
      </c>
      <c r="K31" s="16">
        <v>305647.25</v>
      </c>
      <c r="L31" s="16">
        <v>279929.87</v>
      </c>
      <c r="M31" s="16">
        <v>288621.32</v>
      </c>
      <c r="N31" s="16">
        <v>299979.45</v>
      </c>
      <c r="O31" s="4"/>
      <c r="P31" s="4"/>
      <c r="Q31" s="51"/>
      <c r="R31" s="4"/>
      <c r="S31" s="4"/>
      <c r="T31" s="4"/>
      <c r="U31" s="4"/>
      <c r="V31" s="4"/>
      <c r="W31" s="4"/>
      <c r="X31" s="4"/>
      <c r="Y31" s="4"/>
      <c r="Z31" s="18"/>
    </row>
    <row r="32" spans="1:26" ht="12" customHeight="1">
      <c r="A32" s="116"/>
      <c r="B32" s="114" t="s">
        <v>59</v>
      </c>
      <c r="C32" s="16">
        <v>10156042.75</v>
      </c>
      <c r="D32" s="16">
        <v>10507931.76</v>
      </c>
      <c r="E32" s="16">
        <v>14876453.26</v>
      </c>
      <c r="F32" s="16">
        <v>17913936.32</v>
      </c>
      <c r="G32" s="16">
        <v>16602328.669999998</v>
      </c>
      <c r="H32" s="16">
        <v>11716587.91</v>
      </c>
      <c r="I32" s="16">
        <v>8737662.6500000004</v>
      </c>
      <c r="J32" s="16">
        <v>8769854.0099999998</v>
      </c>
      <c r="K32" s="16">
        <v>10564946.010000002</v>
      </c>
      <c r="L32" s="16">
        <v>10222269.529999999</v>
      </c>
      <c r="M32" s="16">
        <v>10608268.550000001</v>
      </c>
      <c r="N32" s="16">
        <v>12229507.550000001</v>
      </c>
      <c r="O32" s="4"/>
      <c r="P32" s="51"/>
      <c r="Q32" s="51"/>
      <c r="R32" s="4"/>
      <c r="S32" s="4"/>
      <c r="T32" s="4"/>
      <c r="U32" s="4"/>
      <c r="V32" s="4"/>
      <c r="W32" s="4"/>
      <c r="X32" s="4"/>
      <c r="Y32" s="4"/>
      <c r="Z32" s="18"/>
    </row>
    <row r="33" spans="1:26" ht="12" customHeight="1">
      <c r="A33" s="116"/>
      <c r="B33" s="114"/>
      <c r="C33" s="16"/>
      <c r="D33" s="16"/>
      <c r="E33" s="16"/>
      <c r="F33" s="16"/>
      <c r="G33" s="16"/>
      <c r="H33" s="16"/>
      <c r="I33" s="16"/>
      <c r="J33" s="16"/>
      <c r="K33" s="16"/>
      <c r="L33" s="16"/>
      <c r="M33" s="16"/>
      <c r="N33" s="16"/>
      <c r="O33" s="4"/>
      <c r="P33" s="51"/>
      <c r="Q33" s="51"/>
      <c r="R33" s="4"/>
      <c r="S33" s="4"/>
      <c r="T33" s="4"/>
      <c r="U33" s="4"/>
      <c r="V33" s="4"/>
      <c r="W33" s="4"/>
      <c r="X33" s="4"/>
      <c r="Y33" s="4"/>
      <c r="Z33" s="18"/>
    </row>
    <row r="34" spans="1:26" ht="12" customHeight="1">
      <c r="A34" s="116" t="s">
        <v>84</v>
      </c>
      <c r="B34" s="113" t="s">
        <v>61</v>
      </c>
      <c r="C34" s="16">
        <v>1691621.28</v>
      </c>
      <c r="D34" s="16">
        <v>2019945.56</v>
      </c>
      <c r="E34" s="16">
        <v>1170171.69</v>
      </c>
      <c r="F34" s="16">
        <v>1750021.69</v>
      </c>
      <c r="G34" s="16">
        <v>1978695.97</v>
      </c>
      <c r="H34" s="16">
        <v>717371.69</v>
      </c>
      <c r="I34" s="16">
        <v>1684365.86</v>
      </c>
      <c r="J34" s="16">
        <v>1686994.49</v>
      </c>
      <c r="K34" s="16">
        <v>1118740.6000000001</v>
      </c>
      <c r="L34" s="16">
        <v>1716859.25</v>
      </c>
      <c r="M34" s="16">
        <v>1676759.25</v>
      </c>
      <c r="N34" s="16">
        <v>1977919.89</v>
      </c>
      <c r="O34" s="4"/>
      <c r="P34" s="4"/>
      <c r="Q34" s="4"/>
      <c r="R34" s="4"/>
      <c r="S34" s="4"/>
      <c r="T34" s="4"/>
      <c r="U34" s="4"/>
      <c r="V34" s="4"/>
      <c r="W34" s="4"/>
      <c r="X34" s="4"/>
      <c r="Y34" s="4"/>
      <c r="Z34" s="18"/>
    </row>
    <row r="35" spans="1:26" ht="12" customHeight="1">
      <c r="A35" s="112"/>
      <c r="B35" s="114" t="s">
        <v>72</v>
      </c>
      <c r="C35" s="16">
        <v>1352393.2</v>
      </c>
      <c r="D35" s="16">
        <v>1520000</v>
      </c>
      <c r="E35" s="16">
        <v>1458448.41</v>
      </c>
      <c r="F35" s="16">
        <v>0</v>
      </c>
      <c r="G35" s="16">
        <v>2318549.4</v>
      </c>
      <c r="H35" s="16">
        <v>0</v>
      </c>
      <c r="I35" s="16">
        <v>542440</v>
      </c>
      <c r="J35" s="16">
        <v>80000</v>
      </c>
      <c r="K35" s="16">
        <v>80000</v>
      </c>
      <c r="L35" s="16">
        <v>1864767.76</v>
      </c>
      <c r="M35" s="16">
        <v>745022.79</v>
      </c>
      <c r="N35" s="16">
        <v>1320000</v>
      </c>
      <c r="O35" s="4"/>
      <c r="P35" s="4"/>
      <c r="Q35" s="4"/>
      <c r="R35" s="4"/>
      <c r="S35" s="4"/>
      <c r="T35" s="4"/>
      <c r="U35" s="4"/>
      <c r="V35" s="4"/>
      <c r="W35" s="4"/>
      <c r="X35" s="4"/>
      <c r="Y35" s="4"/>
      <c r="Z35" s="18"/>
    </row>
    <row r="36" spans="1:26" ht="12" customHeight="1">
      <c r="A36" s="116"/>
      <c r="B36" s="113" t="s">
        <v>62</v>
      </c>
      <c r="C36" s="16">
        <v>2092939.36</v>
      </c>
      <c r="D36" s="16">
        <v>1064675.96</v>
      </c>
      <c r="E36" s="16">
        <v>1872555.37</v>
      </c>
      <c r="F36" s="16">
        <v>1061309.17</v>
      </c>
      <c r="G36" s="16">
        <v>1845898.24</v>
      </c>
      <c r="H36" s="16">
        <v>1064575.6299999999</v>
      </c>
      <c r="I36" s="16">
        <v>1060058.96</v>
      </c>
      <c r="J36" s="16">
        <v>990415.33</v>
      </c>
      <c r="K36" s="16">
        <v>1077448.42</v>
      </c>
      <c r="L36" s="16">
        <v>843418.54</v>
      </c>
      <c r="M36" s="16">
        <v>1994622.83</v>
      </c>
      <c r="N36" s="16">
        <v>1045604.04</v>
      </c>
      <c r="O36" s="4"/>
      <c r="P36" s="4"/>
      <c r="Q36" s="4"/>
      <c r="R36" s="4"/>
      <c r="S36" s="4"/>
      <c r="T36" s="4"/>
      <c r="U36" s="4"/>
      <c r="V36" s="4"/>
      <c r="W36" s="4"/>
      <c r="X36" s="4"/>
      <c r="Y36" s="4"/>
      <c r="Z36" s="18"/>
    </row>
    <row r="37" spans="1:26" ht="12" customHeight="1">
      <c r="A37" s="116"/>
      <c r="B37" s="114" t="s">
        <v>63</v>
      </c>
      <c r="C37" s="16">
        <v>169291.3</v>
      </c>
      <c r="D37" s="16">
        <v>169291.3</v>
      </c>
      <c r="E37" s="16">
        <v>196658.26</v>
      </c>
      <c r="F37" s="16">
        <v>171381.84</v>
      </c>
      <c r="G37" s="16">
        <v>168636.99</v>
      </c>
      <c r="H37" s="16">
        <v>243551.84</v>
      </c>
      <c r="I37" s="16">
        <v>170751.84</v>
      </c>
      <c r="J37" s="16">
        <v>126594.06</v>
      </c>
      <c r="K37" s="16">
        <v>132322.37</v>
      </c>
      <c r="L37" s="16">
        <v>130202.93</v>
      </c>
      <c r="M37" s="16">
        <v>132322.37</v>
      </c>
      <c r="N37" s="16">
        <v>200832.93</v>
      </c>
      <c r="O37" s="4"/>
      <c r="P37" s="4"/>
      <c r="Q37" s="4"/>
      <c r="R37" s="4"/>
      <c r="S37" s="4"/>
      <c r="T37" s="4"/>
      <c r="U37" s="4"/>
      <c r="V37" s="4"/>
      <c r="W37" s="4"/>
      <c r="X37" s="4"/>
      <c r="Y37" s="4"/>
      <c r="Z37" s="18"/>
    </row>
    <row r="38" spans="1:26" ht="12" customHeight="1">
      <c r="A38" s="112"/>
      <c r="B38" s="113" t="s">
        <v>59</v>
      </c>
      <c r="C38" s="16">
        <v>5306245.1399999997</v>
      </c>
      <c r="D38" s="16">
        <v>4773912.8199999994</v>
      </c>
      <c r="E38" s="16">
        <v>4697833.7299999995</v>
      </c>
      <c r="F38" s="16">
        <v>2982712.6999999997</v>
      </c>
      <c r="G38" s="16">
        <v>6311780.6000000006</v>
      </c>
      <c r="H38" s="16">
        <v>2025499.16</v>
      </c>
      <c r="I38" s="16">
        <v>3457616.66</v>
      </c>
      <c r="J38" s="16">
        <v>2884003.88</v>
      </c>
      <c r="K38" s="16">
        <v>2408511.39</v>
      </c>
      <c r="L38" s="16">
        <v>4555248.4799999995</v>
      </c>
      <c r="M38" s="16">
        <v>4548727.24</v>
      </c>
      <c r="N38" s="16">
        <v>4544356.8599999994</v>
      </c>
      <c r="O38" s="4"/>
      <c r="P38" s="4"/>
      <c r="Q38" s="4"/>
      <c r="R38" s="4"/>
      <c r="S38" s="4"/>
      <c r="T38" s="4"/>
      <c r="U38" s="4"/>
      <c r="V38" s="4"/>
      <c r="W38" s="4"/>
      <c r="X38" s="4"/>
      <c r="Y38" s="4"/>
      <c r="Z38" s="18"/>
    </row>
    <row r="39" spans="1:26" ht="12" customHeight="1">
      <c r="A39" s="129"/>
      <c r="B39" s="77"/>
      <c r="C39" s="22"/>
      <c r="D39" s="22"/>
      <c r="E39" s="22"/>
      <c r="F39" s="22"/>
      <c r="G39" s="22"/>
      <c r="H39" s="22"/>
      <c r="I39" s="22"/>
      <c r="J39" s="22"/>
      <c r="K39" s="22"/>
      <c r="L39" s="22"/>
      <c r="M39" s="22"/>
      <c r="N39" s="22"/>
      <c r="O39" s="4"/>
      <c r="P39" s="4"/>
      <c r="Q39" s="4"/>
      <c r="R39" s="4"/>
      <c r="S39" s="4"/>
      <c r="T39" s="4"/>
      <c r="U39" s="4"/>
      <c r="V39" s="4"/>
      <c r="W39" s="4"/>
      <c r="X39" s="4"/>
      <c r="Y39" s="4"/>
      <c r="Z39" s="18"/>
    </row>
    <row r="40" spans="1:26" ht="24.75" customHeight="1">
      <c r="A40" s="195"/>
      <c r="B40" s="202"/>
      <c r="C40" s="108">
        <v>41456</v>
      </c>
      <c r="D40" s="108">
        <v>41487</v>
      </c>
      <c r="E40" s="108">
        <v>41518</v>
      </c>
      <c r="F40" s="108">
        <v>41548</v>
      </c>
      <c r="G40" s="108">
        <v>41579</v>
      </c>
      <c r="H40" s="108">
        <v>41609</v>
      </c>
      <c r="I40" s="108">
        <v>41640</v>
      </c>
      <c r="J40" s="108">
        <v>41671</v>
      </c>
      <c r="K40" s="108">
        <v>41699</v>
      </c>
      <c r="L40" s="108">
        <v>41730</v>
      </c>
      <c r="M40" s="108">
        <v>41760</v>
      </c>
      <c r="N40" s="108">
        <v>41791</v>
      </c>
      <c r="O40" s="173"/>
      <c r="P40" s="173"/>
      <c r="Q40" s="173"/>
      <c r="R40" s="173"/>
      <c r="S40" s="173"/>
      <c r="T40" s="173"/>
      <c r="U40" s="173"/>
      <c r="V40" s="173"/>
      <c r="W40" s="173"/>
      <c r="X40" s="173"/>
      <c r="Y40" s="173"/>
      <c r="Z40" s="175"/>
    </row>
    <row r="41" spans="1:26" ht="24.75" customHeight="1">
      <c r="A41" s="195"/>
      <c r="B41" s="202"/>
      <c r="C41" s="109" t="s">
        <v>43</v>
      </c>
      <c r="D41" s="110" t="s">
        <v>44</v>
      </c>
      <c r="E41" s="111" t="s">
        <v>45</v>
      </c>
      <c r="F41" s="111" t="s">
        <v>46</v>
      </c>
      <c r="G41" s="111" t="s">
        <v>47</v>
      </c>
      <c r="H41" s="111" t="s">
        <v>48</v>
      </c>
      <c r="I41" s="111" t="s">
        <v>49</v>
      </c>
      <c r="J41" s="111" t="s">
        <v>50</v>
      </c>
      <c r="K41" s="111" t="s">
        <v>51</v>
      </c>
      <c r="L41" s="111" t="s">
        <v>52</v>
      </c>
      <c r="M41" s="111" t="s">
        <v>53</v>
      </c>
      <c r="N41" s="111" t="s">
        <v>54</v>
      </c>
      <c r="O41" s="173"/>
      <c r="P41" s="173"/>
      <c r="Q41" s="173"/>
      <c r="R41" s="173"/>
      <c r="S41" s="173"/>
      <c r="T41" s="173"/>
      <c r="U41" s="173"/>
      <c r="V41" s="173"/>
      <c r="W41" s="173"/>
      <c r="X41" s="173"/>
      <c r="Y41" s="173"/>
      <c r="Z41" s="175"/>
    </row>
    <row r="42" spans="1:26" ht="12" customHeight="1">
      <c r="A42" s="130" t="s">
        <v>157</v>
      </c>
      <c r="B42" s="113" t="s">
        <v>61</v>
      </c>
      <c r="C42" s="16">
        <f>SUMIFS(C$22:C$38,$B$22:$B$38,$B42)</f>
        <v>8519520.5700000003</v>
      </c>
      <c r="D42" s="16">
        <v>9127634.4700000007</v>
      </c>
      <c r="E42" s="16">
        <v>7195149.9199999999</v>
      </c>
      <c r="F42" s="16">
        <v>8125092.6099999994</v>
      </c>
      <c r="G42" s="16">
        <v>8128399.9399999995</v>
      </c>
      <c r="H42" s="16">
        <v>8238395.5299999993</v>
      </c>
      <c r="I42" s="16">
        <v>8380020.7700000005</v>
      </c>
      <c r="J42" s="16">
        <v>8463667.2599999998</v>
      </c>
      <c r="K42" s="16">
        <v>8560745.1899999995</v>
      </c>
      <c r="L42" s="16">
        <v>9084407.0999999996</v>
      </c>
      <c r="M42" s="16">
        <v>9046432.6400000006</v>
      </c>
      <c r="N42" s="16">
        <v>9827262.9900000002</v>
      </c>
      <c r="O42" s="4"/>
      <c r="P42" s="4"/>
      <c r="Q42" s="4"/>
      <c r="R42" s="4"/>
      <c r="S42" s="4"/>
      <c r="T42" s="4"/>
      <c r="U42" s="4"/>
      <c r="V42" s="4"/>
      <c r="W42" s="4"/>
      <c r="X42" s="4"/>
      <c r="Y42" s="4"/>
      <c r="Z42" s="18"/>
    </row>
    <row r="43" spans="1:26" ht="12" customHeight="1">
      <c r="A43" s="129"/>
      <c r="B43" s="113" t="s">
        <v>72</v>
      </c>
      <c r="C43" s="16">
        <f>SUMIFS($C$22:$C$38,$B$22:$B$38,$B43)</f>
        <v>2128351.9299999997</v>
      </c>
      <c r="D43" s="16">
        <v>2293964.63</v>
      </c>
      <c r="E43" s="16">
        <v>9640542.6099999994</v>
      </c>
      <c r="F43" s="16">
        <v>8644420.9199999999</v>
      </c>
      <c r="G43" s="16">
        <v>10858198.720000001</v>
      </c>
      <c r="H43" s="16">
        <v>1057461.83</v>
      </c>
      <c r="I43" s="16">
        <v>542440</v>
      </c>
      <c r="J43" s="16">
        <v>80000</v>
      </c>
      <c r="K43" s="16">
        <v>80000</v>
      </c>
      <c r="L43" s="16">
        <v>1864767.76</v>
      </c>
      <c r="M43" s="16">
        <v>931366.88</v>
      </c>
      <c r="N43" s="16">
        <v>2780568.46</v>
      </c>
      <c r="O43" s="4"/>
      <c r="P43" s="4"/>
      <c r="Q43" s="4"/>
      <c r="R43" s="4"/>
      <c r="S43" s="4"/>
      <c r="T43" s="4"/>
      <c r="U43" s="4"/>
      <c r="V43" s="4"/>
      <c r="W43" s="4"/>
      <c r="X43" s="4"/>
      <c r="Y43" s="4"/>
      <c r="Z43" s="18"/>
    </row>
    <row r="44" spans="1:26" ht="12" customHeight="1">
      <c r="A44" s="129"/>
      <c r="B44" s="113" t="s">
        <v>62</v>
      </c>
      <c r="C44" s="16">
        <f>SUMIFS($C$22:$C$38,$B$22:$B$38,$B44)</f>
        <v>7224511.0599999996</v>
      </c>
      <c r="D44" s="16">
        <v>6300849.1200000001</v>
      </c>
      <c r="E44" s="16">
        <v>7155604.3500000006</v>
      </c>
      <c r="F44" s="16">
        <v>7316942.2699999996</v>
      </c>
      <c r="G44" s="16">
        <v>6864508.8200000003</v>
      </c>
      <c r="H44" s="16">
        <v>7153449.1099999994</v>
      </c>
      <c r="I44" s="16">
        <v>6178756.5300000003</v>
      </c>
      <c r="J44" s="16">
        <v>5873845.9700000007</v>
      </c>
      <c r="K44" s="16">
        <v>7310697.0200000005</v>
      </c>
      <c r="L44" s="16">
        <v>6895976.8700000001</v>
      </c>
      <c r="M44" s="16">
        <v>8112909.6500000004</v>
      </c>
      <c r="N44" s="16">
        <v>7542017.3100000005</v>
      </c>
      <c r="O44" s="4"/>
      <c r="P44" s="4"/>
      <c r="Q44" s="4"/>
      <c r="R44" s="4"/>
      <c r="S44" s="4"/>
      <c r="T44" s="4"/>
      <c r="U44" s="4"/>
      <c r="V44" s="4"/>
      <c r="W44" s="4"/>
      <c r="X44" s="4"/>
      <c r="Y44" s="4"/>
      <c r="Z44" s="18"/>
    </row>
    <row r="45" spans="1:26" ht="12" customHeight="1">
      <c r="A45" s="129"/>
      <c r="B45" s="113" t="s">
        <v>63</v>
      </c>
      <c r="C45" s="16">
        <f>SUMIFS($C$22:$C$38,$B$22:$B$38,$B45)</f>
        <v>460851.04</v>
      </c>
      <c r="D45" s="16">
        <v>453361.22</v>
      </c>
      <c r="E45" s="16">
        <v>529543.36</v>
      </c>
      <c r="F45" s="16">
        <v>460045.5</v>
      </c>
      <c r="G45" s="16">
        <v>453313.17</v>
      </c>
      <c r="H45" s="16">
        <v>588915.94999999995</v>
      </c>
      <c r="I45" s="16">
        <v>465740.94999999995</v>
      </c>
      <c r="J45" s="16">
        <v>722433.84000000008</v>
      </c>
      <c r="K45" s="16">
        <v>442889.62</v>
      </c>
      <c r="L45" s="16">
        <v>415052.79999999999</v>
      </c>
      <c r="M45" s="16">
        <v>425863.69</v>
      </c>
      <c r="N45" s="16">
        <v>505732.38</v>
      </c>
      <c r="O45" s="4"/>
      <c r="P45" s="4"/>
      <c r="Q45" s="4"/>
      <c r="R45" s="4"/>
      <c r="S45" s="4"/>
      <c r="T45" s="4"/>
      <c r="U45" s="4"/>
      <c r="V45" s="4"/>
      <c r="W45" s="4"/>
      <c r="X45" s="4"/>
      <c r="Y45" s="4"/>
      <c r="Z45" s="18"/>
    </row>
    <row r="46" spans="1:26" ht="12" customHeight="1">
      <c r="A46" s="129"/>
      <c r="B46" s="77" t="s">
        <v>59</v>
      </c>
      <c r="C46" s="22">
        <f>SUM(C42:C45)</f>
        <v>18333234.599999998</v>
      </c>
      <c r="D46" s="22">
        <f t="shared" ref="D46:N46" si="3">SUM(D42:D45)</f>
        <v>18175809.440000001</v>
      </c>
      <c r="E46" s="22">
        <f t="shared" si="3"/>
        <v>24520840.240000002</v>
      </c>
      <c r="F46" s="22">
        <f t="shared" si="3"/>
        <v>24546501.299999997</v>
      </c>
      <c r="G46" s="22">
        <f t="shared" si="3"/>
        <v>26304420.650000002</v>
      </c>
      <c r="H46" s="22">
        <f t="shared" si="3"/>
        <v>17038222.419999998</v>
      </c>
      <c r="I46" s="22">
        <f t="shared" si="3"/>
        <v>15566958.25</v>
      </c>
      <c r="J46" s="22">
        <f t="shared" si="3"/>
        <v>15139947.07</v>
      </c>
      <c r="K46" s="22">
        <f t="shared" si="3"/>
        <v>16394331.83</v>
      </c>
      <c r="L46" s="22">
        <f t="shared" si="3"/>
        <v>18260204.530000001</v>
      </c>
      <c r="M46" s="22">
        <f t="shared" si="3"/>
        <v>18516572.860000003</v>
      </c>
      <c r="N46" s="22">
        <f t="shared" si="3"/>
        <v>20655581.139999997</v>
      </c>
      <c r="O46" s="4"/>
      <c r="P46" s="4"/>
      <c r="Q46" s="4"/>
      <c r="R46" s="4"/>
      <c r="S46" s="4"/>
      <c r="T46" s="4"/>
      <c r="U46" s="4"/>
      <c r="V46" s="4"/>
      <c r="W46" s="4"/>
      <c r="X46" s="4"/>
      <c r="Y46" s="4"/>
      <c r="Z46" s="18"/>
    </row>
    <row r="47" spans="1:26" ht="12" customHeight="1">
      <c r="A47" s="129"/>
      <c r="B47" s="77"/>
      <c r="C47" s="22"/>
      <c r="D47" s="22"/>
      <c r="E47" s="22"/>
      <c r="F47" s="22"/>
      <c r="G47" s="22"/>
      <c r="H47" s="22"/>
      <c r="I47" s="22"/>
      <c r="J47" s="22"/>
      <c r="K47" s="22"/>
      <c r="L47" s="22"/>
      <c r="M47" s="22"/>
      <c r="N47" s="22"/>
      <c r="O47" s="4"/>
      <c r="P47" s="4"/>
      <c r="Q47" s="4"/>
      <c r="R47" s="4"/>
      <c r="S47" s="4"/>
      <c r="T47" s="4"/>
      <c r="U47" s="4"/>
      <c r="V47" s="4"/>
      <c r="W47" s="4"/>
      <c r="X47" s="4"/>
      <c r="Y47" s="4"/>
      <c r="Z47" s="18"/>
    </row>
    <row r="48" spans="1:26" ht="12" customHeight="1">
      <c r="A48" s="129"/>
      <c r="B48" s="77"/>
      <c r="C48" s="22"/>
      <c r="D48" s="22"/>
      <c r="E48" s="22"/>
      <c r="F48" s="22"/>
      <c r="G48" s="22"/>
      <c r="H48" s="22"/>
      <c r="I48" s="22"/>
      <c r="J48" s="22"/>
      <c r="K48" s="22"/>
      <c r="L48" s="22"/>
      <c r="M48" s="22"/>
      <c r="N48" s="22"/>
      <c r="O48" s="4"/>
      <c r="P48" s="4"/>
      <c r="Q48" s="4"/>
      <c r="R48" s="4"/>
      <c r="S48" s="4"/>
      <c r="T48" s="4"/>
      <c r="U48" s="4"/>
      <c r="V48" s="4"/>
      <c r="W48" s="4"/>
      <c r="X48" s="4"/>
      <c r="Y48" s="4"/>
      <c r="Z48" s="18"/>
    </row>
    <row r="49" spans="1:26" ht="12" customHeight="1">
      <c r="A49" s="129"/>
      <c r="B49" s="77"/>
      <c r="C49" s="22"/>
      <c r="D49" s="22"/>
      <c r="E49" s="22"/>
      <c r="F49" s="22"/>
      <c r="G49" s="22"/>
      <c r="H49" s="22"/>
      <c r="I49" s="22"/>
      <c r="J49" s="22"/>
      <c r="K49" s="22"/>
      <c r="L49" s="22"/>
      <c r="M49" s="22"/>
      <c r="N49" s="22"/>
      <c r="O49" s="4"/>
      <c r="P49" s="4"/>
      <c r="Q49" s="4"/>
      <c r="R49" s="4"/>
      <c r="S49" s="4"/>
      <c r="T49" s="4"/>
      <c r="U49" s="4"/>
      <c r="V49" s="4"/>
      <c r="W49" s="4"/>
      <c r="X49" s="4"/>
      <c r="Y49" s="4"/>
      <c r="Z49" s="18"/>
    </row>
    <row r="50" spans="1:26" ht="12" customHeight="1">
      <c r="A50" s="129"/>
      <c r="B50" s="77"/>
      <c r="C50" s="22"/>
      <c r="D50" s="22"/>
      <c r="E50" s="22"/>
      <c r="F50" s="22"/>
      <c r="G50" s="22"/>
      <c r="H50" s="22"/>
      <c r="I50" s="22"/>
      <c r="J50" s="22"/>
      <c r="K50" s="22"/>
      <c r="L50" s="22"/>
      <c r="M50" s="22"/>
      <c r="N50" s="22"/>
      <c r="O50" s="4"/>
      <c r="P50" s="4"/>
      <c r="Q50" s="4"/>
      <c r="R50" s="4"/>
      <c r="S50" s="4"/>
      <c r="T50" s="4"/>
      <c r="U50" s="4"/>
      <c r="V50" s="4"/>
      <c r="W50" s="4"/>
      <c r="X50" s="4"/>
      <c r="Y50" s="4"/>
      <c r="Z50" s="18"/>
    </row>
    <row r="51" spans="1:26" ht="12" customHeight="1">
      <c r="A51" s="129"/>
      <c r="B51" s="77"/>
      <c r="C51" s="22"/>
      <c r="D51" s="22"/>
      <c r="E51" s="22"/>
      <c r="F51" s="22"/>
      <c r="G51" s="22"/>
      <c r="H51" s="22"/>
      <c r="I51" s="22"/>
      <c r="J51" s="22"/>
      <c r="K51" s="22"/>
      <c r="L51" s="22"/>
      <c r="M51" s="22"/>
      <c r="N51" s="22"/>
      <c r="O51" s="4"/>
      <c r="P51" s="4"/>
      <c r="Q51" s="4"/>
      <c r="R51" s="4"/>
      <c r="S51" s="4"/>
      <c r="T51" s="4"/>
      <c r="U51" s="4"/>
      <c r="V51" s="4"/>
      <c r="W51" s="4"/>
      <c r="X51" s="4"/>
      <c r="Y51" s="4"/>
      <c r="Z51" s="18"/>
    </row>
    <row r="52" spans="1:26" ht="12" customHeight="1">
      <c r="A52" s="129"/>
      <c r="B52" s="77"/>
      <c r="C52" s="22"/>
      <c r="D52" s="22"/>
      <c r="E52" s="22"/>
      <c r="F52" s="22"/>
      <c r="G52" s="22"/>
      <c r="H52" s="22"/>
      <c r="I52" s="22"/>
      <c r="J52" s="22"/>
      <c r="K52" s="22"/>
      <c r="L52" s="22"/>
      <c r="M52" s="22"/>
      <c r="N52" s="22"/>
      <c r="O52" s="4"/>
      <c r="P52" s="4"/>
      <c r="Q52" s="4"/>
      <c r="R52" s="4"/>
      <c r="S52" s="4"/>
      <c r="T52" s="4"/>
      <c r="U52" s="4"/>
      <c r="V52" s="4"/>
      <c r="W52" s="4"/>
      <c r="X52" s="4"/>
      <c r="Y52" s="4"/>
      <c r="Z52" s="18"/>
    </row>
    <row r="53" spans="1:26" ht="12" customHeight="1">
      <c r="A53" s="129"/>
      <c r="B53" s="3"/>
      <c r="C53" s="3"/>
      <c r="D53" s="3"/>
      <c r="E53" s="3"/>
      <c r="F53" s="3"/>
      <c r="G53" s="3"/>
      <c r="H53" s="3"/>
      <c r="I53" s="3"/>
      <c r="J53" s="3"/>
      <c r="K53" s="3"/>
      <c r="L53" s="3"/>
      <c r="M53" s="3"/>
      <c r="N53" s="3"/>
      <c r="O53" s="4"/>
      <c r="P53" s="4"/>
      <c r="Q53" s="4"/>
      <c r="R53" s="4"/>
      <c r="S53" s="4"/>
      <c r="T53" s="4"/>
      <c r="U53" s="4"/>
      <c r="V53" s="4"/>
      <c r="W53" s="4"/>
      <c r="X53" s="4"/>
      <c r="Y53" s="4"/>
      <c r="Z53" s="18"/>
    </row>
    <row r="54" spans="1:26" ht="12" customHeight="1">
      <c r="A54" s="129"/>
      <c r="B54" s="3"/>
      <c r="C54" s="3"/>
      <c r="D54" s="3"/>
      <c r="E54" s="3"/>
      <c r="F54" s="3"/>
      <c r="G54" s="3"/>
      <c r="H54" s="3"/>
      <c r="I54" s="3"/>
      <c r="J54" s="3"/>
      <c r="K54" s="3"/>
      <c r="L54" s="3"/>
      <c r="M54" s="3"/>
      <c r="N54" s="3"/>
      <c r="O54" s="4"/>
      <c r="P54" s="4"/>
      <c r="Q54" s="4"/>
      <c r="R54" s="4"/>
      <c r="S54" s="4"/>
      <c r="T54" s="4"/>
      <c r="U54" s="4"/>
      <c r="V54" s="4"/>
      <c r="W54" s="4"/>
      <c r="X54" s="4"/>
      <c r="Y54" s="4"/>
      <c r="Z54" s="18"/>
    </row>
    <row r="55" spans="1:26" ht="12" customHeight="1">
      <c r="A55" s="129"/>
      <c r="B55" s="3"/>
      <c r="C55" s="3"/>
      <c r="D55" s="3"/>
      <c r="E55" s="3"/>
      <c r="F55" s="3"/>
      <c r="G55" s="3"/>
      <c r="H55" s="3"/>
      <c r="I55" s="3"/>
      <c r="J55" s="3"/>
      <c r="K55" s="3"/>
      <c r="L55" s="3"/>
      <c r="M55" s="3"/>
      <c r="N55" s="3"/>
      <c r="O55" s="4"/>
      <c r="P55" s="4"/>
      <c r="Q55" s="4"/>
      <c r="R55" s="4"/>
      <c r="S55" s="4"/>
      <c r="T55" s="4"/>
      <c r="U55" s="4"/>
      <c r="V55" s="4"/>
      <c r="W55" s="4"/>
      <c r="X55" s="4"/>
      <c r="Y55" s="4"/>
      <c r="Z55" s="18"/>
    </row>
    <row r="56" spans="1:26" ht="12" customHeight="1">
      <c r="A56" s="77"/>
      <c r="B56" s="3"/>
      <c r="C56" s="3"/>
      <c r="D56" s="3"/>
      <c r="E56" s="3"/>
      <c r="F56" s="3"/>
      <c r="G56" s="3"/>
      <c r="H56" s="3"/>
      <c r="I56" s="3"/>
      <c r="J56" s="3"/>
      <c r="K56" s="3"/>
      <c r="L56" s="3"/>
      <c r="M56" s="3"/>
      <c r="N56" s="3"/>
      <c r="O56" s="4"/>
      <c r="P56" s="4"/>
      <c r="Q56" s="4"/>
      <c r="R56" s="4"/>
      <c r="S56" s="4"/>
      <c r="T56" s="4"/>
      <c r="U56" s="4"/>
      <c r="V56" s="4"/>
      <c r="W56" s="4"/>
      <c r="X56" s="4"/>
      <c r="Y56" s="4"/>
      <c r="Z56" s="18"/>
    </row>
    <row r="57" spans="1:26" ht="12" customHeight="1">
      <c r="A57" s="129"/>
      <c r="B57" s="3"/>
      <c r="C57" s="3"/>
      <c r="D57" s="3"/>
      <c r="E57" s="3"/>
      <c r="F57" s="3"/>
      <c r="G57" s="3"/>
      <c r="H57" s="3"/>
      <c r="I57" s="3"/>
      <c r="J57" s="3"/>
      <c r="K57" s="3"/>
      <c r="L57" s="3"/>
      <c r="M57" s="3"/>
      <c r="N57" s="3"/>
      <c r="O57" s="4"/>
      <c r="P57" s="4"/>
      <c r="Q57" s="4"/>
      <c r="R57" s="4"/>
      <c r="S57" s="4"/>
      <c r="T57" s="4"/>
      <c r="U57" s="4"/>
      <c r="V57" s="4"/>
      <c r="W57" s="4"/>
      <c r="X57" s="4"/>
      <c r="Y57" s="4"/>
      <c r="Z57" s="18"/>
    </row>
    <row r="58" spans="1:26" ht="12" customHeight="1">
      <c r="A58" s="129"/>
      <c r="B58" s="3"/>
      <c r="C58" s="3"/>
      <c r="D58" s="3"/>
      <c r="E58" s="3"/>
      <c r="F58" s="3"/>
      <c r="G58" s="3"/>
      <c r="H58" s="3"/>
      <c r="I58" s="3"/>
      <c r="J58" s="3"/>
      <c r="K58" s="3"/>
      <c r="L58" s="3"/>
      <c r="M58" s="3"/>
      <c r="N58" s="3"/>
      <c r="O58" s="4"/>
      <c r="P58" s="4"/>
      <c r="Q58" s="4"/>
      <c r="R58" s="4"/>
      <c r="S58" s="4"/>
      <c r="T58" s="4"/>
      <c r="U58" s="4"/>
      <c r="V58" s="4"/>
      <c r="W58" s="4"/>
      <c r="X58" s="4"/>
      <c r="Y58" s="4"/>
      <c r="Z58" s="18"/>
    </row>
    <row r="59" spans="1:26" ht="12" customHeight="1">
      <c r="A59" s="129"/>
      <c r="B59" s="3"/>
      <c r="C59" s="3"/>
      <c r="D59" s="3"/>
      <c r="E59" s="3"/>
      <c r="F59" s="3"/>
      <c r="G59" s="3"/>
      <c r="H59" s="3"/>
      <c r="I59" s="3"/>
      <c r="J59" s="3"/>
      <c r="K59" s="3"/>
      <c r="L59" s="3"/>
      <c r="M59" s="3"/>
      <c r="N59" s="3"/>
      <c r="O59" s="4"/>
      <c r="P59" s="4"/>
      <c r="Q59" s="4"/>
      <c r="R59" s="4"/>
      <c r="S59" s="4"/>
      <c r="T59" s="4"/>
      <c r="U59" s="4"/>
      <c r="V59" s="4"/>
      <c r="W59" s="4"/>
      <c r="X59" s="4"/>
      <c r="Y59" s="4"/>
      <c r="Z59" s="18"/>
    </row>
    <row r="60" spans="1:26" ht="12" customHeight="1">
      <c r="A60" s="129"/>
      <c r="B60" s="3"/>
      <c r="C60" s="3"/>
      <c r="D60" s="3"/>
      <c r="E60" s="3"/>
      <c r="F60" s="3"/>
      <c r="G60" s="3"/>
      <c r="H60" s="3"/>
      <c r="I60" s="3"/>
      <c r="J60" s="3"/>
      <c r="K60" s="3"/>
      <c r="L60" s="3"/>
      <c r="M60" s="3"/>
      <c r="N60" s="3"/>
      <c r="O60" s="4"/>
      <c r="P60" s="4"/>
      <c r="Q60" s="4"/>
      <c r="R60" s="4"/>
      <c r="S60" s="4"/>
      <c r="T60" s="4"/>
      <c r="U60" s="4"/>
      <c r="V60" s="4"/>
      <c r="W60" s="4"/>
      <c r="X60" s="4"/>
      <c r="Y60" s="4"/>
      <c r="Z60" s="18"/>
    </row>
    <row r="61" spans="1:26" ht="12" customHeight="1">
      <c r="A61" s="129"/>
      <c r="B61" s="3"/>
      <c r="C61" s="3"/>
      <c r="D61" s="3"/>
      <c r="E61" s="3"/>
      <c r="F61" s="3"/>
      <c r="G61" s="3"/>
      <c r="H61" s="3"/>
      <c r="I61" s="3"/>
      <c r="J61" s="3"/>
      <c r="K61" s="3"/>
      <c r="L61" s="3"/>
      <c r="M61" s="3"/>
      <c r="N61" s="3"/>
      <c r="O61" s="4"/>
      <c r="P61" s="4"/>
      <c r="Q61" s="4"/>
      <c r="R61" s="4"/>
      <c r="S61" s="4"/>
      <c r="T61" s="4"/>
      <c r="U61" s="4"/>
      <c r="V61" s="4"/>
      <c r="W61" s="4"/>
      <c r="X61" s="4"/>
      <c r="Y61" s="4"/>
      <c r="Z61" s="18"/>
    </row>
    <row r="62" spans="1:26" ht="12" customHeight="1">
      <c r="A62" s="129"/>
      <c r="B62" s="3"/>
      <c r="C62" s="3"/>
      <c r="D62" s="3"/>
      <c r="E62" s="3"/>
      <c r="F62" s="3"/>
      <c r="G62" s="3"/>
      <c r="H62" s="3"/>
      <c r="I62" s="3"/>
      <c r="J62" s="3"/>
      <c r="K62" s="3"/>
      <c r="L62" s="3"/>
      <c r="M62" s="3"/>
      <c r="N62" s="3"/>
      <c r="O62" s="4"/>
      <c r="P62" s="4"/>
      <c r="Q62" s="4"/>
      <c r="R62" s="4"/>
      <c r="S62" s="4"/>
      <c r="T62" s="4"/>
      <c r="U62" s="4"/>
      <c r="V62" s="4"/>
      <c r="W62" s="4"/>
      <c r="X62" s="4"/>
      <c r="Y62" s="4"/>
      <c r="Z62" s="18"/>
    </row>
    <row r="63" spans="1:26" ht="12" customHeight="1">
      <c r="A63" s="129"/>
      <c r="B63" s="3"/>
      <c r="C63" s="3"/>
      <c r="D63" s="3"/>
      <c r="E63" s="3"/>
      <c r="F63" s="3"/>
      <c r="G63" s="3"/>
      <c r="H63" s="3"/>
      <c r="I63" s="3"/>
      <c r="J63" s="3"/>
      <c r="K63" s="3"/>
      <c r="L63" s="3"/>
      <c r="M63" s="3"/>
      <c r="N63" s="3"/>
      <c r="O63" s="4"/>
      <c r="P63" s="4"/>
      <c r="Q63" s="4"/>
      <c r="R63" s="4"/>
      <c r="S63" s="4"/>
      <c r="T63" s="4"/>
      <c r="U63" s="4"/>
      <c r="V63" s="4"/>
      <c r="W63" s="4"/>
      <c r="X63" s="4"/>
      <c r="Y63" s="4"/>
      <c r="Z63" s="18"/>
    </row>
    <row r="64" spans="1:26" ht="12" customHeight="1">
      <c r="A64" s="129"/>
      <c r="B64" s="3"/>
      <c r="C64" s="3"/>
      <c r="D64" s="3"/>
      <c r="E64" s="3"/>
      <c r="F64" s="3"/>
      <c r="G64" s="3"/>
      <c r="H64" s="3"/>
      <c r="I64" s="3"/>
      <c r="J64" s="3"/>
      <c r="K64" s="3"/>
      <c r="L64" s="3"/>
      <c r="M64" s="3"/>
      <c r="N64" s="3"/>
      <c r="O64" s="4"/>
      <c r="P64" s="4"/>
      <c r="Q64" s="4"/>
      <c r="R64" s="4"/>
      <c r="S64" s="4"/>
      <c r="T64" s="4"/>
      <c r="U64" s="4"/>
      <c r="V64" s="4"/>
      <c r="W64" s="4"/>
      <c r="X64" s="4"/>
      <c r="Y64" s="4"/>
      <c r="Z64" s="18"/>
    </row>
    <row r="65" spans="1:26" ht="12" customHeight="1">
      <c r="A65" s="129"/>
      <c r="B65" s="3"/>
      <c r="C65" s="3"/>
      <c r="D65" s="3"/>
      <c r="E65" s="3"/>
      <c r="F65" s="3"/>
      <c r="G65" s="3"/>
      <c r="H65" s="3"/>
      <c r="I65" s="3"/>
      <c r="J65" s="3"/>
      <c r="K65" s="3"/>
      <c r="L65" s="3"/>
      <c r="M65" s="3"/>
      <c r="N65" s="3"/>
      <c r="O65" s="4"/>
      <c r="P65" s="4"/>
      <c r="Q65" s="4"/>
      <c r="R65" s="4"/>
      <c r="S65" s="4"/>
      <c r="T65" s="4"/>
      <c r="U65" s="4"/>
      <c r="V65" s="4"/>
      <c r="W65" s="4"/>
      <c r="X65" s="4"/>
      <c r="Y65" s="4"/>
      <c r="Z65" s="18"/>
    </row>
    <row r="66" spans="1:26" ht="12" customHeight="1">
      <c r="A66" s="129"/>
      <c r="B66" s="3"/>
      <c r="C66" s="3"/>
      <c r="D66" s="3"/>
      <c r="E66" s="3"/>
      <c r="F66" s="3"/>
      <c r="G66" s="3"/>
      <c r="H66" s="3"/>
      <c r="I66" s="3"/>
      <c r="J66" s="3"/>
      <c r="K66" s="3"/>
      <c r="L66" s="3"/>
      <c r="M66" s="3"/>
      <c r="N66" s="3"/>
      <c r="O66" s="4"/>
      <c r="P66" s="4"/>
      <c r="Q66" s="4"/>
      <c r="R66" s="4"/>
      <c r="S66" s="4"/>
      <c r="T66" s="4"/>
      <c r="U66" s="4"/>
      <c r="V66" s="4"/>
      <c r="W66" s="4"/>
      <c r="X66" s="4"/>
      <c r="Y66" s="4"/>
      <c r="Z66" s="18"/>
    </row>
    <row r="67" spans="1:26" ht="12" customHeight="1">
      <c r="A67" s="129"/>
      <c r="B67" s="3"/>
      <c r="C67" s="3"/>
      <c r="D67" s="3"/>
      <c r="E67" s="3"/>
      <c r="F67" s="3"/>
      <c r="G67" s="3"/>
      <c r="H67" s="3"/>
      <c r="I67" s="3"/>
      <c r="J67" s="3"/>
      <c r="K67" s="3"/>
      <c r="L67" s="3"/>
      <c r="M67" s="3"/>
      <c r="N67" s="3"/>
      <c r="O67" s="4"/>
      <c r="P67" s="4"/>
      <c r="Q67" s="4"/>
      <c r="R67" s="4"/>
      <c r="S67" s="4"/>
      <c r="T67" s="4"/>
      <c r="U67" s="4"/>
      <c r="V67" s="4"/>
      <c r="W67" s="4"/>
      <c r="X67" s="4"/>
      <c r="Y67" s="4"/>
      <c r="Z67" s="18"/>
    </row>
    <row r="68" spans="1:26" ht="12" customHeight="1">
      <c r="A68" s="129"/>
      <c r="B68" s="3"/>
      <c r="C68" s="3"/>
      <c r="D68" s="3"/>
      <c r="E68" s="3"/>
      <c r="F68" s="3"/>
      <c r="G68" s="3"/>
      <c r="H68" s="3"/>
      <c r="I68" s="3"/>
      <c r="J68" s="3"/>
      <c r="K68" s="3"/>
      <c r="L68" s="3"/>
      <c r="M68" s="3"/>
      <c r="N68" s="3"/>
      <c r="O68" s="4"/>
      <c r="P68" s="4"/>
      <c r="Q68" s="4"/>
      <c r="R68" s="4"/>
      <c r="S68" s="4"/>
      <c r="T68" s="4"/>
      <c r="U68" s="4"/>
      <c r="V68" s="4"/>
      <c r="W68" s="4"/>
      <c r="X68" s="4"/>
      <c r="Y68" s="4"/>
      <c r="Z68" s="18"/>
    </row>
    <row r="69" spans="1:26" ht="12" customHeight="1">
      <c r="A69" s="129"/>
      <c r="B69" s="3"/>
      <c r="C69" s="3"/>
      <c r="D69" s="3"/>
      <c r="E69" s="3"/>
      <c r="F69" s="3"/>
      <c r="G69" s="3"/>
      <c r="H69" s="3"/>
      <c r="I69" s="3"/>
      <c r="J69" s="3"/>
      <c r="K69" s="3"/>
      <c r="L69" s="3"/>
      <c r="M69" s="3"/>
      <c r="N69" s="3"/>
      <c r="O69" s="4"/>
      <c r="P69" s="4"/>
      <c r="Q69" s="4"/>
      <c r="R69" s="4"/>
      <c r="S69" s="4"/>
      <c r="T69" s="4"/>
      <c r="U69" s="4"/>
      <c r="V69" s="4"/>
      <c r="W69" s="4"/>
      <c r="X69" s="4"/>
      <c r="Y69" s="4"/>
      <c r="Z69" s="18"/>
    </row>
    <row r="70" spans="1:26" ht="12" customHeight="1">
      <c r="A70" s="129"/>
      <c r="B70" s="3"/>
      <c r="C70" s="3"/>
      <c r="D70" s="3"/>
      <c r="E70" s="3"/>
      <c r="F70" s="3"/>
      <c r="G70" s="3"/>
      <c r="H70" s="3"/>
      <c r="I70" s="3"/>
      <c r="J70" s="3"/>
      <c r="K70" s="3"/>
      <c r="L70" s="3"/>
      <c r="M70" s="3"/>
      <c r="N70" s="3"/>
      <c r="O70" s="4"/>
      <c r="P70" s="4"/>
      <c r="Q70" s="4"/>
      <c r="R70" s="4"/>
      <c r="S70" s="4"/>
      <c r="T70" s="4"/>
      <c r="U70" s="4"/>
      <c r="V70" s="4"/>
      <c r="W70" s="4"/>
      <c r="X70" s="4"/>
      <c r="Y70" s="4"/>
      <c r="Z70" s="18"/>
    </row>
    <row r="71" spans="1:26" ht="12" customHeight="1">
      <c r="A71" s="129"/>
      <c r="B71" s="3"/>
      <c r="C71" s="3"/>
      <c r="D71" s="3"/>
      <c r="E71" s="3"/>
      <c r="F71" s="3"/>
      <c r="G71" s="3"/>
      <c r="H71" s="3"/>
      <c r="I71" s="3"/>
      <c r="J71" s="3"/>
      <c r="K71" s="3"/>
      <c r="L71" s="3"/>
      <c r="M71" s="3"/>
      <c r="N71" s="3"/>
      <c r="O71" s="4"/>
      <c r="P71" s="4"/>
      <c r="Q71" s="4"/>
      <c r="R71" s="4"/>
      <c r="S71" s="4"/>
      <c r="T71" s="4"/>
      <c r="U71" s="4"/>
      <c r="V71" s="4"/>
      <c r="W71" s="4"/>
      <c r="X71" s="4"/>
      <c r="Y71" s="4"/>
      <c r="Z71" s="18"/>
    </row>
    <row r="72" spans="1:26" ht="12" customHeight="1">
      <c r="A72" s="129"/>
      <c r="B72" s="3"/>
      <c r="C72" s="3"/>
      <c r="D72" s="3"/>
      <c r="E72" s="3"/>
      <c r="F72" s="3"/>
      <c r="G72" s="3"/>
      <c r="H72" s="3"/>
      <c r="I72" s="3"/>
      <c r="J72" s="3"/>
      <c r="K72" s="3"/>
      <c r="L72" s="3"/>
      <c r="M72" s="3"/>
      <c r="N72" s="3"/>
      <c r="O72" s="4"/>
      <c r="P72" s="4"/>
      <c r="Q72" s="4"/>
      <c r="R72" s="4"/>
      <c r="S72" s="4"/>
      <c r="T72" s="4"/>
      <c r="U72" s="4"/>
      <c r="V72" s="4"/>
      <c r="W72" s="4"/>
      <c r="X72" s="4"/>
      <c r="Y72" s="4"/>
      <c r="Z72" s="18"/>
    </row>
    <row r="73" spans="1:26" ht="12" customHeight="1">
      <c r="A73" s="129"/>
      <c r="B73" s="3"/>
      <c r="C73" s="3"/>
      <c r="D73" s="3"/>
      <c r="E73" s="3"/>
      <c r="F73" s="3"/>
      <c r="G73" s="3"/>
      <c r="H73" s="3"/>
      <c r="I73" s="3"/>
      <c r="J73" s="3"/>
      <c r="K73" s="3"/>
      <c r="L73" s="3"/>
      <c r="M73" s="3"/>
      <c r="N73" s="3"/>
      <c r="O73" s="4"/>
      <c r="P73" s="4"/>
      <c r="Q73" s="4"/>
      <c r="R73" s="4"/>
      <c r="S73" s="4"/>
      <c r="T73" s="4"/>
      <c r="U73" s="4"/>
      <c r="V73" s="4"/>
      <c r="W73" s="4"/>
      <c r="X73" s="4"/>
      <c r="Y73" s="4"/>
      <c r="Z73" s="18"/>
    </row>
    <row r="74" spans="1:26" ht="12" customHeight="1">
      <c r="A74" s="129"/>
      <c r="B74" s="3"/>
      <c r="C74" s="3"/>
      <c r="D74" s="3"/>
      <c r="E74" s="3"/>
      <c r="F74" s="3"/>
      <c r="G74" s="3"/>
      <c r="H74" s="3"/>
      <c r="I74" s="3"/>
      <c r="J74" s="3"/>
      <c r="K74" s="3"/>
      <c r="L74" s="3"/>
      <c r="M74" s="3"/>
      <c r="N74" s="3"/>
      <c r="O74" s="4"/>
      <c r="P74" s="4"/>
      <c r="Q74" s="4"/>
      <c r="R74" s="4"/>
      <c r="S74" s="4"/>
      <c r="T74" s="4"/>
      <c r="U74" s="4"/>
      <c r="V74" s="4"/>
      <c r="W74" s="4"/>
      <c r="X74" s="4"/>
      <c r="Y74" s="4"/>
      <c r="Z74" s="18"/>
    </row>
    <row r="75" spans="1:26" ht="12" customHeight="1">
      <c r="A75" s="129"/>
      <c r="B75" s="3"/>
      <c r="C75" s="3"/>
      <c r="D75" s="3"/>
      <c r="E75" s="3"/>
      <c r="F75" s="3"/>
      <c r="G75" s="3"/>
      <c r="H75" s="3"/>
      <c r="I75" s="3"/>
      <c r="J75" s="3"/>
      <c r="K75" s="3"/>
      <c r="L75" s="3"/>
      <c r="M75" s="3"/>
      <c r="N75" s="3"/>
      <c r="O75" s="4"/>
      <c r="P75" s="4"/>
      <c r="Q75" s="4"/>
      <c r="R75" s="4"/>
      <c r="S75" s="4"/>
      <c r="T75" s="4"/>
      <c r="U75" s="4"/>
      <c r="V75" s="4"/>
      <c r="W75" s="4"/>
      <c r="X75" s="4"/>
      <c r="Y75" s="4"/>
      <c r="Z75" s="18"/>
    </row>
    <row r="76" spans="1:26" ht="12" customHeight="1">
      <c r="A76" s="77"/>
      <c r="B76" s="3"/>
      <c r="C76" s="3"/>
      <c r="D76" s="3"/>
      <c r="E76" s="3"/>
      <c r="F76" s="3"/>
      <c r="G76" s="3"/>
      <c r="H76" s="3"/>
      <c r="I76" s="3"/>
      <c r="J76" s="3"/>
      <c r="K76" s="3"/>
      <c r="L76" s="3"/>
      <c r="M76" s="3"/>
      <c r="N76" s="3"/>
      <c r="O76" s="4"/>
      <c r="P76" s="4"/>
      <c r="Q76" s="4"/>
      <c r="R76" s="4"/>
      <c r="S76" s="4"/>
      <c r="T76" s="4"/>
      <c r="U76" s="4"/>
      <c r="V76" s="4"/>
      <c r="W76" s="4"/>
      <c r="X76" s="4"/>
      <c r="Y76" s="4"/>
      <c r="Z76" s="18"/>
    </row>
    <row r="77" spans="1:26" ht="12" customHeight="1">
      <c r="A77" s="129"/>
      <c r="B77" s="3"/>
      <c r="C77" s="3"/>
      <c r="D77" s="3"/>
      <c r="E77" s="3"/>
      <c r="F77" s="3"/>
      <c r="G77" s="3"/>
      <c r="H77" s="3"/>
      <c r="I77" s="3"/>
      <c r="J77" s="3"/>
      <c r="K77" s="3"/>
      <c r="L77" s="3"/>
      <c r="M77" s="3"/>
      <c r="N77" s="3"/>
      <c r="O77" s="4"/>
      <c r="P77" s="4"/>
      <c r="Q77" s="4"/>
      <c r="R77" s="4"/>
      <c r="S77" s="4"/>
      <c r="T77" s="4"/>
      <c r="U77" s="4"/>
      <c r="V77" s="4"/>
      <c r="W77" s="4"/>
      <c r="X77" s="4"/>
      <c r="Y77" s="4"/>
      <c r="Z77" s="18"/>
    </row>
    <row r="78" spans="1:26" ht="12" customHeight="1">
      <c r="A78" s="129"/>
      <c r="B78" s="3"/>
      <c r="C78" s="3"/>
      <c r="D78" s="3"/>
      <c r="E78" s="3"/>
      <c r="F78" s="3"/>
      <c r="G78" s="3"/>
      <c r="H78" s="3"/>
      <c r="I78" s="3"/>
      <c r="J78" s="3"/>
      <c r="K78" s="3"/>
      <c r="L78" s="3"/>
      <c r="M78" s="3"/>
      <c r="N78" s="3"/>
      <c r="O78" s="4"/>
      <c r="P78" s="4"/>
      <c r="Q78" s="4"/>
      <c r="R78" s="4"/>
      <c r="S78" s="4"/>
      <c r="T78" s="4"/>
      <c r="U78" s="4"/>
      <c r="V78" s="4"/>
      <c r="W78" s="4"/>
      <c r="X78" s="4"/>
      <c r="Y78" s="4"/>
      <c r="Z78" s="18"/>
    </row>
    <row r="79" spans="1:26" ht="12" customHeight="1">
      <c r="A79" s="129"/>
      <c r="B79" s="77"/>
      <c r="C79" s="22"/>
      <c r="D79" s="22"/>
      <c r="E79" s="22"/>
      <c r="F79" s="22"/>
      <c r="G79" s="22"/>
      <c r="H79" s="22"/>
      <c r="I79" s="22"/>
      <c r="J79" s="22"/>
      <c r="K79" s="22"/>
      <c r="L79" s="22"/>
      <c r="M79" s="22"/>
      <c r="N79" s="22"/>
      <c r="O79" s="4"/>
      <c r="P79" s="4"/>
      <c r="Q79" s="4"/>
      <c r="R79" s="4"/>
      <c r="S79" s="4"/>
      <c r="T79" s="4"/>
      <c r="U79" s="4"/>
      <c r="V79" s="4"/>
      <c r="W79" s="4"/>
      <c r="X79" s="4"/>
      <c r="Y79" s="4"/>
      <c r="Z79" s="18"/>
    </row>
    <row r="80" spans="1:26" ht="12" customHeight="1">
      <c r="A80" s="129"/>
      <c r="B80" s="77"/>
      <c r="C80" s="22"/>
      <c r="D80" s="22"/>
      <c r="E80" s="22"/>
      <c r="F80" s="22"/>
      <c r="G80" s="22"/>
      <c r="H80" s="22"/>
      <c r="I80" s="22"/>
      <c r="J80" s="22"/>
      <c r="K80" s="22"/>
      <c r="L80" s="22"/>
      <c r="M80" s="22"/>
      <c r="N80" s="22"/>
      <c r="O80" s="4"/>
      <c r="P80" s="4"/>
      <c r="Q80" s="4"/>
      <c r="R80" s="4"/>
      <c r="S80" s="4"/>
      <c r="T80" s="4"/>
      <c r="U80" s="4"/>
      <c r="V80" s="4"/>
      <c r="W80" s="4"/>
      <c r="X80" s="4"/>
      <c r="Y80" s="4"/>
      <c r="Z80" s="18"/>
    </row>
    <row r="81" spans="1:26" ht="12" customHeight="1">
      <c r="A81" s="129"/>
      <c r="B81" s="77"/>
      <c r="C81" s="22"/>
      <c r="D81" s="22"/>
      <c r="E81" s="22"/>
      <c r="F81" s="22"/>
      <c r="G81" s="22"/>
      <c r="H81" s="22"/>
      <c r="I81" s="22"/>
      <c r="J81" s="22"/>
      <c r="K81" s="22"/>
      <c r="L81" s="22"/>
      <c r="M81" s="22"/>
      <c r="N81" s="22"/>
      <c r="O81" s="4"/>
      <c r="P81" s="4"/>
      <c r="Q81" s="4"/>
      <c r="R81" s="4"/>
      <c r="S81" s="4"/>
      <c r="T81" s="4"/>
      <c r="U81" s="4"/>
      <c r="V81" s="4"/>
      <c r="W81" s="4"/>
      <c r="X81" s="4"/>
      <c r="Y81" s="4"/>
      <c r="Z81" s="18"/>
    </row>
    <row r="82" spans="1:26" ht="12" customHeight="1">
      <c r="A82" s="129"/>
      <c r="B82" s="77"/>
      <c r="C82" s="22"/>
      <c r="D82" s="22"/>
      <c r="E82" s="22"/>
      <c r="F82" s="22"/>
      <c r="G82" s="22"/>
      <c r="H82" s="22"/>
      <c r="I82" s="22"/>
      <c r="J82" s="22"/>
      <c r="K82" s="22"/>
      <c r="L82" s="22"/>
      <c r="M82" s="22"/>
      <c r="N82" s="22"/>
      <c r="O82" s="4"/>
      <c r="P82" s="4"/>
      <c r="Q82" s="4"/>
      <c r="R82" s="4"/>
      <c r="S82" s="4"/>
      <c r="T82" s="4"/>
      <c r="U82" s="4"/>
      <c r="V82" s="4"/>
      <c r="W82" s="4"/>
      <c r="X82" s="4"/>
      <c r="Y82" s="4"/>
      <c r="Z82" s="18"/>
    </row>
    <row r="83" spans="1:26" ht="12" customHeight="1">
      <c r="A83" s="129"/>
      <c r="B83" s="77"/>
      <c r="C83" s="22"/>
      <c r="D83" s="22"/>
      <c r="E83" s="22"/>
      <c r="F83" s="22"/>
      <c r="G83" s="22"/>
      <c r="H83" s="22"/>
      <c r="I83" s="22"/>
      <c r="J83" s="22"/>
      <c r="K83" s="22"/>
      <c r="L83" s="22"/>
      <c r="M83" s="22"/>
      <c r="N83" s="22"/>
      <c r="O83" s="4"/>
      <c r="P83" s="4"/>
      <c r="Q83" s="4"/>
      <c r="R83" s="4"/>
      <c r="S83" s="4"/>
      <c r="T83" s="4"/>
      <c r="U83" s="4"/>
      <c r="V83" s="4"/>
      <c r="W83" s="4"/>
      <c r="X83" s="4"/>
      <c r="Y83" s="4"/>
      <c r="Z83" s="18"/>
    </row>
    <row r="84" spans="1:26" ht="12" customHeight="1">
      <c r="A84" s="129"/>
      <c r="B84" s="77"/>
      <c r="C84" s="22"/>
      <c r="D84" s="22"/>
      <c r="E84" s="22"/>
      <c r="F84" s="22"/>
      <c r="G84" s="22"/>
      <c r="H84" s="22"/>
      <c r="I84" s="22"/>
      <c r="J84" s="22"/>
      <c r="K84" s="22"/>
      <c r="L84" s="22"/>
      <c r="M84" s="22"/>
      <c r="N84" s="22"/>
      <c r="O84" s="4"/>
      <c r="P84" s="4"/>
      <c r="Q84" s="4"/>
      <c r="R84" s="4"/>
      <c r="S84" s="4"/>
      <c r="T84" s="4"/>
      <c r="U84" s="4"/>
      <c r="V84" s="4"/>
      <c r="W84" s="4"/>
      <c r="X84" s="4"/>
      <c r="Y84" s="4"/>
      <c r="Z84" s="18"/>
    </row>
    <row r="85" spans="1:26" ht="12" customHeight="1">
      <c r="A85" s="129"/>
      <c r="B85" s="71"/>
      <c r="C85" s="21"/>
      <c r="D85" s="21"/>
      <c r="E85" s="21"/>
      <c r="F85" s="21"/>
      <c r="G85" s="21"/>
      <c r="H85" s="21"/>
      <c r="I85" s="21"/>
      <c r="J85" s="21"/>
      <c r="K85" s="21"/>
      <c r="L85" s="21"/>
      <c r="M85" s="21"/>
      <c r="N85" s="21"/>
      <c r="O85" s="4"/>
      <c r="P85" s="4"/>
      <c r="Q85" s="4"/>
      <c r="R85" s="4"/>
      <c r="S85" s="4"/>
      <c r="T85" s="4"/>
      <c r="U85" s="4"/>
      <c r="V85" s="4"/>
      <c r="W85" s="4"/>
      <c r="X85" s="4"/>
      <c r="Y85" s="4"/>
      <c r="Z85" s="18"/>
    </row>
    <row r="86" spans="1:26" ht="12" customHeight="1">
      <c r="A86" s="77"/>
      <c r="B86" s="77"/>
      <c r="C86" s="22"/>
      <c r="D86" s="22"/>
      <c r="E86" s="22"/>
      <c r="F86" s="22"/>
      <c r="G86" s="22"/>
      <c r="H86" s="22"/>
      <c r="I86" s="22"/>
      <c r="J86" s="22"/>
      <c r="K86" s="22"/>
      <c r="L86" s="22"/>
      <c r="M86" s="22"/>
      <c r="N86" s="22"/>
      <c r="O86" s="4"/>
      <c r="P86" s="4"/>
      <c r="Q86" s="4"/>
      <c r="R86" s="4"/>
      <c r="S86" s="4"/>
      <c r="T86" s="4"/>
      <c r="U86" s="4"/>
      <c r="V86" s="4"/>
      <c r="W86" s="4"/>
      <c r="X86" s="4"/>
      <c r="Y86" s="4"/>
      <c r="Z86" s="18"/>
    </row>
    <row r="87" spans="1:26" ht="12" customHeight="1">
      <c r="A87" s="129"/>
      <c r="B87" s="77"/>
      <c r="C87" s="22"/>
      <c r="D87" s="22"/>
      <c r="E87" s="22"/>
      <c r="F87" s="22"/>
      <c r="G87" s="22"/>
      <c r="H87" s="22"/>
      <c r="I87" s="22"/>
      <c r="J87" s="22"/>
      <c r="K87" s="22"/>
      <c r="L87" s="22"/>
      <c r="M87" s="22"/>
      <c r="N87" s="22"/>
      <c r="O87" s="4"/>
      <c r="P87" s="4"/>
      <c r="Q87" s="4"/>
      <c r="R87" s="4"/>
      <c r="S87" s="4"/>
      <c r="T87" s="4"/>
      <c r="U87" s="4"/>
      <c r="V87" s="4"/>
      <c r="W87" s="4"/>
      <c r="X87" s="4"/>
      <c r="Y87" s="4"/>
      <c r="Z87" s="18"/>
    </row>
    <row r="88" spans="1:26" ht="12" customHeight="1">
      <c r="A88" s="129"/>
      <c r="B88" s="77"/>
      <c r="C88" s="22"/>
      <c r="D88" s="22"/>
      <c r="E88" s="22"/>
      <c r="F88" s="22"/>
      <c r="G88" s="22"/>
      <c r="H88" s="22"/>
      <c r="I88" s="22"/>
      <c r="J88" s="22"/>
      <c r="K88" s="22"/>
      <c r="L88" s="22"/>
      <c r="M88" s="22"/>
      <c r="N88" s="22"/>
      <c r="O88" s="4"/>
      <c r="P88" s="4"/>
      <c r="Q88" s="4"/>
      <c r="R88" s="4"/>
      <c r="S88" s="4"/>
      <c r="T88" s="4"/>
      <c r="U88" s="4"/>
      <c r="V88" s="4"/>
      <c r="W88" s="4"/>
      <c r="X88" s="4"/>
      <c r="Y88" s="4"/>
      <c r="Z88" s="18"/>
    </row>
    <row r="89" spans="1:26" ht="12" customHeight="1">
      <c r="A89" s="129"/>
      <c r="B89" s="77"/>
      <c r="C89" s="22"/>
      <c r="D89" s="22"/>
      <c r="E89" s="22"/>
      <c r="F89" s="22"/>
      <c r="G89" s="22"/>
      <c r="H89" s="22"/>
      <c r="I89" s="22"/>
      <c r="J89" s="22"/>
      <c r="K89" s="22"/>
      <c r="L89" s="22"/>
      <c r="M89" s="22"/>
      <c r="N89" s="22"/>
      <c r="O89" s="4"/>
      <c r="P89" s="4"/>
      <c r="Q89" s="4"/>
      <c r="R89" s="4"/>
      <c r="S89" s="4"/>
      <c r="T89" s="4"/>
      <c r="U89" s="4"/>
      <c r="V89" s="4"/>
      <c r="W89" s="4"/>
      <c r="X89" s="4"/>
      <c r="Y89" s="4"/>
      <c r="Z89" s="18"/>
    </row>
    <row r="90" spans="1:26" ht="12" customHeight="1">
      <c r="A90" s="129"/>
      <c r="B90" s="77"/>
      <c r="C90" s="22"/>
      <c r="D90" s="22"/>
      <c r="E90" s="22"/>
      <c r="F90" s="22"/>
      <c r="G90" s="22"/>
      <c r="H90" s="22"/>
      <c r="I90" s="22"/>
      <c r="J90" s="22"/>
      <c r="K90" s="22"/>
      <c r="L90" s="22"/>
      <c r="M90" s="22"/>
      <c r="N90" s="22"/>
      <c r="O90" s="4"/>
      <c r="P90" s="4"/>
      <c r="Q90" s="4"/>
      <c r="R90" s="4"/>
      <c r="S90" s="4"/>
      <c r="T90" s="4"/>
      <c r="U90" s="4"/>
      <c r="V90" s="4"/>
      <c r="W90" s="4"/>
      <c r="X90" s="4"/>
      <c r="Y90" s="4"/>
      <c r="Z90" s="18"/>
    </row>
    <row r="91" spans="1:26" ht="12" customHeight="1">
      <c r="A91" s="129"/>
      <c r="B91" s="77"/>
      <c r="C91" s="22"/>
      <c r="D91" s="22"/>
      <c r="E91" s="22"/>
      <c r="F91" s="22"/>
      <c r="G91" s="22"/>
      <c r="H91" s="22"/>
      <c r="I91" s="22"/>
      <c r="J91" s="22"/>
      <c r="K91" s="22"/>
      <c r="L91" s="22"/>
      <c r="M91" s="22"/>
      <c r="N91" s="22"/>
      <c r="O91" s="4"/>
      <c r="P91" s="4"/>
      <c r="Q91" s="4"/>
      <c r="R91" s="4"/>
      <c r="S91" s="4"/>
      <c r="T91" s="4"/>
      <c r="U91" s="4"/>
      <c r="V91" s="4"/>
      <c r="W91" s="4"/>
      <c r="X91" s="4"/>
      <c r="Y91" s="4"/>
      <c r="Z91" s="18"/>
    </row>
    <row r="92" spans="1:26" ht="12" customHeight="1">
      <c r="A92" s="129"/>
      <c r="B92" s="77"/>
      <c r="C92" s="22"/>
      <c r="D92" s="22"/>
      <c r="E92" s="22"/>
      <c r="F92" s="22"/>
      <c r="G92" s="22"/>
      <c r="H92" s="22"/>
      <c r="I92" s="22"/>
      <c r="J92" s="22"/>
      <c r="K92" s="22"/>
      <c r="L92" s="22"/>
      <c r="M92" s="22"/>
      <c r="N92" s="22"/>
      <c r="O92" s="4"/>
      <c r="P92" s="4"/>
      <c r="Q92" s="4"/>
      <c r="R92" s="4"/>
      <c r="S92" s="4"/>
      <c r="T92" s="4"/>
      <c r="U92" s="4"/>
      <c r="V92" s="4"/>
      <c r="W92" s="4"/>
      <c r="X92" s="4"/>
      <c r="Y92" s="4"/>
      <c r="Z92" s="18"/>
    </row>
    <row r="93" spans="1:26" ht="12" customHeight="1">
      <c r="A93" s="129"/>
      <c r="B93" s="77"/>
      <c r="C93" s="22"/>
      <c r="D93" s="22"/>
      <c r="E93" s="22"/>
      <c r="F93" s="22"/>
      <c r="G93" s="22"/>
      <c r="H93" s="22"/>
      <c r="I93" s="22"/>
      <c r="J93" s="22"/>
      <c r="K93" s="22"/>
      <c r="L93" s="22"/>
      <c r="M93" s="22"/>
      <c r="N93" s="22"/>
      <c r="O93" s="4"/>
      <c r="P93" s="4"/>
      <c r="Q93" s="4"/>
      <c r="R93" s="4"/>
      <c r="S93" s="4"/>
      <c r="T93" s="4"/>
      <c r="U93" s="4"/>
      <c r="V93" s="4"/>
      <c r="W93" s="4"/>
      <c r="X93" s="4"/>
      <c r="Y93" s="4"/>
      <c r="Z93" s="18"/>
    </row>
    <row r="94" spans="1:26" ht="12" customHeight="1">
      <c r="A94" s="129"/>
      <c r="B94" s="77"/>
      <c r="C94" s="22"/>
      <c r="D94" s="22"/>
      <c r="E94" s="22"/>
      <c r="F94" s="22"/>
      <c r="G94" s="22"/>
      <c r="H94" s="22"/>
      <c r="I94" s="22"/>
      <c r="J94" s="22"/>
      <c r="K94" s="22"/>
      <c r="L94" s="22"/>
      <c r="M94" s="22"/>
      <c r="N94" s="22"/>
      <c r="O94" s="4"/>
      <c r="P94" s="4"/>
      <c r="Q94" s="4"/>
      <c r="R94" s="4"/>
      <c r="S94" s="4"/>
      <c r="T94" s="4"/>
      <c r="U94" s="4"/>
      <c r="V94" s="4"/>
      <c r="W94" s="4"/>
      <c r="X94" s="4"/>
      <c r="Y94" s="4"/>
      <c r="Z94" s="18"/>
    </row>
    <row r="95" spans="1:26" ht="12" customHeight="1">
      <c r="A95" s="129"/>
      <c r="B95" s="77"/>
      <c r="C95" s="22"/>
      <c r="D95" s="22"/>
      <c r="E95" s="22"/>
      <c r="F95" s="22"/>
      <c r="G95" s="22"/>
      <c r="H95" s="22"/>
      <c r="I95" s="22"/>
      <c r="J95" s="22"/>
      <c r="K95" s="22"/>
      <c r="L95" s="22"/>
      <c r="M95" s="22"/>
      <c r="N95" s="22"/>
      <c r="O95" s="4"/>
      <c r="P95" s="4"/>
      <c r="Q95" s="4"/>
      <c r="R95" s="4"/>
      <c r="S95" s="4"/>
      <c r="T95" s="4"/>
      <c r="U95" s="4"/>
      <c r="V95" s="4"/>
      <c r="W95" s="4"/>
      <c r="X95" s="4"/>
      <c r="Y95" s="4"/>
      <c r="Z95" s="18"/>
    </row>
    <row r="96" spans="1:26" ht="12" customHeight="1">
      <c r="A96" s="129"/>
      <c r="B96" s="77"/>
      <c r="C96" s="22"/>
      <c r="D96" s="22"/>
      <c r="E96" s="22"/>
      <c r="F96" s="22"/>
      <c r="G96" s="22"/>
      <c r="H96" s="22"/>
      <c r="I96" s="22"/>
      <c r="J96" s="22"/>
      <c r="K96" s="22"/>
      <c r="L96" s="22"/>
      <c r="M96" s="22"/>
      <c r="N96" s="22"/>
      <c r="O96" s="4"/>
      <c r="P96" s="4"/>
      <c r="Q96" s="4"/>
      <c r="R96" s="4"/>
      <c r="S96" s="4"/>
      <c r="T96" s="4"/>
      <c r="U96" s="4"/>
      <c r="V96" s="4"/>
      <c r="W96" s="4"/>
      <c r="X96" s="4"/>
      <c r="Y96" s="4"/>
      <c r="Z96" s="18"/>
    </row>
    <row r="97" spans="1:26" ht="12" customHeight="1">
      <c r="A97" s="129"/>
      <c r="B97" s="77"/>
      <c r="C97" s="22"/>
      <c r="D97" s="22"/>
      <c r="E97" s="22"/>
      <c r="F97" s="22"/>
      <c r="G97" s="22"/>
      <c r="H97" s="22"/>
      <c r="I97" s="22"/>
      <c r="J97" s="22"/>
      <c r="K97" s="22"/>
      <c r="L97" s="22"/>
      <c r="M97" s="22"/>
      <c r="N97" s="22"/>
      <c r="O97" s="4"/>
      <c r="P97" s="4"/>
      <c r="Q97" s="4"/>
      <c r="R97" s="4"/>
      <c r="S97" s="4"/>
      <c r="T97" s="4"/>
      <c r="U97" s="4"/>
      <c r="V97" s="4"/>
      <c r="W97" s="4"/>
      <c r="X97" s="4"/>
      <c r="Y97" s="4"/>
      <c r="Z97" s="18"/>
    </row>
    <row r="98" spans="1:26" ht="12" customHeight="1">
      <c r="A98" s="129"/>
      <c r="B98" s="71"/>
      <c r="C98" s="21"/>
      <c r="D98" s="21"/>
      <c r="E98" s="21"/>
      <c r="F98" s="21"/>
      <c r="G98" s="21"/>
      <c r="H98" s="21"/>
      <c r="I98" s="21"/>
      <c r="J98" s="21"/>
      <c r="K98" s="21"/>
      <c r="L98" s="21"/>
      <c r="M98" s="21"/>
      <c r="N98" s="21"/>
      <c r="O98" s="4"/>
      <c r="P98" s="4"/>
      <c r="Q98" s="4"/>
      <c r="R98" s="4"/>
      <c r="S98" s="4"/>
      <c r="T98" s="4"/>
      <c r="U98" s="4"/>
      <c r="V98" s="4"/>
      <c r="W98" s="4"/>
      <c r="X98" s="4"/>
      <c r="Y98" s="4"/>
      <c r="Z98" s="18"/>
    </row>
    <row r="99" spans="1:26" ht="12" customHeight="1">
      <c r="A99" s="77"/>
      <c r="B99" s="77"/>
      <c r="C99" s="22"/>
      <c r="D99" s="22"/>
      <c r="E99" s="22"/>
      <c r="F99" s="22"/>
      <c r="G99" s="22"/>
      <c r="H99" s="22"/>
      <c r="I99" s="22"/>
      <c r="J99" s="22"/>
      <c r="K99" s="22"/>
      <c r="L99" s="22"/>
      <c r="M99" s="22"/>
      <c r="N99" s="22"/>
      <c r="O99" s="4"/>
      <c r="P99" s="4"/>
      <c r="Q99" s="4"/>
      <c r="R99" s="4"/>
      <c r="S99" s="4"/>
      <c r="T99" s="4"/>
      <c r="U99" s="4"/>
      <c r="V99" s="4"/>
      <c r="W99" s="4"/>
      <c r="X99" s="4"/>
      <c r="Y99" s="4"/>
      <c r="Z99" s="18"/>
    </row>
    <row r="100" spans="1:26" ht="12" customHeight="1">
      <c r="A100" s="129"/>
      <c r="B100" s="77"/>
      <c r="C100" s="22"/>
      <c r="D100" s="22"/>
      <c r="E100" s="22"/>
      <c r="F100" s="22"/>
      <c r="G100" s="22"/>
      <c r="H100" s="22"/>
      <c r="I100" s="22"/>
      <c r="J100" s="22"/>
      <c r="K100" s="22"/>
      <c r="L100" s="22"/>
      <c r="M100" s="22"/>
      <c r="N100" s="22"/>
      <c r="O100" s="4"/>
      <c r="P100" s="4"/>
      <c r="Q100" s="4"/>
      <c r="R100" s="4"/>
      <c r="S100" s="4"/>
      <c r="T100" s="4"/>
      <c r="U100" s="4"/>
      <c r="V100" s="4"/>
      <c r="W100" s="4"/>
      <c r="X100" s="4"/>
      <c r="Y100" s="4"/>
      <c r="Z100" s="18"/>
    </row>
    <row r="101" spans="1:26" ht="12" customHeight="1">
      <c r="A101" s="129"/>
      <c r="B101" s="77"/>
      <c r="C101" s="22"/>
      <c r="D101" s="22"/>
      <c r="E101" s="22"/>
      <c r="F101" s="22"/>
      <c r="G101" s="22"/>
      <c r="H101" s="22"/>
      <c r="I101" s="22"/>
      <c r="J101" s="22"/>
      <c r="K101" s="22"/>
      <c r="L101" s="22"/>
      <c r="M101" s="22"/>
      <c r="N101" s="22"/>
      <c r="O101" s="4"/>
      <c r="P101" s="4"/>
      <c r="Q101" s="4"/>
      <c r="R101" s="4"/>
      <c r="S101" s="4"/>
      <c r="T101" s="4"/>
      <c r="U101" s="4"/>
      <c r="V101" s="4"/>
      <c r="W101" s="4"/>
      <c r="X101" s="4"/>
      <c r="Y101" s="4"/>
      <c r="Z101" s="18"/>
    </row>
    <row r="102" spans="1:26" ht="12" customHeight="1">
      <c r="A102" s="129"/>
      <c r="B102" s="77"/>
      <c r="C102" s="22"/>
      <c r="D102" s="22"/>
      <c r="E102" s="22"/>
      <c r="F102" s="22"/>
      <c r="G102" s="22"/>
      <c r="H102" s="22"/>
      <c r="I102" s="22"/>
      <c r="J102" s="22"/>
      <c r="K102" s="22"/>
      <c r="L102" s="22"/>
      <c r="M102" s="22"/>
      <c r="N102" s="22"/>
      <c r="O102" s="4"/>
      <c r="P102" s="4"/>
      <c r="Q102" s="4"/>
      <c r="R102" s="4"/>
      <c r="S102" s="4"/>
      <c r="T102" s="4"/>
      <c r="U102" s="4"/>
      <c r="V102" s="4"/>
      <c r="W102" s="4"/>
      <c r="X102" s="4"/>
      <c r="Y102" s="4"/>
      <c r="Z102" s="18"/>
    </row>
    <row r="103" spans="1:26" ht="12" customHeight="1">
      <c r="A103" s="129"/>
      <c r="B103" s="77"/>
      <c r="C103" s="22"/>
      <c r="D103" s="22"/>
      <c r="E103" s="22"/>
      <c r="F103" s="22"/>
      <c r="G103" s="22"/>
      <c r="H103" s="22"/>
      <c r="I103" s="22"/>
      <c r="J103" s="22"/>
      <c r="K103" s="22"/>
      <c r="L103" s="22"/>
      <c r="M103" s="22"/>
      <c r="N103" s="22"/>
      <c r="O103" s="4"/>
      <c r="P103" s="4"/>
      <c r="Q103" s="4"/>
      <c r="R103" s="4"/>
      <c r="S103" s="4"/>
      <c r="T103" s="4"/>
      <c r="U103" s="4"/>
      <c r="V103" s="4"/>
      <c r="W103" s="4"/>
      <c r="X103" s="4"/>
      <c r="Y103" s="4"/>
      <c r="Z103" s="18"/>
    </row>
    <row r="104" spans="1:26" ht="12" customHeight="1">
      <c r="A104" s="129"/>
      <c r="B104" s="77"/>
      <c r="C104" s="22"/>
      <c r="D104" s="22"/>
      <c r="E104" s="22"/>
      <c r="F104" s="22"/>
      <c r="G104" s="22"/>
      <c r="H104" s="22"/>
      <c r="I104" s="22"/>
      <c r="J104" s="22"/>
      <c r="K104" s="22"/>
      <c r="L104" s="22"/>
      <c r="M104" s="22"/>
      <c r="N104" s="22"/>
      <c r="O104" s="4"/>
      <c r="P104" s="4"/>
      <c r="Q104" s="4"/>
      <c r="R104" s="4"/>
      <c r="S104" s="4"/>
      <c r="T104" s="4"/>
      <c r="U104" s="4"/>
      <c r="V104" s="4"/>
      <c r="W104" s="4"/>
      <c r="X104" s="4"/>
      <c r="Y104" s="4"/>
      <c r="Z104" s="18"/>
    </row>
    <row r="105" spans="1:26" ht="12" customHeight="1">
      <c r="A105" s="129"/>
      <c r="B105" s="77"/>
      <c r="C105" s="22"/>
      <c r="D105" s="22"/>
      <c r="E105" s="22"/>
      <c r="F105" s="22"/>
      <c r="G105" s="22"/>
      <c r="H105" s="22"/>
      <c r="I105" s="22"/>
      <c r="J105" s="22"/>
      <c r="K105" s="22"/>
      <c r="L105" s="22"/>
      <c r="M105" s="22"/>
      <c r="N105" s="22"/>
      <c r="O105" s="4"/>
      <c r="P105" s="4"/>
      <c r="Q105" s="4"/>
      <c r="R105" s="4"/>
      <c r="S105" s="4"/>
      <c r="T105" s="4"/>
      <c r="U105" s="4"/>
      <c r="V105" s="4"/>
      <c r="W105" s="4"/>
      <c r="X105" s="4"/>
      <c r="Y105" s="4"/>
      <c r="Z105" s="18"/>
    </row>
    <row r="106" spans="1:26" ht="12" customHeight="1">
      <c r="A106" s="129"/>
      <c r="B106" s="77"/>
      <c r="C106" s="22"/>
      <c r="D106" s="22"/>
      <c r="E106" s="22"/>
      <c r="F106" s="22"/>
      <c r="G106" s="22"/>
      <c r="H106" s="22"/>
      <c r="I106" s="22"/>
      <c r="J106" s="22"/>
      <c r="K106" s="22"/>
      <c r="L106" s="22"/>
      <c r="M106" s="22"/>
      <c r="N106" s="22"/>
      <c r="O106" s="4"/>
      <c r="P106" s="4"/>
      <c r="Q106" s="4"/>
      <c r="R106" s="4"/>
      <c r="S106" s="4"/>
      <c r="T106" s="4"/>
      <c r="U106" s="4"/>
      <c r="V106" s="4"/>
      <c r="W106" s="4"/>
      <c r="X106" s="4"/>
      <c r="Y106" s="4"/>
      <c r="Z106" s="18"/>
    </row>
    <row r="107" spans="1:26" ht="12" customHeight="1">
      <c r="A107" s="129"/>
      <c r="B107" s="71"/>
      <c r="C107" s="21"/>
      <c r="D107" s="21"/>
      <c r="E107" s="21"/>
      <c r="F107" s="21"/>
      <c r="G107" s="21"/>
      <c r="H107" s="21"/>
      <c r="I107" s="21"/>
      <c r="J107" s="21"/>
      <c r="K107" s="21"/>
      <c r="L107" s="21"/>
      <c r="M107" s="21"/>
      <c r="N107" s="21"/>
      <c r="O107" s="4"/>
      <c r="P107" s="4"/>
      <c r="Q107" s="4"/>
      <c r="R107" s="4"/>
      <c r="S107" s="4"/>
      <c r="T107" s="4"/>
      <c r="U107" s="4"/>
      <c r="V107" s="4"/>
      <c r="W107" s="4"/>
      <c r="X107" s="4"/>
      <c r="Y107" s="4"/>
      <c r="Z107" s="18"/>
    </row>
    <row r="108" spans="1:26" ht="12" customHeight="1">
      <c r="A108" s="71"/>
      <c r="B108" s="71"/>
      <c r="C108" s="21"/>
      <c r="D108" s="21"/>
      <c r="E108" s="21"/>
      <c r="F108" s="21"/>
      <c r="G108" s="21"/>
      <c r="H108" s="21"/>
      <c r="I108" s="21"/>
      <c r="J108" s="21"/>
      <c r="K108" s="21"/>
      <c r="L108" s="21"/>
      <c r="M108" s="21"/>
      <c r="N108" s="21"/>
      <c r="O108" s="4"/>
      <c r="P108" s="4"/>
      <c r="Q108" s="4"/>
      <c r="R108" s="4"/>
      <c r="S108" s="4"/>
      <c r="T108" s="4"/>
      <c r="U108" s="4"/>
      <c r="V108" s="4"/>
      <c r="W108" s="4"/>
      <c r="X108" s="4"/>
      <c r="Y108" s="4"/>
      <c r="Z108" s="18"/>
    </row>
    <row r="109" spans="1:26" ht="12" customHeight="1">
      <c r="A109" s="129"/>
      <c r="B109" s="71"/>
      <c r="C109" s="21"/>
      <c r="D109" s="21"/>
      <c r="E109" s="21"/>
      <c r="F109" s="21"/>
      <c r="G109" s="21"/>
      <c r="H109" s="21"/>
      <c r="I109" s="21"/>
      <c r="J109" s="21"/>
      <c r="K109" s="21"/>
      <c r="L109" s="21"/>
      <c r="M109" s="21"/>
      <c r="N109" s="21"/>
      <c r="O109" s="4"/>
      <c r="P109" s="4"/>
      <c r="Q109" s="4"/>
      <c r="R109" s="4"/>
      <c r="S109" s="4"/>
      <c r="T109" s="4"/>
      <c r="U109" s="4"/>
      <c r="V109" s="4"/>
      <c r="W109" s="4"/>
      <c r="X109" s="4"/>
      <c r="Y109" s="4"/>
      <c r="Z109" s="18"/>
    </row>
    <row r="110" spans="1:26" ht="12" customHeight="1">
      <c r="A110" s="129"/>
      <c r="B110" s="71"/>
      <c r="C110" s="21"/>
      <c r="D110" s="21"/>
      <c r="E110" s="21"/>
      <c r="F110" s="21"/>
      <c r="G110" s="21"/>
      <c r="H110" s="21"/>
      <c r="I110" s="21"/>
      <c r="J110" s="21"/>
      <c r="K110" s="21"/>
      <c r="L110" s="21"/>
      <c r="M110" s="21"/>
      <c r="N110" s="21"/>
      <c r="O110" s="4"/>
      <c r="P110" s="4"/>
      <c r="Q110" s="4"/>
      <c r="R110" s="4"/>
      <c r="S110" s="4"/>
      <c r="T110" s="4"/>
      <c r="U110" s="4"/>
      <c r="V110" s="4"/>
      <c r="W110" s="4"/>
      <c r="X110" s="4"/>
      <c r="Y110" s="4"/>
      <c r="Z110" s="18"/>
    </row>
    <row r="111" spans="1:26" ht="12" customHeight="1">
      <c r="A111" s="129"/>
      <c r="B111" s="71"/>
      <c r="C111" s="21"/>
      <c r="D111" s="21"/>
      <c r="E111" s="21"/>
      <c r="F111" s="21"/>
      <c r="G111" s="21"/>
      <c r="H111" s="21"/>
      <c r="I111" s="21"/>
      <c r="J111" s="21"/>
      <c r="K111" s="21"/>
      <c r="L111" s="21"/>
      <c r="M111" s="21"/>
      <c r="N111" s="21"/>
      <c r="O111" s="4"/>
      <c r="P111" s="4"/>
      <c r="Q111" s="4"/>
      <c r="R111" s="4"/>
      <c r="S111" s="4"/>
      <c r="T111" s="4"/>
      <c r="U111" s="4"/>
      <c r="V111" s="4"/>
      <c r="W111" s="4"/>
      <c r="X111" s="4"/>
      <c r="Y111" s="4"/>
      <c r="Z111" s="18"/>
    </row>
    <row r="112" spans="1:26" ht="12" customHeight="1">
      <c r="A112" s="129"/>
      <c r="B112" s="71"/>
      <c r="C112" s="21"/>
      <c r="D112" s="21"/>
      <c r="E112" s="21"/>
      <c r="F112" s="21"/>
      <c r="G112" s="21"/>
      <c r="H112" s="21"/>
      <c r="I112" s="21"/>
      <c r="J112" s="21"/>
      <c r="K112" s="21"/>
      <c r="L112" s="21"/>
      <c r="M112" s="21"/>
      <c r="N112" s="21"/>
      <c r="O112" s="4"/>
      <c r="P112" s="4"/>
      <c r="Q112" s="4"/>
      <c r="R112" s="4"/>
      <c r="S112" s="4"/>
      <c r="T112" s="4"/>
      <c r="U112" s="4"/>
      <c r="V112" s="4"/>
      <c r="W112" s="4"/>
      <c r="X112" s="4"/>
      <c r="Y112" s="4"/>
      <c r="Z112" s="18"/>
    </row>
    <row r="113" spans="1:26" ht="12" customHeight="1">
      <c r="A113" s="129"/>
      <c r="B113" s="71"/>
      <c r="C113" s="21"/>
      <c r="D113" s="21"/>
      <c r="E113" s="21"/>
      <c r="F113" s="21"/>
      <c r="G113" s="21"/>
      <c r="H113" s="21"/>
      <c r="I113" s="21"/>
      <c r="J113" s="21"/>
      <c r="K113" s="21"/>
      <c r="L113" s="21"/>
      <c r="M113" s="21"/>
      <c r="N113" s="21"/>
      <c r="O113" s="4"/>
      <c r="P113" s="4"/>
      <c r="Q113" s="4"/>
      <c r="R113" s="4"/>
      <c r="S113" s="4"/>
      <c r="T113" s="4"/>
      <c r="U113" s="4"/>
      <c r="V113" s="4"/>
      <c r="W113" s="4"/>
      <c r="X113" s="4"/>
      <c r="Y113" s="4"/>
      <c r="Z113" s="18"/>
    </row>
    <row r="114" spans="1:26" ht="12" customHeight="1">
      <c r="A114" s="129"/>
      <c r="B114" s="71"/>
      <c r="C114" s="21"/>
      <c r="D114" s="21"/>
      <c r="E114" s="21"/>
      <c r="F114" s="21"/>
      <c r="G114" s="21"/>
      <c r="H114" s="21"/>
      <c r="I114" s="21"/>
      <c r="J114" s="21"/>
      <c r="K114" s="21"/>
      <c r="L114" s="21"/>
      <c r="M114" s="21"/>
      <c r="N114" s="21"/>
      <c r="O114" s="4"/>
      <c r="P114" s="4"/>
      <c r="Q114" s="4"/>
      <c r="R114" s="4"/>
      <c r="S114" s="4"/>
      <c r="T114" s="4"/>
      <c r="U114" s="4"/>
      <c r="V114" s="4"/>
      <c r="W114" s="4"/>
      <c r="X114" s="4"/>
      <c r="Y114" s="4"/>
      <c r="Z114" s="18"/>
    </row>
    <row r="115" spans="1:26" ht="12" customHeight="1">
      <c r="A115" s="129"/>
      <c r="B115" s="71"/>
      <c r="C115" s="21"/>
      <c r="D115" s="21"/>
      <c r="E115" s="21"/>
      <c r="F115" s="21"/>
      <c r="G115" s="21"/>
      <c r="H115" s="21"/>
      <c r="I115" s="21"/>
      <c r="J115" s="21"/>
      <c r="K115" s="21"/>
      <c r="L115" s="21"/>
      <c r="M115" s="21"/>
      <c r="N115" s="21"/>
      <c r="O115" s="4"/>
      <c r="P115" s="4"/>
      <c r="Q115" s="4"/>
      <c r="R115" s="4"/>
      <c r="S115" s="4"/>
      <c r="T115" s="4"/>
      <c r="U115" s="4"/>
      <c r="V115" s="4"/>
      <c r="W115" s="4"/>
      <c r="X115" s="4"/>
      <c r="Y115" s="4"/>
      <c r="Z115" s="18"/>
    </row>
    <row r="116" spans="1:26" ht="12" customHeight="1">
      <c r="A116" s="129"/>
      <c r="B116" s="71"/>
      <c r="C116" s="21"/>
      <c r="D116" s="21"/>
      <c r="E116" s="21"/>
      <c r="F116" s="21"/>
      <c r="G116" s="21"/>
      <c r="H116" s="21"/>
      <c r="I116" s="21"/>
      <c r="J116" s="21"/>
      <c r="K116" s="21"/>
      <c r="L116" s="21"/>
      <c r="M116" s="21"/>
      <c r="N116" s="21"/>
      <c r="O116" s="4"/>
      <c r="P116" s="4"/>
      <c r="Q116" s="4"/>
      <c r="R116" s="4"/>
      <c r="S116" s="4"/>
      <c r="T116" s="4"/>
      <c r="U116" s="4"/>
      <c r="V116" s="4"/>
      <c r="W116" s="4"/>
      <c r="X116" s="4"/>
      <c r="Y116" s="4"/>
      <c r="Z116" s="18"/>
    </row>
    <row r="117" spans="1:26" ht="12" customHeight="1">
      <c r="A117" s="129"/>
      <c r="B117" s="71"/>
      <c r="C117" s="21"/>
      <c r="D117" s="21"/>
      <c r="E117" s="21"/>
      <c r="F117" s="21"/>
      <c r="G117" s="21"/>
      <c r="H117" s="21"/>
      <c r="I117" s="21"/>
      <c r="J117" s="21"/>
      <c r="K117" s="21"/>
      <c r="L117" s="21"/>
      <c r="M117" s="21"/>
      <c r="N117" s="21"/>
      <c r="O117" s="4"/>
      <c r="P117" s="4"/>
      <c r="Q117" s="4"/>
      <c r="R117" s="4"/>
      <c r="S117" s="4"/>
      <c r="T117" s="4"/>
      <c r="U117" s="4"/>
      <c r="V117" s="4"/>
      <c r="W117" s="4"/>
      <c r="X117" s="4"/>
      <c r="Y117" s="4"/>
      <c r="Z117" s="18"/>
    </row>
    <row r="118" spans="1:26" ht="12" customHeight="1">
      <c r="A118" s="129"/>
      <c r="B118" s="71"/>
      <c r="C118" s="21"/>
      <c r="D118" s="21"/>
      <c r="E118" s="21"/>
      <c r="F118" s="21"/>
      <c r="G118" s="21"/>
      <c r="H118" s="21"/>
      <c r="I118" s="21"/>
      <c r="J118" s="21"/>
      <c r="K118" s="21"/>
      <c r="L118" s="21"/>
      <c r="M118" s="21"/>
      <c r="N118" s="21"/>
      <c r="O118" s="4"/>
      <c r="P118" s="4"/>
      <c r="Q118" s="4"/>
      <c r="R118" s="4"/>
      <c r="S118" s="4"/>
      <c r="T118" s="4"/>
      <c r="U118" s="4"/>
      <c r="V118" s="4"/>
      <c r="W118" s="4"/>
      <c r="X118" s="4"/>
      <c r="Y118" s="4"/>
      <c r="Z118" s="18"/>
    </row>
    <row r="119" spans="1:26" ht="12" customHeight="1">
      <c r="A119" s="129"/>
      <c r="B119" s="71"/>
      <c r="C119" s="21"/>
      <c r="D119" s="21"/>
      <c r="E119" s="21"/>
      <c r="F119" s="21"/>
      <c r="G119" s="21"/>
      <c r="H119" s="21"/>
      <c r="I119" s="21"/>
      <c r="J119" s="21"/>
      <c r="K119" s="21"/>
      <c r="L119" s="21"/>
      <c r="M119" s="21"/>
      <c r="N119" s="21"/>
      <c r="O119" s="4"/>
      <c r="P119" s="4"/>
      <c r="Q119" s="4"/>
      <c r="R119" s="4"/>
      <c r="S119" s="4"/>
      <c r="T119" s="4"/>
      <c r="U119" s="4"/>
      <c r="V119" s="4"/>
      <c r="W119" s="4"/>
      <c r="X119" s="4"/>
      <c r="Y119" s="4"/>
      <c r="Z119" s="18"/>
    </row>
    <row r="120" spans="1:26" ht="12" customHeight="1">
      <c r="A120" s="129"/>
      <c r="B120" s="71"/>
      <c r="C120" s="21"/>
      <c r="D120" s="21"/>
      <c r="E120" s="21"/>
      <c r="F120" s="21"/>
      <c r="G120" s="21"/>
      <c r="H120" s="21"/>
      <c r="I120" s="21"/>
      <c r="J120" s="21"/>
      <c r="K120" s="21"/>
      <c r="L120" s="21"/>
      <c r="M120" s="21"/>
      <c r="N120" s="21"/>
      <c r="O120" s="4"/>
      <c r="P120" s="4"/>
      <c r="Q120" s="4"/>
      <c r="R120" s="4"/>
      <c r="S120" s="4"/>
      <c r="T120" s="4"/>
      <c r="U120" s="4"/>
      <c r="V120" s="4"/>
      <c r="W120" s="4"/>
      <c r="X120" s="4"/>
      <c r="Y120" s="4"/>
      <c r="Z120" s="18"/>
    </row>
    <row r="121" spans="1:26" ht="12" customHeight="1">
      <c r="A121" s="129"/>
      <c r="B121" s="71"/>
      <c r="C121" s="21"/>
      <c r="D121" s="21"/>
      <c r="E121" s="21"/>
      <c r="F121" s="21"/>
      <c r="G121" s="21"/>
      <c r="H121" s="21"/>
      <c r="I121" s="21"/>
      <c r="J121" s="21"/>
      <c r="K121" s="21"/>
      <c r="L121" s="21"/>
      <c r="M121" s="21"/>
      <c r="N121" s="21"/>
      <c r="O121" s="4"/>
      <c r="P121" s="4"/>
      <c r="Q121" s="4"/>
      <c r="R121" s="4"/>
      <c r="S121" s="4"/>
      <c r="T121" s="4"/>
      <c r="U121" s="4"/>
      <c r="V121" s="4"/>
      <c r="W121" s="4"/>
      <c r="X121" s="4"/>
      <c r="Y121" s="4"/>
      <c r="Z121" s="18"/>
    </row>
    <row r="122" spans="1:26" ht="12" customHeight="1">
      <c r="A122" s="129"/>
      <c r="B122" s="71"/>
      <c r="C122" s="21"/>
      <c r="D122" s="21"/>
      <c r="E122" s="21"/>
      <c r="F122" s="21"/>
      <c r="G122" s="21"/>
      <c r="H122" s="21"/>
      <c r="I122" s="21"/>
      <c r="J122" s="21"/>
      <c r="K122" s="21"/>
      <c r="L122" s="21"/>
      <c r="M122" s="21"/>
      <c r="N122" s="21"/>
      <c r="O122" s="4"/>
      <c r="P122" s="4"/>
      <c r="Q122" s="4"/>
      <c r="R122" s="4"/>
      <c r="S122" s="4"/>
      <c r="T122" s="4"/>
      <c r="U122" s="4"/>
      <c r="V122" s="4"/>
      <c r="W122" s="4"/>
      <c r="X122" s="4"/>
      <c r="Y122" s="4"/>
      <c r="Z122" s="18"/>
    </row>
    <row r="123" spans="1:26" ht="12" customHeight="1">
      <c r="A123" s="129"/>
      <c r="B123" s="71"/>
      <c r="C123" s="21"/>
      <c r="D123" s="21"/>
      <c r="E123" s="21"/>
      <c r="F123" s="21"/>
      <c r="G123" s="21"/>
      <c r="H123" s="21"/>
      <c r="I123" s="21"/>
      <c r="J123" s="21"/>
      <c r="K123" s="21"/>
      <c r="L123" s="21"/>
      <c r="M123" s="21"/>
      <c r="N123" s="21"/>
      <c r="O123" s="4"/>
      <c r="P123" s="4"/>
      <c r="Q123" s="4"/>
      <c r="R123" s="4"/>
      <c r="S123" s="4"/>
      <c r="T123" s="4"/>
      <c r="U123" s="4"/>
      <c r="V123" s="4"/>
      <c r="W123" s="4"/>
      <c r="X123" s="4"/>
      <c r="Y123" s="4"/>
      <c r="Z123" s="18"/>
    </row>
    <row r="124" spans="1:26" ht="12" customHeight="1">
      <c r="A124" s="129"/>
      <c r="B124" s="71"/>
      <c r="C124" s="21"/>
      <c r="D124" s="21"/>
      <c r="E124" s="21"/>
      <c r="F124" s="21"/>
      <c r="G124" s="21"/>
      <c r="H124" s="21"/>
      <c r="I124" s="21"/>
      <c r="J124" s="21"/>
      <c r="K124" s="21"/>
      <c r="L124" s="21"/>
      <c r="M124" s="21"/>
      <c r="N124" s="21"/>
      <c r="O124" s="4"/>
      <c r="P124" s="4"/>
      <c r="Q124" s="4"/>
      <c r="R124" s="4"/>
      <c r="S124" s="4"/>
      <c r="T124" s="4"/>
      <c r="U124" s="4"/>
      <c r="V124" s="4"/>
      <c r="W124" s="4"/>
      <c r="X124" s="4"/>
      <c r="Y124" s="4"/>
      <c r="Z124" s="18"/>
    </row>
    <row r="125" spans="1:26" ht="12" customHeight="1">
      <c r="A125" s="129"/>
      <c r="B125" s="71"/>
      <c r="C125" s="21"/>
      <c r="D125" s="21"/>
      <c r="E125" s="21"/>
      <c r="F125" s="21"/>
      <c r="G125" s="21"/>
      <c r="H125" s="21"/>
      <c r="I125" s="21"/>
      <c r="J125" s="21"/>
      <c r="K125" s="21"/>
      <c r="L125" s="21"/>
      <c r="M125" s="21"/>
      <c r="N125" s="21"/>
      <c r="O125" s="4"/>
      <c r="P125" s="4"/>
      <c r="Q125" s="4"/>
      <c r="R125" s="4"/>
      <c r="S125" s="4"/>
      <c r="T125" s="4"/>
      <c r="U125" s="4"/>
      <c r="V125" s="4"/>
      <c r="W125" s="4"/>
      <c r="X125" s="4"/>
      <c r="Y125" s="4"/>
      <c r="Z125" s="18"/>
    </row>
    <row r="126" spans="1:26" ht="12" customHeight="1">
      <c r="A126" s="129"/>
      <c r="B126" s="71"/>
      <c r="C126" s="21"/>
      <c r="D126" s="21"/>
      <c r="E126" s="21"/>
      <c r="F126" s="21"/>
      <c r="G126" s="21"/>
      <c r="H126" s="21"/>
      <c r="I126" s="21"/>
      <c r="J126" s="21"/>
      <c r="K126" s="21"/>
      <c r="L126" s="21"/>
      <c r="M126" s="21"/>
      <c r="N126" s="21"/>
      <c r="O126" s="4"/>
      <c r="P126" s="4"/>
      <c r="Q126" s="4"/>
      <c r="R126" s="4"/>
      <c r="S126" s="4"/>
      <c r="T126" s="4"/>
      <c r="U126" s="4"/>
      <c r="V126" s="4"/>
      <c r="W126" s="4"/>
      <c r="X126" s="4"/>
      <c r="Y126" s="4"/>
      <c r="Z126" s="18"/>
    </row>
    <row r="127" spans="1:26" ht="12" customHeight="1">
      <c r="A127" s="129"/>
      <c r="B127" s="71"/>
      <c r="C127" s="21"/>
      <c r="D127" s="21"/>
      <c r="E127" s="21"/>
      <c r="F127" s="21"/>
      <c r="G127" s="21"/>
      <c r="H127" s="21"/>
      <c r="I127" s="21"/>
      <c r="J127" s="21"/>
      <c r="K127" s="21"/>
      <c r="L127" s="21"/>
      <c r="M127" s="21"/>
      <c r="N127" s="21"/>
      <c r="O127" s="4"/>
      <c r="P127" s="4"/>
      <c r="Q127" s="4"/>
      <c r="R127" s="4"/>
      <c r="S127" s="4"/>
      <c r="T127" s="4"/>
      <c r="U127" s="4"/>
      <c r="V127" s="4"/>
      <c r="W127" s="4"/>
      <c r="X127" s="4"/>
      <c r="Y127" s="4"/>
      <c r="Z127" s="18"/>
    </row>
    <row r="128" spans="1:26" ht="12" customHeight="1">
      <c r="A128" s="129"/>
      <c r="B128" s="71"/>
      <c r="C128" s="21"/>
      <c r="D128" s="21"/>
      <c r="E128" s="21"/>
      <c r="F128" s="21"/>
      <c r="G128" s="21"/>
      <c r="H128" s="21"/>
      <c r="I128" s="21"/>
      <c r="J128" s="21"/>
      <c r="K128" s="21"/>
      <c r="L128" s="21"/>
      <c r="M128" s="21"/>
      <c r="N128" s="21"/>
      <c r="O128" s="4"/>
      <c r="P128" s="4"/>
      <c r="Q128" s="4"/>
      <c r="R128" s="4"/>
      <c r="S128" s="4"/>
      <c r="T128" s="4"/>
      <c r="U128" s="4"/>
      <c r="V128" s="4"/>
      <c r="W128" s="4"/>
      <c r="X128" s="4"/>
      <c r="Y128" s="4"/>
      <c r="Z128" s="18"/>
    </row>
    <row r="129" spans="1:26" ht="12" customHeight="1">
      <c r="A129" s="129"/>
      <c r="B129" s="71"/>
      <c r="C129" s="21"/>
      <c r="D129" s="21"/>
      <c r="E129" s="21"/>
      <c r="F129" s="21"/>
      <c r="G129" s="21"/>
      <c r="H129" s="21"/>
      <c r="I129" s="21"/>
      <c r="J129" s="21"/>
      <c r="K129" s="21"/>
      <c r="L129" s="21"/>
      <c r="M129" s="21"/>
      <c r="N129" s="21"/>
      <c r="O129" s="4"/>
      <c r="P129" s="4"/>
      <c r="Q129" s="4"/>
      <c r="R129" s="4"/>
      <c r="S129" s="4"/>
      <c r="T129" s="4"/>
      <c r="U129" s="4"/>
      <c r="V129" s="4"/>
      <c r="W129" s="4"/>
      <c r="X129" s="4"/>
      <c r="Y129" s="4"/>
      <c r="Z129" s="18"/>
    </row>
    <row r="130" spans="1:26" ht="12" customHeight="1">
      <c r="A130" s="129"/>
      <c r="B130" s="71"/>
      <c r="C130" s="21"/>
      <c r="D130" s="21"/>
      <c r="E130" s="21"/>
      <c r="F130" s="21"/>
      <c r="G130" s="21"/>
      <c r="H130" s="21"/>
      <c r="I130" s="21"/>
      <c r="J130" s="21"/>
      <c r="K130" s="21"/>
      <c r="L130" s="21"/>
      <c r="M130" s="21"/>
      <c r="N130" s="21"/>
      <c r="O130" s="4"/>
      <c r="P130" s="4"/>
      <c r="Q130" s="4"/>
      <c r="R130" s="4"/>
      <c r="S130" s="4"/>
      <c r="T130" s="4"/>
      <c r="U130" s="4"/>
      <c r="V130" s="4"/>
      <c r="W130" s="4"/>
      <c r="X130" s="4"/>
      <c r="Y130" s="4"/>
      <c r="Z130" s="18"/>
    </row>
    <row r="131" spans="1:26" ht="12" customHeight="1">
      <c r="A131" s="129"/>
      <c r="B131" s="71"/>
      <c r="C131" s="21"/>
      <c r="D131" s="21"/>
      <c r="E131" s="21"/>
      <c r="F131" s="21"/>
      <c r="G131" s="21"/>
      <c r="H131" s="21"/>
      <c r="I131" s="21"/>
      <c r="J131" s="21"/>
      <c r="K131" s="21"/>
      <c r="L131" s="21"/>
      <c r="M131" s="21"/>
      <c r="N131" s="21"/>
      <c r="O131" s="4"/>
      <c r="P131" s="4"/>
      <c r="Q131" s="4"/>
      <c r="R131" s="4"/>
      <c r="S131" s="4"/>
      <c r="T131" s="4"/>
      <c r="U131" s="4"/>
      <c r="V131" s="4"/>
      <c r="W131" s="4"/>
      <c r="X131" s="4"/>
      <c r="Y131" s="4"/>
      <c r="Z131" s="18"/>
    </row>
    <row r="132" spans="1:26" ht="12" customHeight="1">
      <c r="A132" s="129"/>
      <c r="B132" s="71"/>
      <c r="C132" s="21"/>
      <c r="D132" s="21"/>
      <c r="E132" s="21"/>
      <c r="F132" s="21"/>
      <c r="G132" s="21"/>
      <c r="H132" s="21"/>
      <c r="I132" s="21"/>
      <c r="J132" s="21"/>
      <c r="K132" s="21"/>
      <c r="L132" s="21"/>
      <c r="M132" s="21"/>
      <c r="N132" s="21"/>
      <c r="O132" s="4"/>
      <c r="P132" s="4"/>
      <c r="Q132" s="4"/>
      <c r="R132" s="4"/>
      <c r="S132" s="4"/>
      <c r="T132" s="4"/>
      <c r="U132" s="4"/>
      <c r="V132" s="4"/>
      <c r="W132" s="4"/>
      <c r="X132" s="4"/>
      <c r="Y132" s="4"/>
      <c r="Z132" s="18"/>
    </row>
    <row r="133" spans="1:26" ht="12" customHeight="1">
      <c r="A133" s="129"/>
      <c r="B133" s="71"/>
      <c r="C133" s="21"/>
      <c r="D133" s="21"/>
      <c r="E133" s="21"/>
      <c r="F133" s="21"/>
      <c r="G133" s="21"/>
      <c r="H133" s="21"/>
      <c r="I133" s="21"/>
      <c r="J133" s="21"/>
      <c r="K133" s="21"/>
      <c r="L133" s="21"/>
      <c r="M133" s="21"/>
      <c r="N133" s="21"/>
      <c r="O133" s="4"/>
      <c r="P133" s="4"/>
      <c r="Q133" s="4"/>
      <c r="R133" s="4"/>
      <c r="S133" s="4"/>
      <c r="T133" s="4"/>
      <c r="U133" s="4"/>
      <c r="V133" s="4"/>
      <c r="W133" s="4"/>
      <c r="X133" s="4"/>
      <c r="Y133" s="4"/>
      <c r="Z133" s="18"/>
    </row>
    <row r="134" spans="1:26" ht="12" customHeight="1">
      <c r="A134" s="129"/>
      <c r="B134" s="71"/>
      <c r="C134" s="21"/>
      <c r="D134" s="21"/>
      <c r="E134" s="21"/>
      <c r="F134" s="21"/>
      <c r="G134" s="21"/>
      <c r="H134" s="21"/>
      <c r="I134" s="21"/>
      <c r="J134" s="21"/>
      <c r="K134" s="21"/>
      <c r="L134" s="21"/>
      <c r="M134" s="21"/>
      <c r="N134" s="21"/>
      <c r="O134" s="4"/>
      <c r="P134" s="4"/>
      <c r="Q134" s="4"/>
      <c r="R134" s="4"/>
      <c r="S134" s="4"/>
      <c r="T134" s="4"/>
      <c r="U134" s="4"/>
      <c r="V134" s="4"/>
      <c r="W134" s="4"/>
      <c r="X134" s="4"/>
      <c r="Y134" s="4"/>
      <c r="Z134" s="18"/>
    </row>
    <row r="135" spans="1:26" ht="12" customHeight="1">
      <c r="A135" s="129"/>
      <c r="B135" s="71"/>
      <c r="C135" s="21"/>
      <c r="D135" s="21"/>
      <c r="E135" s="21"/>
      <c r="F135" s="21"/>
      <c r="G135" s="21"/>
      <c r="H135" s="21"/>
      <c r="I135" s="21"/>
      <c r="J135" s="21"/>
      <c r="K135" s="21"/>
      <c r="L135" s="21"/>
      <c r="M135" s="21"/>
      <c r="N135" s="21"/>
      <c r="O135" s="4"/>
      <c r="P135" s="4"/>
      <c r="Q135" s="4"/>
      <c r="R135" s="4"/>
      <c r="S135" s="4"/>
      <c r="T135" s="4"/>
      <c r="U135" s="4"/>
      <c r="V135" s="4"/>
      <c r="W135" s="4"/>
      <c r="X135" s="4"/>
      <c r="Y135" s="4"/>
      <c r="Z135" s="18"/>
    </row>
    <row r="136" spans="1:26" ht="12" customHeight="1">
      <c r="A136" s="129"/>
      <c r="B136" s="71"/>
      <c r="C136" s="21"/>
      <c r="D136" s="21"/>
      <c r="E136" s="21"/>
      <c r="F136" s="21"/>
      <c r="G136" s="21"/>
      <c r="H136" s="21"/>
      <c r="I136" s="21"/>
      <c r="J136" s="21"/>
      <c r="K136" s="21"/>
      <c r="L136" s="21"/>
      <c r="M136" s="21"/>
      <c r="N136" s="21"/>
      <c r="O136" s="4"/>
      <c r="P136" s="4"/>
      <c r="Q136" s="4"/>
      <c r="R136" s="4"/>
      <c r="S136" s="4"/>
      <c r="T136" s="4"/>
      <c r="U136" s="4"/>
      <c r="V136" s="4"/>
      <c r="W136" s="4"/>
      <c r="X136" s="4"/>
      <c r="Y136" s="4"/>
      <c r="Z136" s="18"/>
    </row>
    <row r="137" spans="1:26" ht="12" customHeight="1">
      <c r="A137" s="129"/>
      <c r="B137" s="71"/>
      <c r="C137" s="21"/>
      <c r="D137" s="21"/>
      <c r="E137" s="21"/>
      <c r="F137" s="21"/>
      <c r="G137" s="21"/>
      <c r="H137" s="21"/>
      <c r="I137" s="21"/>
      <c r="J137" s="21"/>
      <c r="K137" s="21"/>
      <c r="L137" s="21"/>
      <c r="M137" s="21"/>
      <c r="N137" s="21"/>
      <c r="O137" s="4"/>
      <c r="P137" s="4"/>
      <c r="Q137" s="4"/>
      <c r="R137" s="4"/>
      <c r="S137" s="4"/>
      <c r="T137" s="4"/>
      <c r="U137" s="4"/>
      <c r="V137" s="4"/>
      <c r="W137" s="4"/>
      <c r="X137" s="4"/>
      <c r="Y137" s="4"/>
      <c r="Z137" s="18"/>
    </row>
    <row r="138" spans="1:26" ht="12"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18"/>
    </row>
    <row r="139" spans="1:26" ht="12"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18"/>
    </row>
    <row r="140" spans="1:26" ht="12"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18"/>
    </row>
    <row r="141" spans="1:26" ht="12"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18"/>
    </row>
    <row r="142" spans="1:26" ht="12"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18"/>
    </row>
    <row r="143" spans="1:26" ht="12"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18"/>
    </row>
    <row r="144" spans="1:26" ht="12"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18"/>
    </row>
    <row r="145" spans="1:26" ht="12"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18"/>
    </row>
    <row r="146" spans="1:26" ht="12"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18"/>
    </row>
    <row r="147" spans="1:26" ht="12"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18"/>
    </row>
    <row r="148" spans="1:26" ht="12"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18"/>
    </row>
    <row r="149" spans="1:26" ht="12"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18"/>
    </row>
    <row r="150" spans="1:26" ht="12"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18"/>
    </row>
    <row r="151" spans="1:26" ht="12"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18"/>
    </row>
    <row r="152" spans="1:26" ht="12"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18"/>
    </row>
    <row r="153" spans="1:26" ht="12"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18"/>
    </row>
    <row r="154" spans="1:26" ht="12"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18"/>
    </row>
    <row r="155" spans="1:26" ht="12"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18"/>
    </row>
    <row r="156" spans="1:26" ht="12"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18"/>
    </row>
    <row r="157" spans="1:26" ht="12"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18"/>
    </row>
    <row r="158" spans="1:26" ht="12"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18"/>
    </row>
    <row r="159" spans="1:26" ht="12"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18"/>
    </row>
    <row r="160" spans="1:26" ht="12"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18"/>
    </row>
    <row r="161" spans="1:26" ht="12"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18"/>
    </row>
    <row r="162" spans="1:26" ht="12"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18"/>
    </row>
    <row r="163" spans="1:26" ht="12"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18"/>
    </row>
    <row r="164" spans="1:26" ht="12"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18"/>
    </row>
    <row r="165" spans="1:26" ht="12"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18"/>
    </row>
    <row r="166" spans="1:26" ht="12"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18"/>
    </row>
    <row r="167" spans="1:26" ht="12"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18"/>
    </row>
    <row r="168" spans="1:26" ht="12"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18"/>
    </row>
    <row r="169" spans="1:26" ht="12"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18"/>
    </row>
    <row r="170" spans="1:26" ht="12"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18"/>
    </row>
    <row r="171" spans="1:26" ht="12"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18"/>
    </row>
    <row r="172" spans="1:26" ht="12"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18"/>
    </row>
    <row r="173" spans="1:26" ht="12"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18"/>
    </row>
    <row r="174" spans="1:26" ht="12"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18"/>
    </row>
    <row r="175" spans="1:26" ht="12"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18"/>
    </row>
    <row r="176" spans="1:26" ht="12"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18"/>
    </row>
    <row r="177" spans="1:26" ht="12"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18"/>
    </row>
    <row r="178" spans="1:26" ht="12"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18"/>
    </row>
    <row r="179" spans="1:26" ht="12"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18"/>
    </row>
    <row r="180" spans="1:26" ht="12"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18"/>
    </row>
    <row r="181" spans="1:26" ht="12"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18"/>
    </row>
    <row r="182" spans="1:26" ht="12"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18"/>
    </row>
    <row r="183" spans="1:26" ht="12"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18"/>
    </row>
    <row r="184" spans="1:26" ht="12"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18"/>
    </row>
    <row r="185" spans="1:26" ht="12"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18"/>
    </row>
    <row r="186" spans="1:26" ht="12"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18"/>
    </row>
    <row r="187" spans="1:26" ht="12"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18"/>
    </row>
    <row r="188" spans="1:26" ht="12"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18"/>
    </row>
    <row r="189" spans="1:26" ht="12"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18"/>
    </row>
    <row r="190" spans="1:26" ht="12"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18"/>
    </row>
    <row r="191" spans="1:26" ht="12"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18"/>
    </row>
    <row r="192" spans="1:26" ht="12"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18"/>
    </row>
    <row r="193" spans="1:26" ht="12"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18"/>
    </row>
    <row r="194" spans="1:26" ht="12"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18"/>
    </row>
    <row r="195" spans="1:26" ht="12"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18"/>
    </row>
    <row r="196" spans="1:26" ht="12"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18"/>
    </row>
    <row r="197" spans="1:26" ht="12"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18"/>
    </row>
    <row r="198" spans="1:26" ht="12"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18"/>
    </row>
    <row r="199" spans="1:26" ht="12"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18"/>
    </row>
    <row r="200" spans="1:26" ht="12"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18"/>
    </row>
    <row r="201" spans="1:26" ht="12"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18"/>
    </row>
    <row r="202" spans="1:26" ht="12"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18"/>
    </row>
    <row r="203" spans="1:26" ht="12"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18"/>
    </row>
    <row r="204" spans="1:26" ht="12"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18"/>
    </row>
    <row r="205" spans="1:26" ht="12"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18"/>
    </row>
    <row r="206" spans="1:26" ht="12"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18"/>
    </row>
    <row r="207" spans="1:26" ht="12"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18"/>
    </row>
    <row r="208" spans="1:26" ht="12"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18"/>
    </row>
    <row r="209" spans="1:26" ht="12"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18"/>
    </row>
    <row r="210" spans="1:26" ht="12"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18"/>
    </row>
    <row r="211" spans="1:26" ht="12"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18"/>
    </row>
    <row r="212" spans="1:26" ht="12"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18"/>
    </row>
    <row r="213" spans="1:26" ht="12"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18"/>
    </row>
    <row r="214" spans="1:26" ht="12"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18"/>
    </row>
    <row r="215" spans="1:26" ht="12"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18"/>
    </row>
    <row r="216" spans="1:26" ht="12"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18"/>
    </row>
    <row r="217" spans="1:26" ht="12"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18"/>
    </row>
    <row r="218" spans="1:26" ht="12"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18"/>
    </row>
    <row r="219" spans="1:26" ht="12"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18"/>
    </row>
    <row r="220" spans="1:26" ht="12"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18"/>
    </row>
    <row r="221" spans="1:26" ht="12"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18"/>
    </row>
    <row r="222" spans="1:26" ht="12"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18"/>
    </row>
    <row r="223" spans="1:26" ht="12"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18"/>
    </row>
    <row r="224" spans="1:26" ht="12"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18"/>
    </row>
    <row r="225" spans="1:26" ht="12"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18"/>
    </row>
    <row r="226" spans="1:26" ht="12"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18"/>
    </row>
    <row r="227" spans="1:26" ht="12"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18"/>
    </row>
    <row r="228" spans="1:26" ht="12"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18"/>
    </row>
    <row r="229" spans="1:26" ht="12"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18"/>
    </row>
    <row r="230" spans="1:26" ht="12"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18"/>
    </row>
    <row r="231" spans="1:26" ht="12"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18"/>
    </row>
    <row r="232" spans="1:26" ht="12"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18"/>
    </row>
    <row r="233" spans="1:26" ht="12"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18"/>
    </row>
    <row r="234" spans="1:26" ht="12"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18"/>
    </row>
    <row r="235" spans="1:26" ht="12"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18"/>
    </row>
    <row r="236" spans="1:26" ht="12"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18"/>
    </row>
    <row r="237" spans="1:26" ht="12"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18"/>
    </row>
    <row r="238" spans="1:26" ht="12"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18"/>
    </row>
    <row r="239" spans="1:26" ht="12"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18"/>
    </row>
    <row r="240" spans="1:26" ht="12"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18"/>
    </row>
    <row r="241" spans="1:26" ht="12"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18"/>
    </row>
    <row r="242" spans="1:26" ht="12"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18"/>
    </row>
    <row r="243" spans="1:26" ht="12"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18"/>
    </row>
    <row r="244" spans="1:26" ht="12"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18"/>
    </row>
    <row r="245" spans="1:26" ht="12"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18"/>
    </row>
    <row r="246" spans="1:26" ht="12"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18"/>
    </row>
    <row r="247" spans="1:26" ht="12"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18"/>
    </row>
    <row r="248" spans="1:26" ht="12"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18"/>
    </row>
    <row r="249" spans="1:26" ht="12"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18"/>
    </row>
    <row r="250" spans="1:26" ht="12"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18"/>
    </row>
    <row r="251" spans="1:26" ht="12"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18"/>
    </row>
    <row r="252" spans="1:26" ht="12"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18"/>
    </row>
    <row r="253" spans="1:26" ht="12"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18"/>
    </row>
    <row r="254" spans="1:26" ht="12"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18"/>
    </row>
    <row r="255" spans="1:26" ht="12"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18"/>
    </row>
    <row r="256" spans="1:26" ht="12"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18"/>
    </row>
    <row r="257" spans="1:26" ht="12"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18"/>
    </row>
    <row r="258" spans="1:26" ht="12"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18"/>
    </row>
    <row r="259" spans="1:26" ht="12"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18"/>
    </row>
    <row r="260" spans="1:26" ht="12"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18"/>
    </row>
    <row r="261" spans="1:26" ht="12"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18"/>
    </row>
    <row r="262" spans="1:26" ht="12"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18"/>
    </row>
    <row r="263" spans="1:26" ht="12"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18"/>
    </row>
    <row r="264" spans="1:26" ht="12"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18"/>
    </row>
    <row r="265" spans="1:26" ht="12"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18"/>
    </row>
    <row r="266" spans="1:26" ht="12"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18"/>
    </row>
    <row r="267" spans="1:26" ht="12"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18"/>
    </row>
    <row r="268" spans="1:26" ht="12"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18"/>
    </row>
    <row r="269" spans="1:26" ht="12"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18"/>
    </row>
    <row r="270" spans="1:26" ht="12"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18"/>
    </row>
    <row r="271" spans="1:26" ht="12"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18"/>
    </row>
    <row r="272" spans="1:26" ht="12"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18"/>
    </row>
    <row r="273" spans="1:26" ht="12"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18"/>
    </row>
    <row r="274" spans="1:26" ht="12"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18"/>
    </row>
    <row r="275" spans="1:26" ht="12"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18"/>
    </row>
    <row r="276" spans="1:26" ht="12"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18"/>
    </row>
    <row r="277" spans="1:26" ht="12"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18"/>
    </row>
    <row r="278" spans="1:26" ht="12"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18"/>
    </row>
    <row r="279" spans="1:26" ht="12"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18"/>
    </row>
    <row r="280" spans="1:26" ht="12"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18"/>
    </row>
    <row r="281" spans="1:26" ht="12"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18"/>
    </row>
    <row r="282" spans="1:26" ht="12"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18"/>
    </row>
    <row r="283" spans="1:26" ht="12"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18"/>
    </row>
    <row r="284" spans="1:26" ht="12"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18"/>
    </row>
    <row r="285" spans="1:26" ht="12"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18"/>
    </row>
    <row r="286" spans="1:26" ht="12"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18"/>
    </row>
    <row r="287" spans="1:26" ht="12"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18"/>
    </row>
    <row r="288" spans="1:26" ht="12"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18"/>
    </row>
    <row r="289" spans="1:26" ht="12"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18"/>
    </row>
    <row r="290" spans="1:26" ht="12"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18"/>
    </row>
    <row r="291" spans="1:26" ht="12"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18"/>
    </row>
    <row r="292" spans="1:26" ht="12"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18"/>
    </row>
    <row r="293" spans="1:26" ht="12"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18"/>
    </row>
    <row r="294" spans="1:26" ht="12"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18"/>
    </row>
    <row r="295" spans="1:26" ht="12"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18"/>
    </row>
    <row r="296" spans="1:26" ht="12"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18"/>
    </row>
    <row r="297" spans="1:26" ht="12"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18"/>
    </row>
    <row r="298" spans="1:26" ht="12"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18"/>
    </row>
    <row r="299" spans="1:26" ht="12"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18"/>
    </row>
    <row r="300" spans="1:26" ht="12"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18"/>
    </row>
    <row r="301" spans="1:26" ht="12"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18"/>
    </row>
    <row r="302" spans="1:26" ht="12"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18"/>
    </row>
    <row r="303" spans="1:26" ht="12"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18"/>
    </row>
    <row r="304" spans="1:26" ht="12"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18"/>
    </row>
    <row r="305" spans="1:26" ht="12"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18"/>
    </row>
    <row r="306" spans="1:26" ht="12"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18"/>
    </row>
    <row r="307" spans="1:26" ht="12"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18"/>
    </row>
    <row r="308" spans="1:26" ht="12"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18"/>
    </row>
    <row r="309" spans="1:26" ht="12"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18"/>
    </row>
    <row r="310" spans="1:26" ht="12"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18"/>
    </row>
    <row r="311" spans="1:26" ht="12"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18"/>
    </row>
    <row r="312" spans="1:26" ht="12"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18"/>
    </row>
    <row r="313" spans="1:26" ht="12"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18"/>
    </row>
    <row r="314" spans="1:26" ht="12"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18"/>
    </row>
    <row r="315" spans="1:26" ht="12"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18"/>
    </row>
    <row r="316" spans="1:26" ht="12"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18"/>
    </row>
    <row r="317" spans="1:26" ht="12"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18"/>
    </row>
    <row r="318" spans="1:26" ht="12"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18"/>
    </row>
    <row r="319" spans="1:26" ht="12"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18"/>
    </row>
    <row r="320" spans="1:26" ht="12"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18"/>
    </row>
    <row r="321" spans="1:26" ht="12"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18"/>
    </row>
    <row r="322" spans="1:26" ht="12"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18"/>
    </row>
    <row r="323" spans="1:26" ht="12"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18"/>
    </row>
    <row r="324" spans="1:26" ht="12"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18"/>
    </row>
    <row r="325" spans="1:26" ht="12"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18"/>
    </row>
    <row r="326" spans="1:26" ht="12"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18"/>
    </row>
    <row r="327" spans="1:26" ht="12"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18"/>
    </row>
    <row r="328" spans="1:26" ht="12"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18"/>
    </row>
    <row r="329" spans="1:26" ht="12"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18"/>
    </row>
    <row r="330" spans="1:26" ht="12"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18"/>
    </row>
    <row r="331" spans="1:26" ht="12"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18"/>
    </row>
    <row r="332" spans="1:26" ht="12"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18"/>
    </row>
    <row r="333" spans="1:26" ht="12"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18"/>
    </row>
    <row r="334" spans="1:26" ht="12"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18"/>
    </row>
    <row r="335" spans="1:26" ht="12"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18"/>
    </row>
    <row r="336" spans="1:26" ht="12"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18"/>
    </row>
    <row r="337" spans="1:26" ht="12"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18"/>
    </row>
    <row r="338" spans="1:26" ht="12"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18"/>
    </row>
    <row r="339" spans="1:26" ht="12"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18"/>
    </row>
    <row r="340" spans="1:26" ht="12"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18"/>
    </row>
    <row r="341" spans="1:26" ht="12"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18"/>
    </row>
    <row r="342" spans="1:26" ht="12"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18"/>
    </row>
    <row r="343" spans="1:26" ht="12"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18"/>
    </row>
    <row r="344" spans="1:26" ht="12"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18"/>
    </row>
    <row r="345" spans="1:26" ht="12"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18"/>
    </row>
    <row r="346" spans="1:26" ht="12"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18"/>
    </row>
    <row r="347" spans="1:26" ht="12"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18"/>
    </row>
    <row r="348" spans="1:26" ht="12"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18"/>
    </row>
    <row r="349" spans="1:26" ht="12"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18"/>
    </row>
    <row r="350" spans="1:26" ht="12"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18"/>
    </row>
    <row r="351" spans="1:26" ht="12"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18"/>
    </row>
    <row r="352" spans="1:26" ht="12"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18"/>
    </row>
    <row r="353" spans="1:26" ht="12"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18"/>
    </row>
    <row r="354" spans="1:26" ht="12"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18"/>
    </row>
    <row r="355" spans="1:26" ht="12"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18"/>
    </row>
    <row r="356" spans="1:26" ht="12"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18"/>
    </row>
    <row r="357" spans="1:26" ht="12"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18"/>
    </row>
    <row r="358" spans="1:26" ht="12"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18"/>
    </row>
    <row r="359" spans="1:26" ht="12"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18"/>
    </row>
    <row r="360" spans="1:26" ht="12"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18"/>
    </row>
    <row r="361" spans="1:26" ht="12"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18"/>
    </row>
    <row r="362" spans="1:26" ht="12"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18"/>
    </row>
    <row r="363" spans="1:26" ht="12"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18"/>
    </row>
    <row r="364" spans="1:26" ht="12"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18"/>
    </row>
    <row r="365" spans="1:26" ht="12"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18"/>
    </row>
    <row r="366" spans="1:26" ht="12"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18"/>
    </row>
    <row r="367" spans="1:26" ht="12"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18"/>
    </row>
    <row r="368" spans="1:26" ht="12"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18"/>
    </row>
    <row r="369" spans="1:26" ht="12"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18"/>
    </row>
    <row r="370" spans="1:26" ht="12"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18"/>
    </row>
    <row r="371" spans="1:26" ht="12"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18"/>
    </row>
    <row r="372" spans="1:26" ht="12"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18"/>
    </row>
    <row r="373" spans="1:26" ht="12"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18"/>
    </row>
    <row r="374" spans="1:26" ht="12"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18"/>
    </row>
    <row r="375" spans="1:26" ht="12"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18"/>
    </row>
    <row r="376" spans="1:26" ht="12"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18"/>
    </row>
    <row r="377" spans="1:26" ht="12"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18"/>
    </row>
    <row r="378" spans="1:26" ht="12"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18"/>
    </row>
    <row r="379" spans="1:26" ht="12"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18"/>
    </row>
    <row r="380" spans="1:26" ht="12"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18"/>
    </row>
    <row r="381" spans="1:26" ht="12"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18"/>
    </row>
    <row r="382" spans="1:26" ht="12"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18"/>
    </row>
    <row r="383" spans="1:26" ht="12"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18"/>
    </row>
    <row r="384" spans="1:26" ht="12"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18"/>
    </row>
    <row r="385" spans="1:26" ht="12"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18"/>
    </row>
    <row r="386" spans="1:26" ht="12"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18"/>
    </row>
    <row r="387" spans="1:26" ht="12"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18"/>
    </row>
    <row r="388" spans="1:26" ht="12"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18"/>
    </row>
    <row r="389" spans="1:26" ht="12"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18"/>
    </row>
    <row r="390" spans="1:26" ht="12"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18"/>
    </row>
    <row r="391" spans="1:26" ht="12"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18"/>
    </row>
    <row r="392" spans="1:26" ht="12"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18"/>
    </row>
    <row r="393" spans="1:26" ht="12"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18"/>
    </row>
    <row r="394" spans="1:26" ht="12"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18"/>
    </row>
    <row r="395" spans="1:26" ht="12"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18"/>
    </row>
    <row r="396" spans="1:26" ht="12"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18"/>
    </row>
    <row r="397" spans="1:26" ht="12"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18"/>
    </row>
    <row r="398" spans="1:26" ht="12"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18"/>
    </row>
    <row r="399" spans="1:26" ht="12"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18"/>
    </row>
    <row r="400" spans="1:26" ht="12"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18"/>
    </row>
    <row r="401" spans="1:26" ht="12"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18"/>
    </row>
    <row r="402" spans="1:26" ht="12"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18"/>
    </row>
    <row r="403" spans="1:26" ht="12"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18"/>
    </row>
    <row r="404" spans="1:26" ht="12"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18"/>
    </row>
    <row r="405" spans="1:26" ht="12"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18"/>
    </row>
    <row r="406" spans="1:26" ht="12"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18"/>
    </row>
    <row r="407" spans="1:26" ht="12"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18"/>
    </row>
    <row r="408" spans="1:26" ht="12"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18"/>
    </row>
    <row r="409" spans="1:26" ht="12"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18"/>
    </row>
    <row r="410" spans="1:26" ht="12"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18"/>
    </row>
    <row r="411" spans="1:26" ht="12"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18"/>
    </row>
    <row r="412" spans="1:26" ht="12"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18"/>
    </row>
    <row r="413" spans="1:26" ht="12"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18"/>
    </row>
    <row r="414" spans="1:26" ht="12"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18"/>
    </row>
    <row r="415" spans="1:26" ht="12"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18"/>
    </row>
    <row r="416" spans="1:26" ht="12"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18"/>
    </row>
    <row r="417" spans="1:26" ht="12"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18"/>
    </row>
    <row r="418" spans="1:26" ht="12"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18"/>
    </row>
    <row r="419" spans="1:26" ht="12"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18"/>
    </row>
    <row r="420" spans="1:26" ht="12"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18"/>
    </row>
    <row r="421" spans="1:26" ht="12"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18"/>
    </row>
    <row r="422" spans="1:26" ht="12"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18"/>
    </row>
    <row r="423" spans="1:26" ht="12"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18"/>
    </row>
    <row r="424" spans="1:26" ht="12"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18"/>
    </row>
    <row r="425" spans="1:26" ht="12"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18"/>
    </row>
    <row r="426" spans="1:26" ht="12"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18"/>
    </row>
    <row r="427" spans="1:26" ht="12"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18"/>
    </row>
    <row r="428" spans="1:26" ht="12"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18"/>
    </row>
    <row r="429" spans="1:26" ht="12"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18"/>
    </row>
    <row r="430" spans="1:26" ht="12"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18"/>
    </row>
    <row r="431" spans="1:26" ht="12"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18"/>
    </row>
    <row r="432" spans="1:26" ht="12"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18"/>
    </row>
    <row r="433" spans="1:26" ht="12"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18"/>
    </row>
    <row r="434" spans="1:26" ht="12"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18"/>
    </row>
    <row r="435" spans="1:26" ht="12"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18"/>
    </row>
    <row r="436" spans="1:26" ht="12"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18"/>
    </row>
    <row r="437" spans="1:26" ht="12"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18"/>
    </row>
    <row r="438" spans="1:26" ht="12"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18"/>
    </row>
    <row r="439" spans="1:26" ht="12"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18"/>
    </row>
    <row r="440" spans="1:26" ht="12"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18"/>
    </row>
    <row r="441" spans="1:26" ht="12"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18"/>
    </row>
    <row r="442" spans="1:26" ht="12"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18"/>
    </row>
    <row r="443" spans="1:26" ht="12"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18"/>
    </row>
    <row r="444" spans="1:26" ht="12"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18"/>
    </row>
    <row r="445" spans="1:26" ht="12"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18"/>
    </row>
    <row r="446" spans="1:26" ht="12"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18"/>
    </row>
    <row r="447" spans="1:26" ht="12"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18"/>
    </row>
    <row r="448" spans="1:26" ht="12"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18"/>
    </row>
    <row r="449" spans="1:26" ht="12"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18"/>
    </row>
    <row r="450" spans="1:26" ht="12"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18"/>
    </row>
    <row r="451" spans="1:26" ht="12"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18"/>
    </row>
    <row r="452" spans="1:26" ht="12"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18"/>
    </row>
    <row r="453" spans="1:26" ht="12"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18"/>
    </row>
    <row r="454" spans="1:26" ht="12"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18"/>
    </row>
    <row r="455" spans="1:26" ht="12"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18"/>
    </row>
    <row r="456" spans="1:26" ht="12"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18"/>
    </row>
    <row r="457" spans="1:26" ht="12"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18"/>
    </row>
    <row r="458" spans="1:26" ht="12"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18"/>
    </row>
    <row r="459" spans="1:26" ht="12"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18"/>
    </row>
    <row r="460" spans="1:26" ht="12"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18"/>
    </row>
    <row r="461" spans="1:26" ht="12"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18"/>
    </row>
    <row r="462" spans="1:26" ht="12"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18"/>
    </row>
    <row r="463" spans="1:26" ht="12"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18"/>
    </row>
    <row r="464" spans="1:26" ht="12"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18"/>
    </row>
    <row r="465" spans="1:26" ht="12"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18"/>
    </row>
    <row r="466" spans="1:26" ht="12"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18"/>
    </row>
    <row r="467" spans="1:26" ht="12"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18"/>
    </row>
    <row r="468" spans="1:26" ht="12"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18"/>
    </row>
    <row r="469" spans="1:26" ht="12"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18"/>
    </row>
    <row r="470" spans="1:26" ht="12"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18"/>
    </row>
    <row r="471" spans="1:26" ht="12"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18"/>
    </row>
    <row r="472" spans="1:26" ht="12"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18"/>
    </row>
    <row r="473" spans="1:26" ht="12"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18"/>
    </row>
    <row r="474" spans="1:26" ht="12"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18"/>
    </row>
    <row r="475" spans="1:26" ht="12"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18"/>
    </row>
    <row r="476" spans="1:26" ht="12"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18"/>
    </row>
    <row r="477" spans="1:26" ht="12"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18"/>
    </row>
    <row r="478" spans="1:26" ht="12"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18"/>
    </row>
    <row r="479" spans="1:26" ht="12"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18"/>
    </row>
    <row r="480" spans="1:26" ht="12"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18"/>
    </row>
    <row r="481" spans="1:26" ht="12"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18"/>
    </row>
    <row r="482" spans="1:26" ht="12"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18"/>
    </row>
    <row r="483" spans="1:26" ht="12"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18"/>
    </row>
    <row r="484" spans="1:26" ht="12"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18"/>
    </row>
    <row r="485" spans="1:26" ht="12"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18"/>
    </row>
    <row r="486" spans="1:26" ht="12"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18"/>
    </row>
    <row r="487" spans="1:26" ht="12"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18"/>
    </row>
    <row r="488" spans="1:26" ht="12"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18"/>
    </row>
    <row r="489" spans="1:26" ht="12"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18"/>
    </row>
    <row r="490" spans="1:26" ht="12"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18"/>
    </row>
    <row r="491" spans="1:26" ht="12"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18"/>
    </row>
    <row r="492" spans="1:26" ht="12"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18"/>
    </row>
    <row r="493" spans="1:26" ht="12"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18"/>
    </row>
    <row r="494" spans="1:26" ht="12"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18"/>
    </row>
    <row r="495" spans="1:26" ht="12"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18"/>
    </row>
    <row r="496" spans="1:26" ht="12"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18"/>
    </row>
    <row r="497" spans="1:26" ht="12"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18"/>
    </row>
    <row r="498" spans="1:26" ht="12"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18"/>
    </row>
    <row r="499" spans="1:26" ht="12"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18"/>
    </row>
    <row r="500" spans="1:26" ht="12"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18"/>
    </row>
    <row r="501" spans="1:26" ht="12"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18"/>
    </row>
    <row r="502" spans="1:26" ht="12"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18"/>
    </row>
    <row r="503" spans="1:26" ht="12"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18"/>
    </row>
    <row r="504" spans="1:26" ht="12"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18"/>
    </row>
    <row r="505" spans="1:26" ht="12"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18"/>
    </row>
    <row r="506" spans="1:26" ht="12"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18"/>
    </row>
    <row r="507" spans="1:26" ht="12"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18"/>
    </row>
    <row r="508" spans="1:26" ht="12"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18"/>
    </row>
    <row r="509" spans="1:26" ht="12"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18"/>
    </row>
    <row r="510" spans="1:26" ht="12"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18"/>
    </row>
    <row r="511" spans="1:26" ht="12"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18"/>
    </row>
    <row r="512" spans="1:26" ht="12"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18"/>
    </row>
    <row r="513" spans="1:26" ht="12"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18"/>
    </row>
    <row r="514" spans="1:26" ht="12"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18"/>
    </row>
    <row r="515" spans="1:26" ht="12"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18"/>
    </row>
    <row r="516" spans="1:26" ht="12"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18"/>
    </row>
    <row r="517" spans="1:26" ht="12"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18"/>
    </row>
    <row r="518" spans="1:26" ht="12"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18"/>
    </row>
    <row r="519" spans="1:26" ht="12"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18"/>
    </row>
    <row r="520" spans="1:26" ht="12"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18"/>
    </row>
    <row r="521" spans="1:26" ht="12"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18"/>
    </row>
    <row r="522" spans="1:26" ht="12"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18"/>
    </row>
    <row r="523" spans="1:26" ht="12"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18"/>
    </row>
    <row r="524" spans="1:26" ht="12"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18"/>
    </row>
    <row r="525" spans="1:26" ht="12"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18"/>
    </row>
    <row r="526" spans="1:26" ht="12"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18"/>
    </row>
    <row r="527" spans="1:26" ht="12"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18"/>
    </row>
    <row r="528" spans="1:26" ht="12"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18"/>
    </row>
    <row r="529" spans="1:26" ht="12"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18"/>
    </row>
    <row r="530" spans="1:26" ht="12"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18"/>
    </row>
    <row r="531" spans="1:26" ht="12"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18"/>
    </row>
    <row r="532" spans="1:26" ht="12"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18"/>
    </row>
    <row r="533" spans="1:26" ht="12"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18"/>
    </row>
    <row r="534" spans="1:26" ht="12"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18"/>
    </row>
    <row r="535" spans="1:26" ht="12"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18"/>
    </row>
    <row r="536" spans="1:26" ht="12"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18"/>
    </row>
    <row r="537" spans="1:26" ht="12"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18"/>
    </row>
    <row r="538" spans="1:26" ht="12"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18"/>
    </row>
    <row r="539" spans="1:26" ht="12"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18"/>
    </row>
    <row r="540" spans="1:26" ht="12"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18"/>
    </row>
    <row r="541" spans="1:26" ht="12"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18"/>
    </row>
    <row r="542" spans="1:26" ht="12"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18"/>
    </row>
    <row r="543" spans="1:26" ht="12"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18"/>
    </row>
    <row r="544" spans="1:26" ht="12"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18"/>
    </row>
    <row r="545" spans="1:26" ht="12"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18"/>
    </row>
    <row r="546" spans="1:26" ht="12"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18"/>
    </row>
    <row r="547" spans="1:26" ht="12"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18"/>
    </row>
    <row r="548" spans="1:26" ht="12"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18"/>
    </row>
    <row r="549" spans="1:26" ht="12"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18"/>
    </row>
    <row r="550" spans="1:26" ht="12"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18"/>
    </row>
    <row r="551" spans="1:26" ht="12"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18"/>
    </row>
    <row r="552" spans="1:26" ht="12"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18"/>
    </row>
    <row r="553" spans="1:26" ht="12"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18"/>
    </row>
    <row r="554" spans="1:26" ht="12"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18"/>
    </row>
    <row r="555" spans="1:26" ht="12"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18"/>
    </row>
    <row r="556" spans="1:26" ht="12"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18"/>
    </row>
    <row r="557" spans="1:26" ht="12"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18"/>
    </row>
    <row r="558" spans="1:26" ht="12"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18"/>
    </row>
    <row r="559" spans="1:26" ht="12"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18"/>
    </row>
    <row r="560" spans="1:26" ht="12"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18"/>
    </row>
    <row r="561" spans="1:26" ht="12"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18"/>
    </row>
    <row r="562" spans="1:26" ht="12"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18"/>
    </row>
    <row r="563" spans="1:26" ht="12"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18"/>
    </row>
    <row r="564" spans="1:26" ht="12"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18"/>
    </row>
    <row r="565" spans="1:26" ht="12"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18"/>
    </row>
    <row r="566" spans="1:26" ht="12"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18"/>
    </row>
    <row r="567" spans="1:26" ht="12"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18"/>
    </row>
    <row r="568" spans="1:26" ht="12"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18"/>
    </row>
    <row r="569" spans="1:26" ht="12"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18"/>
    </row>
    <row r="570" spans="1:26" ht="12"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18"/>
    </row>
    <row r="571" spans="1:26" ht="12"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18"/>
    </row>
    <row r="572" spans="1:26" ht="12"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18"/>
    </row>
    <row r="573" spans="1:26" ht="12"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18"/>
    </row>
    <row r="574" spans="1:26" ht="12"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18"/>
    </row>
    <row r="575" spans="1:26" ht="12"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18"/>
    </row>
    <row r="576" spans="1:26" ht="12"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18"/>
    </row>
    <row r="577" spans="1:26" ht="12"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18"/>
    </row>
    <row r="578" spans="1:26" ht="12"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18"/>
    </row>
    <row r="579" spans="1:26" ht="12"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18"/>
    </row>
    <row r="580" spans="1:26" ht="12"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18"/>
    </row>
    <row r="581" spans="1:26" ht="12"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18"/>
    </row>
    <row r="582" spans="1:26" ht="12"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18"/>
    </row>
    <row r="583" spans="1:26" ht="12"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18"/>
    </row>
    <row r="584" spans="1:26" ht="12"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18"/>
    </row>
    <row r="585" spans="1:26" ht="12"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18"/>
    </row>
    <row r="586" spans="1:26" ht="12"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18"/>
    </row>
    <row r="587" spans="1:26" ht="12"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18"/>
    </row>
    <row r="588" spans="1:26" ht="12"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18"/>
    </row>
    <row r="589" spans="1:26" ht="12"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18"/>
    </row>
    <row r="590" spans="1:26" ht="12"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18"/>
    </row>
    <row r="591" spans="1:26" ht="12"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18"/>
    </row>
    <row r="592" spans="1:26" ht="12"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18"/>
    </row>
    <row r="593" spans="1:26" ht="12"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18"/>
    </row>
    <row r="594" spans="1:26" ht="12"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18"/>
    </row>
    <row r="595" spans="1:26" ht="12"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18"/>
    </row>
    <row r="596" spans="1:26" ht="12"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18"/>
    </row>
    <row r="597" spans="1:26" ht="12"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18"/>
    </row>
    <row r="598" spans="1:26" ht="12"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18"/>
    </row>
    <row r="599" spans="1:26" ht="12"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18"/>
    </row>
    <row r="600" spans="1:26" ht="12"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18"/>
    </row>
    <row r="601" spans="1:26" ht="12"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18"/>
    </row>
    <row r="602" spans="1:26" ht="12"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18"/>
    </row>
    <row r="603" spans="1:26" ht="12"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18"/>
    </row>
    <row r="604" spans="1:26" ht="12"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18"/>
    </row>
    <row r="605" spans="1:26" ht="12"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18"/>
    </row>
    <row r="606" spans="1:26" ht="12"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18"/>
    </row>
    <row r="607" spans="1:26" ht="12"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18"/>
    </row>
    <row r="608" spans="1:26" ht="12"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18"/>
    </row>
    <row r="609" spans="1:26" ht="12"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18"/>
    </row>
    <row r="610" spans="1:26" ht="12"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18"/>
    </row>
    <row r="611" spans="1:26" ht="12"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18"/>
    </row>
    <row r="612" spans="1:26" ht="12"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18"/>
    </row>
    <row r="613" spans="1:26" ht="12"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18"/>
    </row>
    <row r="614" spans="1:26" ht="12"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18"/>
    </row>
    <row r="615" spans="1:26" ht="12"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18"/>
    </row>
    <row r="616" spans="1:26" ht="12"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18"/>
    </row>
    <row r="617" spans="1:26" ht="12"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18"/>
    </row>
    <row r="618" spans="1:26" ht="12"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18"/>
    </row>
    <row r="619" spans="1:26" ht="12"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18"/>
    </row>
    <row r="620" spans="1:26" ht="12"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18"/>
    </row>
    <row r="621" spans="1:26" ht="12"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18"/>
    </row>
    <row r="622" spans="1:26" ht="12"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18"/>
    </row>
    <row r="623" spans="1:26" ht="12"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18"/>
    </row>
    <row r="624" spans="1:26" ht="12"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18"/>
    </row>
    <row r="625" spans="1:26" ht="12"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18"/>
    </row>
    <row r="626" spans="1:26" ht="12"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18"/>
    </row>
    <row r="627" spans="1:26" ht="12"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18"/>
    </row>
    <row r="628" spans="1:26" ht="12"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18"/>
    </row>
    <row r="629" spans="1:26" ht="12"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18"/>
    </row>
    <row r="630" spans="1:26" ht="12"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18"/>
    </row>
    <row r="631" spans="1:26" ht="12"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18"/>
    </row>
    <row r="632" spans="1:26" ht="12"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18"/>
    </row>
    <row r="633" spans="1:26" ht="12"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18"/>
    </row>
    <row r="634" spans="1:26" ht="12"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18"/>
    </row>
    <row r="635" spans="1:26" ht="12"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18"/>
    </row>
    <row r="636" spans="1:26" ht="12"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18"/>
    </row>
    <row r="637" spans="1:26" ht="12"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18"/>
    </row>
    <row r="638" spans="1:26" ht="12"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18"/>
    </row>
    <row r="639" spans="1:26" ht="12"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18"/>
    </row>
    <row r="640" spans="1:26" ht="12"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18"/>
    </row>
    <row r="641" spans="1:26" ht="12"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18"/>
    </row>
    <row r="642" spans="1:26" ht="12"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18"/>
    </row>
    <row r="643" spans="1:26" ht="12"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18"/>
    </row>
    <row r="644" spans="1:26" ht="12"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18"/>
    </row>
    <row r="645" spans="1:26" ht="12"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18"/>
    </row>
    <row r="646" spans="1:26" ht="12"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18"/>
    </row>
    <row r="647" spans="1:26" ht="12"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18"/>
    </row>
    <row r="648" spans="1:26" ht="12"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18"/>
    </row>
    <row r="649" spans="1:26" ht="12"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18"/>
    </row>
    <row r="650" spans="1:26" ht="12"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18"/>
    </row>
    <row r="651" spans="1:26" ht="12"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18"/>
    </row>
    <row r="652" spans="1:26" ht="12"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18"/>
    </row>
    <row r="653" spans="1:26" ht="12"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18"/>
    </row>
    <row r="654" spans="1:26" ht="12"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18"/>
    </row>
    <row r="655" spans="1:26" ht="12"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18"/>
    </row>
    <row r="656" spans="1:26" ht="12"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18"/>
    </row>
    <row r="657" spans="1:26" ht="12"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18"/>
    </row>
    <row r="658" spans="1:26" ht="12"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18"/>
    </row>
    <row r="659" spans="1:26" ht="12"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18"/>
    </row>
    <row r="660" spans="1:26" ht="12"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18"/>
    </row>
    <row r="661" spans="1:26" ht="12"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18"/>
    </row>
    <row r="662" spans="1:26" ht="12"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18"/>
    </row>
    <row r="663" spans="1:26" ht="12"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18"/>
    </row>
    <row r="664" spans="1:26" ht="12"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18"/>
    </row>
    <row r="665" spans="1:26" ht="12"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18"/>
    </row>
    <row r="666" spans="1:26" ht="12"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18"/>
    </row>
    <row r="667" spans="1:26" ht="12"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18"/>
    </row>
    <row r="668" spans="1:26" ht="12"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18"/>
    </row>
    <row r="669" spans="1:26" ht="12"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18"/>
    </row>
    <row r="670" spans="1:26" ht="12"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18"/>
    </row>
    <row r="671" spans="1:26" ht="12"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18"/>
    </row>
    <row r="672" spans="1:26" ht="12"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18"/>
    </row>
    <row r="673" spans="1:26" ht="12"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18"/>
    </row>
    <row r="674" spans="1:26" ht="12"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18"/>
    </row>
    <row r="675" spans="1:26" ht="12"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18"/>
    </row>
    <row r="676" spans="1:26" ht="12"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18"/>
    </row>
    <row r="677" spans="1:26" ht="12"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18"/>
    </row>
    <row r="678" spans="1:26" ht="12"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18"/>
    </row>
    <row r="679" spans="1:26" ht="12"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18"/>
    </row>
    <row r="680" spans="1:26" ht="12"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18"/>
    </row>
    <row r="681" spans="1:26" ht="12"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18"/>
    </row>
    <row r="682" spans="1:26" ht="12"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18"/>
    </row>
    <row r="683" spans="1:26" ht="12"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18"/>
    </row>
    <row r="684" spans="1:26" ht="12"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18"/>
    </row>
    <row r="685" spans="1:26" ht="12"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18"/>
    </row>
    <row r="686" spans="1:26" ht="12"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18"/>
    </row>
    <row r="687" spans="1:26" ht="12"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18"/>
    </row>
    <row r="688" spans="1:26" ht="12"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18"/>
    </row>
    <row r="689" spans="1:26" ht="12"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18"/>
    </row>
    <row r="690" spans="1:26" ht="12"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18"/>
    </row>
    <row r="691" spans="1:26" ht="12"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18"/>
    </row>
    <row r="692" spans="1:26" ht="12"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18"/>
    </row>
    <row r="693" spans="1:26" ht="12"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18"/>
    </row>
    <row r="694" spans="1:26" ht="12"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18"/>
    </row>
    <row r="695" spans="1:26" ht="12"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18"/>
    </row>
    <row r="696" spans="1:26" ht="12"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18"/>
    </row>
    <row r="697" spans="1:26" ht="12"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18"/>
    </row>
    <row r="698" spans="1:26" ht="12"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18"/>
    </row>
    <row r="699" spans="1:26" ht="12"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18"/>
    </row>
    <row r="700" spans="1:26" ht="12"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18"/>
    </row>
    <row r="701" spans="1:26" ht="12"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18"/>
    </row>
    <row r="702" spans="1:26" ht="12"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18"/>
    </row>
    <row r="703" spans="1:26" ht="12"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18"/>
    </row>
    <row r="704" spans="1:26" ht="12"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18"/>
    </row>
    <row r="705" spans="1:26" ht="12"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18"/>
    </row>
    <row r="706" spans="1:26" ht="12"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18"/>
    </row>
    <row r="707" spans="1:26" ht="12"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18"/>
    </row>
    <row r="708" spans="1:26" ht="12"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18"/>
    </row>
    <row r="709" spans="1:26" ht="12"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18"/>
    </row>
    <row r="710" spans="1:26" ht="12"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18"/>
    </row>
    <row r="711" spans="1:26" ht="12"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18"/>
    </row>
    <row r="712" spans="1:26" ht="12"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18"/>
    </row>
    <row r="713" spans="1:26" ht="12"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18"/>
    </row>
    <row r="714" spans="1:26" ht="12"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18"/>
    </row>
    <row r="715" spans="1:26" ht="12"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18"/>
    </row>
    <row r="716" spans="1:26" ht="12"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18"/>
    </row>
    <row r="717" spans="1:26" ht="12"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18"/>
    </row>
    <row r="718" spans="1:26" ht="12"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18"/>
    </row>
    <row r="719" spans="1:26" ht="12"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18"/>
    </row>
    <row r="720" spans="1:26" ht="12"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18"/>
    </row>
    <row r="721" spans="1:26" ht="12"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18"/>
    </row>
    <row r="722" spans="1:26" ht="12"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18"/>
    </row>
    <row r="723" spans="1:26" ht="12"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18"/>
    </row>
    <row r="724" spans="1:26" ht="12"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18"/>
    </row>
    <row r="725" spans="1:26" ht="12"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18"/>
    </row>
    <row r="726" spans="1:26" ht="12"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18"/>
    </row>
    <row r="727" spans="1:26" ht="12"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18"/>
    </row>
    <row r="728" spans="1:26" ht="12"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18"/>
    </row>
    <row r="729" spans="1:26" ht="12"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18"/>
    </row>
    <row r="730" spans="1:26" ht="12"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18"/>
    </row>
    <row r="731" spans="1:26" ht="12"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18"/>
    </row>
    <row r="732" spans="1:26" ht="12"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18"/>
    </row>
    <row r="733" spans="1:26" ht="12"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18"/>
    </row>
    <row r="734" spans="1:26" ht="12"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18"/>
    </row>
    <row r="735" spans="1:26" ht="12"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18"/>
    </row>
    <row r="736" spans="1:26" ht="12"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18"/>
    </row>
    <row r="737" spans="1:26" ht="12"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18"/>
    </row>
    <row r="738" spans="1:26" ht="12"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18"/>
    </row>
    <row r="739" spans="1:26" ht="12"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18"/>
    </row>
    <row r="740" spans="1:26" ht="12"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18"/>
    </row>
    <row r="741" spans="1:26" ht="12"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18"/>
    </row>
    <row r="742" spans="1:26" ht="12"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18"/>
    </row>
    <row r="743" spans="1:26" ht="12"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18"/>
    </row>
    <row r="744" spans="1:26" ht="12"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18"/>
    </row>
    <row r="745" spans="1:26" ht="12"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18"/>
    </row>
    <row r="746" spans="1:26" ht="12"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18"/>
    </row>
    <row r="747" spans="1:26" ht="12"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18"/>
    </row>
    <row r="748" spans="1:26" ht="12"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18"/>
    </row>
    <row r="749" spans="1:26" ht="12"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18"/>
    </row>
    <row r="750" spans="1:26" ht="12"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18"/>
    </row>
    <row r="751" spans="1:26" ht="12"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18"/>
    </row>
    <row r="752" spans="1:26" ht="12"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18"/>
    </row>
    <row r="753" spans="1:26" ht="12"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18"/>
    </row>
    <row r="754" spans="1:26" ht="12"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18"/>
    </row>
    <row r="755" spans="1:26" ht="12"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18"/>
    </row>
    <row r="756" spans="1:26" ht="12"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18"/>
    </row>
    <row r="757" spans="1:26" ht="12"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18"/>
    </row>
    <row r="758" spans="1:26" ht="12"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18"/>
    </row>
    <row r="759" spans="1:26" ht="12"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18"/>
    </row>
    <row r="760" spans="1:26" ht="12"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18"/>
    </row>
    <row r="761" spans="1:26" ht="12"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18"/>
    </row>
    <row r="762" spans="1:26" ht="12"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18"/>
    </row>
    <row r="763" spans="1:26" ht="12"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18"/>
    </row>
    <row r="764" spans="1:26" ht="12"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18"/>
    </row>
    <row r="765" spans="1:26" ht="12"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18"/>
    </row>
    <row r="766" spans="1:26" ht="12"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18"/>
    </row>
    <row r="767" spans="1:26" ht="12"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18"/>
    </row>
    <row r="768" spans="1:26" ht="12"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18"/>
    </row>
    <row r="769" spans="1:26" ht="12"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18"/>
    </row>
    <row r="770" spans="1:26" ht="12"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18"/>
    </row>
    <row r="771" spans="1:26" ht="12"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18"/>
    </row>
    <row r="772" spans="1:26" ht="12"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18"/>
    </row>
    <row r="773" spans="1:26" ht="12"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18"/>
    </row>
    <row r="774" spans="1:26" ht="12"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18"/>
    </row>
    <row r="775" spans="1:26" ht="12"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18"/>
    </row>
    <row r="776" spans="1:26" ht="12"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18"/>
    </row>
    <row r="777" spans="1:26" ht="12"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18"/>
    </row>
    <row r="778" spans="1:26" ht="12"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18"/>
    </row>
    <row r="779" spans="1:26" ht="12"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18"/>
    </row>
    <row r="780" spans="1:26" ht="12"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18"/>
    </row>
    <row r="781" spans="1:26" ht="12"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18"/>
    </row>
    <row r="782" spans="1:26" ht="12"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18"/>
    </row>
    <row r="783" spans="1:26" ht="12"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18"/>
    </row>
    <row r="784" spans="1:26" ht="12"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18"/>
    </row>
    <row r="785" spans="1:26" ht="12"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18"/>
    </row>
    <row r="786" spans="1:26" ht="12"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18"/>
    </row>
    <row r="787" spans="1:26" ht="12"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18"/>
    </row>
    <row r="788" spans="1:26" ht="12"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18"/>
    </row>
    <row r="789" spans="1:26" ht="12"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18"/>
    </row>
    <row r="790" spans="1:26" ht="12"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18"/>
    </row>
    <row r="791" spans="1:26" ht="12"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18"/>
    </row>
    <row r="792" spans="1:26" ht="12"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18"/>
    </row>
    <row r="793" spans="1:26" ht="12"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18"/>
    </row>
    <row r="794" spans="1:26" ht="12"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18"/>
    </row>
    <row r="795" spans="1:26" ht="12"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18"/>
    </row>
    <row r="796" spans="1:26" ht="12"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18"/>
    </row>
    <row r="797" spans="1:26" ht="12"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18"/>
    </row>
    <row r="798" spans="1:26" ht="12"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18"/>
    </row>
    <row r="799" spans="1:26" ht="12"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18"/>
    </row>
    <row r="800" spans="1:26" ht="12"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18"/>
    </row>
    <row r="801" spans="1:26" ht="12"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18"/>
    </row>
    <row r="802" spans="1:26" ht="12"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18"/>
    </row>
    <row r="803" spans="1:26" ht="12"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18"/>
    </row>
    <row r="804" spans="1:26" ht="12"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18"/>
    </row>
    <row r="805" spans="1:26" ht="12"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18"/>
    </row>
    <row r="806" spans="1:26" ht="12"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18"/>
    </row>
    <row r="807" spans="1:26" ht="12"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18"/>
    </row>
    <row r="808" spans="1:26" ht="12"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18"/>
    </row>
    <row r="809" spans="1:26" ht="12"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18"/>
    </row>
    <row r="810" spans="1:26" ht="12"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18"/>
    </row>
    <row r="811" spans="1:26" ht="12"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18"/>
    </row>
    <row r="812" spans="1:26" ht="12"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18"/>
    </row>
    <row r="813" spans="1:26" ht="12"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18"/>
    </row>
    <row r="814" spans="1:26" ht="12"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18"/>
    </row>
    <row r="815" spans="1:26" ht="12"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18"/>
    </row>
    <row r="816" spans="1:26" ht="12"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18"/>
    </row>
    <row r="817" spans="1:26" ht="12"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18"/>
    </row>
    <row r="818" spans="1:26" ht="12"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18"/>
    </row>
    <row r="819" spans="1:26" ht="12"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18"/>
    </row>
    <row r="820" spans="1:26" ht="12"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18"/>
    </row>
    <row r="821" spans="1:26" ht="12"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18"/>
    </row>
    <row r="822" spans="1:26" ht="12"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18"/>
    </row>
    <row r="823" spans="1:26" ht="12"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18"/>
    </row>
    <row r="824" spans="1:26" ht="12"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18"/>
    </row>
    <row r="825" spans="1:26" ht="12"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18"/>
    </row>
    <row r="826" spans="1:26" ht="12"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18"/>
    </row>
    <row r="827" spans="1:26" ht="12"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18"/>
    </row>
    <row r="828" spans="1:26" ht="12"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18"/>
    </row>
    <row r="829" spans="1:26" ht="12"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18"/>
    </row>
    <row r="830" spans="1:26" ht="12"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18"/>
    </row>
    <row r="831" spans="1:26" ht="12"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18"/>
    </row>
    <row r="832" spans="1:26" ht="12"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18"/>
    </row>
    <row r="833" spans="1:26" ht="12"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18"/>
    </row>
    <row r="834" spans="1:26" ht="12"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18"/>
    </row>
    <row r="835" spans="1:26" ht="12"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18"/>
    </row>
    <row r="836" spans="1:26" ht="12"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18"/>
    </row>
    <row r="837" spans="1:26" ht="12"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18"/>
    </row>
    <row r="838" spans="1:26" ht="12"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18"/>
    </row>
    <row r="839" spans="1:26" ht="12"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18"/>
    </row>
    <row r="840" spans="1:26" ht="12"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18"/>
    </row>
    <row r="841" spans="1:26" ht="12"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18"/>
    </row>
    <row r="842" spans="1:26" ht="12"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18"/>
    </row>
    <row r="843" spans="1:26" ht="12"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18"/>
    </row>
    <row r="844" spans="1:26" ht="12"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18"/>
    </row>
    <row r="845" spans="1:26" ht="12"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18"/>
    </row>
    <row r="846" spans="1:26" ht="12"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18"/>
    </row>
    <row r="847" spans="1:26" ht="12"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18"/>
    </row>
    <row r="848" spans="1:26" ht="12"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18"/>
    </row>
    <row r="849" spans="1:26" ht="12"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18"/>
    </row>
    <row r="850" spans="1:26" ht="12"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18"/>
    </row>
    <row r="851" spans="1:26" ht="12"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18"/>
    </row>
    <row r="852" spans="1:26" ht="12"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18"/>
    </row>
    <row r="853" spans="1:26" ht="12"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18"/>
    </row>
    <row r="854" spans="1:26" ht="12"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18"/>
    </row>
    <row r="855" spans="1:26" ht="12"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18"/>
    </row>
    <row r="856" spans="1:26" ht="12"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18"/>
    </row>
    <row r="857" spans="1:26" ht="12"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18"/>
    </row>
    <row r="858" spans="1:26" ht="12"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18"/>
    </row>
    <row r="859" spans="1:26" ht="12"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18"/>
    </row>
    <row r="860" spans="1:26" ht="12"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18"/>
    </row>
    <row r="861" spans="1:26" ht="12"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18"/>
    </row>
    <row r="862" spans="1:26" ht="12"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18"/>
    </row>
    <row r="863" spans="1:26" ht="12"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18"/>
    </row>
    <row r="864" spans="1:26" ht="12"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18"/>
    </row>
    <row r="865" spans="1:26" ht="12"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18"/>
    </row>
    <row r="866" spans="1:26" ht="12"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18"/>
    </row>
    <row r="867" spans="1:26" ht="12"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18"/>
    </row>
    <row r="868" spans="1:26" ht="12"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18"/>
    </row>
    <row r="869" spans="1:26" ht="12"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18"/>
    </row>
    <row r="870" spans="1:26" ht="12"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18"/>
    </row>
    <row r="871" spans="1:26" ht="12"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18"/>
    </row>
    <row r="872" spans="1:26" ht="12"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18"/>
    </row>
    <row r="873" spans="1:26" ht="12"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18"/>
    </row>
    <row r="874" spans="1:26" ht="12"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18"/>
    </row>
    <row r="875" spans="1:26" ht="12"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18"/>
    </row>
    <row r="876" spans="1:26" ht="12"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18"/>
    </row>
    <row r="877" spans="1:26" ht="12"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18"/>
    </row>
    <row r="878" spans="1:26" ht="12"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18"/>
    </row>
    <row r="879" spans="1:26" ht="12"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18"/>
    </row>
    <row r="880" spans="1:26" ht="12"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18"/>
    </row>
    <row r="881" spans="1:26" ht="12"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18"/>
    </row>
    <row r="882" spans="1:26" ht="12"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18"/>
    </row>
    <row r="883" spans="1:26" ht="12"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18"/>
    </row>
    <row r="884" spans="1:26" ht="12"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18"/>
    </row>
    <row r="885" spans="1:26" ht="12"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18"/>
    </row>
    <row r="886" spans="1:26" ht="12"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18"/>
    </row>
    <row r="887" spans="1:26" ht="12"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18"/>
    </row>
    <row r="888" spans="1:26" ht="12"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18"/>
    </row>
    <row r="889" spans="1:26" ht="12"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18"/>
    </row>
    <row r="890" spans="1:26" ht="12"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18"/>
    </row>
    <row r="891" spans="1:26" ht="12"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18"/>
    </row>
    <row r="892" spans="1:26" ht="12"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18"/>
    </row>
    <row r="893" spans="1:26" ht="12"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18"/>
    </row>
    <row r="894" spans="1:26" ht="12"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18"/>
    </row>
    <row r="895" spans="1:26" ht="12"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18"/>
    </row>
    <row r="896" spans="1:26" ht="12"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18"/>
    </row>
    <row r="897" spans="1:26" ht="12"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18"/>
    </row>
    <row r="898" spans="1:26" ht="12"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18"/>
    </row>
    <row r="899" spans="1:26" ht="12"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18"/>
    </row>
    <row r="900" spans="1:26" ht="12"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18"/>
    </row>
    <row r="901" spans="1:26" ht="12"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18"/>
    </row>
    <row r="902" spans="1:26" ht="12"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18"/>
    </row>
    <row r="903" spans="1:26" ht="12"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18"/>
    </row>
    <row r="904" spans="1:26" ht="12"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18"/>
    </row>
    <row r="905" spans="1:26" ht="12"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18"/>
    </row>
    <row r="906" spans="1:26" ht="12"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18"/>
    </row>
    <row r="907" spans="1:26" ht="12"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18"/>
    </row>
    <row r="908" spans="1:26" ht="12"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18"/>
    </row>
    <row r="909" spans="1:26" ht="12"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18"/>
    </row>
    <row r="910" spans="1:26" ht="12"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18"/>
    </row>
    <row r="911" spans="1:26" ht="12"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18"/>
    </row>
    <row r="912" spans="1:26" ht="12"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18"/>
    </row>
    <row r="913" spans="1:26" ht="12"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18"/>
    </row>
    <row r="914" spans="1:26" ht="12"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18"/>
    </row>
    <row r="915" spans="1:26" ht="12"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18"/>
    </row>
    <row r="916" spans="1:26" ht="12"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18"/>
    </row>
    <row r="917" spans="1:26" ht="12"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18"/>
    </row>
    <row r="918" spans="1:26" ht="12"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18"/>
    </row>
    <row r="919" spans="1:26" ht="12"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18"/>
    </row>
    <row r="920" spans="1:26" ht="12"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18"/>
    </row>
    <row r="921" spans="1:26" ht="12"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18"/>
    </row>
    <row r="922" spans="1:26" ht="12"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18"/>
    </row>
    <row r="923" spans="1:26" ht="12"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18"/>
    </row>
    <row r="924" spans="1:26" ht="12"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18"/>
    </row>
    <row r="925" spans="1:26" ht="12"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18"/>
    </row>
    <row r="926" spans="1:26" ht="12"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18"/>
    </row>
    <row r="927" spans="1:26" ht="12"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18"/>
    </row>
    <row r="928" spans="1:26" ht="12"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18"/>
    </row>
    <row r="929" spans="1:26" ht="12"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18"/>
    </row>
    <row r="930" spans="1:26" ht="12"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18"/>
    </row>
    <row r="931" spans="1:26" ht="12"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18"/>
    </row>
    <row r="932" spans="1:26" ht="12"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18"/>
    </row>
    <row r="933" spans="1:26" ht="12"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18"/>
    </row>
    <row r="934" spans="1:26" ht="12"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18"/>
    </row>
    <row r="935" spans="1:26" ht="12"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18"/>
    </row>
    <row r="936" spans="1:26" ht="12"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18"/>
    </row>
    <row r="937" spans="1:26" ht="12"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18"/>
    </row>
    <row r="938" spans="1:26" ht="12"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18"/>
    </row>
    <row r="939" spans="1:26" ht="12"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18"/>
    </row>
    <row r="940" spans="1:26" ht="12"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18"/>
    </row>
    <row r="941" spans="1:26" ht="12"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18"/>
    </row>
    <row r="942" spans="1:26" ht="12"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18"/>
    </row>
    <row r="943" spans="1:26" ht="12"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18"/>
    </row>
    <row r="944" spans="1:26" ht="12"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18"/>
    </row>
    <row r="945" spans="1:26" ht="12"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18"/>
    </row>
    <row r="946" spans="1:26" ht="12"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18"/>
    </row>
    <row r="947" spans="1:26" ht="12"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18"/>
    </row>
    <row r="948" spans="1:26" ht="12"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18"/>
    </row>
    <row r="949" spans="1:26" ht="12"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18"/>
    </row>
    <row r="950" spans="1:26" ht="12"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18"/>
    </row>
    <row r="951" spans="1:26" ht="12"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18"/>
    </row>
    <row r="952" spans="1:26" ht="12"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18"/>
    </row>
    <row r="953" spans="1:26" ht="12"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18"/>
    </row>
    <row r="954" spans="1:26" ht="12"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18"/>
    </row>
    <row r="955" spans="1:26" ht="12"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18"/>
    </row>
    <row r="956" spans="1:26" ht="12"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18"/>
    </row>
    <row r="957" spans="1:26" ht="12"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18"/>
    </row>
    <row r="958" spans="1:26" ht="12"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18"/>
    </row>
    <row r="959" spans="1:26" ht="12"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18"/>
    </row>
    <row r="960" spans="1:26" ht="12"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18"/>
    </row>
    <row r="961" spans="1:26" ht="12"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18"/>
    </row>
    <row r="962" spans="1:26" ht="12"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18"/>
    </row>
    <row r="963" spans="1:26" ht="12"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18"/>
    </row>
    <row r="964" spans="1:26" ht="12"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18"/>
    </row>
    <row r="965" spans="1:26" ht="12"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18"/>
    </row>
    <row r="966" spans="1:26" ht="12"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18"/>
    </row>
    <row r="967" spans="1:26" ht="12"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18"/>
    </row>
    <row r="968" spans="1:26" ht="12"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18"/>
    </row>
    <row r="969" spans="1:26" ht="12"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18"/>
    </row>
    <row r="970" spans="1:26" ht="12"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18"/>
    </row>
    <row r="971" spans="1:26" ht="12"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18"/>
    </row>
    <row r="972" spans="1:26" ht="12"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18"/>
    </row>
    <row r="973" spans="1:26" ht="12"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18"/>
    </row>
    <row r="974" spans="1:26" ht="12"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18"/>
    </row>
    <row r="975" spans="1:26" ht="12"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18"/>
    </row>
    <row r="976" spans="1:26" ht="12"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18"/>
    </row>
    <row r="977" spans="1:26" ht="12"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18"/>
    </row>
    <row r="978" spans="1:26" ht="12"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18"/>
    </row>
    <row r="979" spans="1:26" ht="12"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18"/>
    </row>
    <row r="980" spans="1:26" ht="12"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18"/>
    </row>
    <row r="981" spans="1:26" ht="12"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18"/>
    </row>
    <row r="982" spans="1:26" ht="12"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18"/>
    </row>
    <row r="983" spans="1:26" ht="12"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18"/>
    </row>
    <row r="984" spans="1:26" ht="12"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18"/>
    </row>
    <row r="985" spans="1:26" ht="12"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18"/>
    </row>
    <row r="986" spans="1:26" ht="12"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18"/>
    </row>
    <row r="987" spans="1:26" ht="12"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18"/>
    </row>
    <row r="988" spans="1:26" ht="12"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18"/>
    </row>
    <row r="989" spans="1:26" ht="12"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18"/>
    </row>
    <row r="990" spans="1:26" ht="12"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18"/>
    </row>
    <row r="991" spans="1:26" ht="12"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18"/>
    </row>
    <row r="992" spans="1:26" ht="12"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18"/>
    </row>
    <row r="993" spans="1:26" ht="12"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18"/>
    </row>
    <row r="994" spans="1:26" ht="12"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18"/>
    </row>
    <row r="995" spans="1:26" ht="12"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18"/>
    </row>
    <row r="996" spans="1:26" ht="12"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18"/>
    </row>
    <row r="997" spans="1:26" ht="12"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18"/>
    </row>
    <row r="998" spans="1:26" ht="12"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18"/>
    </row>
    <row r="999" spans="1:26" ht="12"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18"/>
    </row>
    <row r="1000" spans="1:26">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2">
    <mergeCell ref="A2:B2"/>
    <mergeCell ref="A20:B21"/>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47"/>
  <sheetViews>
    <sheetView showGridLines="0" topLeftCell="H61" zoomScale="107" workbookViewId="0">
      <selection activeCell="N68" sqref="N68:N72"/>
    </sheetView>
  </sheetViews>
  <sheetFormatPr baseColWidth="10" defaultColWidth="14.5" defaultRowHeight="15" customHeight="1"/>
  <cols>
    <col min="1" max="1" width="28.33203125" customWidth="1"/>
    <col min="2" max="2" width="16.1640625" customWidth="1"/>
    <col min="3" max="14" width="15.1640625" customWidth="1"/>
    <col min="15" max="15" width="15.1640625" bestFit="1" customWidth="1"/>
    <col min="16" max="16" width="14.1640625" bestFit="1" customWidth="1"/>
    <col min="17" max="17" width="15.6640625" bestFit="1" customWidth="1"/>
    <col min="18" max="26" width="8.6640625" customWidth="1"/>
  </cols>
  <sheetData>
    <row r="1" spans="1:26" ht="147.75" customHeight="1">
      <c r="A1" s="281" t="s">
        <v>134</v>
      </c>
      <c r="B1" s="272"/>
      <c r="C1" s="272"/>
      <c r="D1" s="272"/>
      <c r="E1" s="272"/>
      <c r="F1" s="272"/>
      <c r="G1" s="272"/>
      <c r="H1" s="272"/>
      <c r="I1" s="272"/>
      <c r="J1" s="272"/>
      <c r="K1" s="272"/>
      <c r="L1" s="272"/>
      <c r="M1" s="272"/>
      <c r="N1" s="272"/>
      <c r="O1" s="272"/>
      <c r="P1" s="272"/>
      <c r="Q1" s="272"/>
      <c r="R1" s="272"/>
      <c r="S1" s="272"/>
      <c r="T1" s="272"/>
      <c r="U1" s="150"/>
      <c r="V1" s="150"/>
      <c r="W1" s="150"/>
      <c r="X1" s="150"/>
      <c r="Y1" s="150"/>
      <c r="Z1" s="150"/>
    </row>
    <row r="2" spans="1:26" ht="40.5" customHeight="1">
      <c r="A2" s="159" t="s">
        <v>135</v>
      </c>
      <c r="B2" s="150"/>
      <c r="C2" s="150"/>
      <c r="D2" s="150"/>
      <c r="E2" s="150"/>
      <c r="F2" s="150"/>
      <c r="G2" s="150"/>
      <c r="H2" s="150"/>
      <c r="I2" s="150"/>
      <c r="J2" s="150"/>
      <c r="K2" s="150"/>
      <c r="L2" s="150"/>
      <c r="M2" s="150"/>
      <c r="N2" s="150"/>
      <c r="O2" s="150"/>
      <c r="P2" s="150"/>
      <c r="Q2" s="150"/>
      <c r="R2" s="150"/>
      <c r="S2" s="150"/>
      <c r="T2" s="150"/>
      <c r="U2" s="150"/>
      <c r="V2" s="150"/>
      <c r="W2" s="150"/>
      <c r="X2" s="150"/>
      <c r="Y2" s="150"/>
      <c r="Z2" s="150"/>
    </row>
    <row r="3" spans="1:26" ht="19.5" customHeight="1">
      <c r="A3" s="159"/>
      <c r="B3" s="150"/>
      <c r="C3" s="150"/>
      <c r="D3" s="150"/>
      <c r="E3" s="150"/>
      <c r="F3" s="150"/>
      <c r="G3" s="150"/>
      <c r="H3" s="150"/>
      <c r="I3" s="150"/>
      <c r="J3" s="150"/>
      <c r="K3" s="150"/>
      <c r="L3" s="150"/>
      <c r="M3" s="150"/>
      <c r="N3" s="150"/>
      <c r="O3" s="150"/>
      <c r="P3" s="150"/>
      <c r="Q3" s="150"/>
      <c r="R3" s="150"/>
      <c r="S3" s="150"/>
      <c r="T3" s="150"/>
      <c r="U3" s="150"/>
      <c r="V3" s="150"/>
      <c r="W3" s="150"/>
      <c r="X3" s="150"/>
      <c r="Y3" s="150"/>
      <c r="Z3" s="150"/>
    </row>
    <row r="4" spans="1:26" ht="21" customHeight="1">
      <c r="A4" s="159" t="s">
        <v>136</v>
      </c>
      <c r="B4" s="150"/>
      <c r="C4" s="150"/>
      <c r="D4" s="150"/>
      <c r="E4" s="150"/>
      <c r="F4" s="150"/>
      <c r="G4" s="150"/>
      <c r="H4" s="150"/>
      <c r="I4" s="150"/>
      <c r="J4" s="150"/>
      <c r="K4" s="150"/>
      <c r="L4" s="150"/>
      <c r="M4" s="150"/>
      <c r="N4" s="150"/>
      <c r="O4" s="150"/>
      <c r="P4" s="150"/>
      <c r="Q4" s="150"/>
      <c r="R4" s="150"/>
      <c r="S4" s="150"/>
      <c r="T4" s="150"/>
      <c r="U4" s="150"/>
      <c r="V4" s="150"/>
      <c r="W4" s="150"/>
      <c r="X4" s="150"/>
      <c r="Y4" s="150"/>
      <c r="Z4" s="150"/>
    </row>
    <row r="5" spans="1:26" ht="21.75" customHeight="1">
      <c r="A5" s="159" t="s">
        <v>137</v>
      </c>
      <c r="B5" s="150"/>
      <c r="C5" s="150"/>
      <c r="D5" s="150"/>
      <c r="E5" s="150"/>
      <c r="F5" s="150"/>
      <c r="G5" s="150"/>
      <c r="H5" s="150"/>
      <c r="I5" s="150"/>
      <c r="J5" s="150"/>
      <c r="K5" s="150"/>
      <c r="L5" s="150"/>
      <c r="M5" s="150"/>
      <c r="N5" s="150"/>
      <c r="O5" s="150"/>
      <c r="P5" s="150"/>
      <c r="Q5" s="150"/>
      <c r="R5" s="150"/>
      <c r="S5" s="150"/>
      <c r="T5" s="150"/>
      <c r="U5" s="150"/>
      <c r="V5" s="150"/>
      <c r="W5" s="150"/>
      <c r="X5" s="150"/>
      <c r="Y5" s="150"/>
      <c r="Z5" s="150"/>
    </row>
    <row r="6" spans="1:26" ht="14.25" customHeight="1">
      <c r="A6" s="131" t="s">
        <v>138</v>
      </c>
      <c r="B6" s="131" t="s">
        <v>120</v>
      </c>
      <c r="C6" s="13" t="s">
        <v>43</v>
      </c>
      <c r="D6" s="13" t="s">
        <v>44</v>
      </c>
      <c r="E6" s="13" t="s">
        <v>45</v>
      </c>
      <c r="F6" s="13" t="s">
        <v>46</v>
      </c>
      <c r="G6" s="13" t="s">
        <v>47</v>
      </c>
      <c r="H6" s="13" t="s">
        <v>48</v>
      </c>
      <c r="I6" s="13" t="s">
        <v>49</v>
      </c>
      <c r="J6" s="13" t="s">
        <v>50</v>
      </c>
      <c r="K6" s="13" t="s">
        <v>51</v>
      </c>
      <c r="L6" s="13" t="s">
        <v>52</v>
      </c>
      <c r="M6" s="13" t="s">
        <v>53</v>
      </c>
      <c r="N6" s="13" t="s">
        <v>54</v>
      </c>
      <c r="O6" s="134"/>
      <c r="P6" s="134"/>
      <c r="Q6" s="134"/>
      <c r="R6" s="134"/>
      <c r="S6" s="134"/>
      <c r="T6" s="134"/>
      <c r="U6" s="134"/>
      <c r="V6" s="134"/>
      <c r="W6" s="134"/>
      <c r="X6" s="134"/>
      <c r="Y6" s="134"/>
      <c r="Z6" s="134"/>
    </row>
    <row r="7" spans="1:26" ht="14.25" customHeight="1">
      <c r="A7" s="170" t="s">
        <v>139</v>
      </c>
      <c r="B7" s="170" t="s">
        <v>121</v>
      </c>
      <c r="C7" s="65">
        <f>'Variance Analysis'!C33</f>
        <v>3355241.0299999896</v>
      </c>
      <c r="D7" s="65">
        <f>'Variance Analysis'!D33</f>
        <v>4635971.09</v>
      </c>
      <c r="E7" s="65">
        <f>'Variance Analysis'!E33</f>
        <v>3629534.96999999</v>
      </c>
      <c r="F7" s="65">
        <f>'Variance Analysis'!F33</f>
        <v>3445023.51</v>
      </c>
      <c r="G7" s="65">
        <f>'Variance Analysis'!G33</f>
        <v>3537886.1</v>
      </c>
      <c r="H7" s="65">
        <f>'Variance Analysis'!H33</f>
        <v>3402717.4</v>
      </c>
      <c r="I7" s="65">
        <f>'Variance Analysis'!I33</f>
        <v>4274662.879999999</v>
      </c>
      <c r="J7" s="65">
        <f>'Variance Analysis'!J33</f>
        <v>3598813.38</v>
      </c>
      <c r="K7" s="65">
        <f>'Variance Analysis'!K33</f>
        <v>3590616.16</v>
      </c>
      <c r="L7" s="65">
        <f>'Variance Analysis'!L33</f>
        <v>3598415.73</v>
      </c>
      <c r="M7" s="65">
        <f>'Variance Analysis'!M33</f>
        <v>3821108.75</v>
      </c>
      <c r="N7" s="65">
        <f>'Variance Analysis'!N33</f>
        <v>4356345.83</v>
      </c>
      <c r="O7" s="17"/>
      <c r="P7" s="17"/>
      <c r="Q7" s="17"/>
      <c r="R7" s="17"/>
      <c r="S7" s="17"/>
      <c r="T7" s="17"/>
      <c r="U7" s="17"/>
      <c r="V7" s="17"/>
      <c r="W7" s="17"/>
      <c r="X7" s="17"/>
      <c r="Y7" s="17"/>
      <c r="Z7" s="17"/>
    </row>
    <row r="8" spans="1:26" ht="14.25" customHeight="1">
      <c r="A8" s="170" t="s">
        <v>140</v>
      </c>
      <c r="B8" s="170" t="s">
        <v>121</v>
      </c>
      <c r="C8" s="65">
        <f>'Variance Analysis'!C31</f>
        <v>35500.949999999997</v>
      </c>
      <c r="D8" s="65">
        <f>'Variance Analysis'!D31</f>
        <v>24210.95</v>
      </c>
      <c r="E8" s="65">
        <f>'Variance Analysis'!E31</f>
        <v>41241.32</v>
      </c>
      <c r="F8" s="65">
        <f>'Variance Analysis'!F31</f>
        <v>26123</v>
      </c>
      <c r="G8" s="65">
        <f>'Variance Analysis'!G31</f>
        <v>32233</v>
      </c>
      <c r="H8" s="65">
        <f>'Variance Analysis'!H31</f>
        <v>31527</v>
      </c>
      <c r="I8" s="65">
        <f>'Variance Analysis'!I31</f>
        <v>32471</v>
      </c>
      <c r="J8" s="65">
        <f>'Variance Analysis'!J31</f>
        <v>35288</v>
      </c>
      <c r="K8" s="65">
        <f>'Variance Analysis'!K31</f>
        <v>27349</v>
      </c>
      <c r="L8" s="65">
        <f>'Variance Analysis'!L31</f>
        <v>27343</v>
      </c>
      <c r="M8" s="65">
        <f>'Variance Analysis'!M31</f>
        <v>28172</v>
      </c>
      <c r="N8" s="65">
        <f>'Variance Analysis'!N31</f>
        <v>33589</v>
      </c>
      <c r="O8" s="17"/>
      <c r="P8" s="17"/>
      <c r="Q8" s="17"/>
      <c r="R8" s="17"/>
      <c r="S8" s="17"/>
      <c r="T8" s="17"/>
      <c r="U8" s="17"/>
      <c r="V8" s="17"/>
      <c r="W8" s="17"/>
      <c r="X8" s="17"/>
      <c r="Y8" s="17"/>
      <c r="Z8" s="17"/>
    </row>
    <row r="9" spans="1:26" ht="14.25" customHeight="1">
      <c r="A9" s="170" t="s">
        <v>141</v>
      </c>
      <c r="B9" s="170" t="s">
        <v>121</v>
      </c>
      <c r="C9" s="65">
        <f>'Variance Analysis'!C32</f>
        <v>19203.259999999998</v>
      </c>
      <c r="D9" s="65">
        <f>'Variance Analysis'!D32</f>
        <v>31298.22</v>
      </c>
      <c r="E9" s="65">
        <f>'Variance Analysis'!E32</f>
        <v>21242.74</v>
      </c>
      <c r="F9" s="65">
        <f>'Variance Analysis'!F32</f>
        <v>25800</v>
      </c>
      <c r="G9" s="65">
        <f>'Variance Analysis'!G32</f>
        <v>28652</v>
      </c>
      <c r="H9" s="65">
        <f>'Variance Analysis'!H32</f>
        <v>31034</v>
      </c>
      <c r="I9" s="65">
        <f>'Variance Analysis'!I32</f>
        <v>29518</v>
      </c>
      <c r="J9" s="65">
        <f>'Variance Analysis'!J32</f>
        <v>28654</v>
      </c>
      <c r="K9" s="65">
        <f>'Variance Analysis'!K32</f>
        <v>21938</v>
      </c>
      <c r="L9" s="65">
        <f>'Variance Analysis'!L32</f>
        <v>30933</v>
      </c>
      <c r="M9" s="65">
        <f>'Variance Analysis'!M32</f>
        <v>27132</v>
      </c>
      <c r="N9" s="65">
        <f>'Variance Analysis'!N32</f>
        <v>29759</v>
      </c>
      <c r="O9" s="17"/>
      <c r="P9" s="17"/>
      <c r="Q9" s="17"/>
      <c r="R9" s="17"/>
      <c r="S9" s="17"/>
      <c r="T9" s="17"/>
      <c r="U9" s="17"/>
      <c r="V9" s="17"/>
      <c r="W9" s="17"/>
      <c r="X9" s="17"/>
      <c r="Y9" s="17"/>
      <c r="Z9" s="17"/>
    </row>
    <row r="10" spans="1:26" ht="14.25" customHeight="1">
      <c r="A10" s="77" t="s">
        <v>56</v>
      </c>
      <c r="B10" s="77" t="s">
        <v>121</v>
      </c>
      <c r="C10" s="65">
        <f>'Variance Analysis'!C30</f>
        <v>-8460389.8399999999</v>
      </c>
      <c r="D10" s="65">
        <f>'Variance Analysis'!D30</f>
        <v>-8149859.6999999993</v>
      </c>
      <c r="E10" s="65">
        <f>'Variance Analysis'!E30</f>
        <v>-7531701.29</v>
      </c>
      <c r="F10" s="65">
        <f>'Variance Analysis'!F30</f>
        <v>-7473771.8099999996</v>
      </c>
      <c r="G10" s="65">
        <f>'Variance Analysis'!G30</f>
        <v>-7892157.04</v>
      </c>
      <c r="H10" s="65">
        <f>'Variance Analysis'!H30</f>
        <v>-7699347.6500000004</v>
      </c>
      <c r="I10" s="65">
        <f>'Variance Analysis'!I30</f>
        <v>-11178158.369999999</v>
      </c>
      <c r="J10" s="65">
        <f>'Variance Analysis'!J30</f>
        <v>-9894599.1999999993</v>
      </c>
      <c r="K10" s="65">
        <f>'Variance Analysis'!K30</f>
        <v>-10434056.43</v>
      </c>
      <c r="L10" s="65">
        <f>'Variance Analysis'!L30</f>
        <v>-7635103.0900000008</v>
      </c>
      <c r="M10" s="65">
        <f>'Variance Analysis'!M30</f>
        <v>-7710730.1799999997</v>
      </c>
      <c r="N10" s="65">
        <f>'Variance Analysis'!N30</f>
        <v>-7415391.3399999999</v>
      </c>
      <c r="O10" s="17"/>
      <c r="P10" s="17"/>
      <c r="Q10" s="17"/>
      <c r="R10" s="17"/>
      <c r="S10" s="17"/>
      <c r="T10" s="17"/>
      <c r="U10" s="17"/>
      <c r="V10" s="17"/>
      <c r="W10" s="17"/>
      <c r="X10" s="17"/>
      <c r="Y10" s="17"/>
      <c r="Z10" s="17"/>
    </row>
    <row r="11" spans="1:26" ht="14.25" customHeight="1">
      <c r="A11" s="66" t="s">
        <v>32</v>
      </c>
      <c r="B11" s="67" t="s">
        <v>121</v>
      </c>
      <c r="C11" s="68">
        <f>ABS(C10)-SUM(C7:C9)</f>
        <v>5050444.6000000108</v>
      </c>
      <c r="D11" s="68">
        <f t="shared" ref="D11:N11" si="0">ABS(D10)-SUM(D7:D9)</f>
        <v>3458379.4399999995</v>
      </c>
      <c r="E11" s="68">
        <f t="shared" si="0"/>
        <v>3839682.26000001</v>
      </c>
      <c r="F11" s="68">
        <f t="shared" si="0"/>
        <v>3976825.3</v>
      </c>
      <c r="G11" s="68">
        <f t="shared" si="0"/>
        <v>4293385.9399999995</v>
      </c>
      <c r="H11" s="68">
        <f t="shared" si="0"/>
        <v>4234069.25</v>
      </c>
      <c r="I11" s="68">
        <f t="shared" si="0"/>
        <v>6841506.4900000002</v>
      </c>
      <c r="J11" s="68">
        <f t="shared" si="0"/>
        <v>6231843.8199999994</v>
      </c>
      <c r="K11" s="68">
        <f t="shared" si="0"/>
        <v>6794153.2699999996</v>
      </c>
      <c r="L11" s="68">
        <f t="shared" si="0"/>
        <v>3978411.3600000008</v>
      </c>
      <c r="M11" s="68">
        <f t="shared" si="0"/>
        <v>3834317.4299999997</v>
      </c>
      <c r="N11" s="68">
        <f t="shared" si="0"/>
        <v>2995697.51</v>
      </c>
    </row>
    <row r="12" spans="1:26" ht="26.25" customHeight="1">
      <c r="A12" s="159" t="s">
        <v>142</v>
      </c>
      <c r="B12" s="173"/>
      <c r="C12" s="174"/>
      <c r="D12" s="174"/>
      <c r="E12" s="174"/>
      <c r="F12" s="174"/>
      <c r="G12" s="174"/>
      <c r="H12" s="174"/>
      <c r="I12" s="174"/>
      <c r="J12" s="174"/>
      <c r="K12" s="174"/>
      <c r="L12" s="174"/>
      <c r="M12" s="174"/>
      <c r="N12" s="174"/>
      <c r="O12" s="175"/>
      <c r="P12" s="175"/>
      <c r="Q12" s="175"/>
      <c r="R12" s="175"/>
      <c r="S12" s="175"/>
      <c r="T12" s="175"/>
      <c r="U12" s="175"/>
      <c r="V12" s="175"/>
      <c r="W12" s="175"/>
      <c r="X12" s="175"/>
      <c r="Y12" s="175"/>
      <c r="Z12" s="175"/>
    </row>
    <row r="13" spans="1:26" ht="14.25" customHeight="1">
      <c r="A13" s="131" t="s">
        <v>138</v>
      </c>
      <c r="B13" s="131" t="s">
        <v>120</v>
      </c>
      <c r="C13" s="13" t="s">
        <v>43</v>
      </c>
      <c r="D13" s="13" t="s">
        <v>44</v>
      </c>
      <c r="E13" s="13" t="s">
        <v>45</v>
      </c>
      <c r="F13" s="13" t="s">
        <v>46</v>
      </c>
      <c r="G13" s="13" t="s">
        <v>47</v>
      </c>
      <c r="H13" s="13" t="s">
        <v>48</v>
      </c>
      <c r="I13" s="13" t="s">
        <v>49</v>
      </c>
      <c r="J13" s="13" t="s">
        <v>50</v>
      </c>
      <c r="K13" s="13" t="s">
        <v>51</v>
      </c>
      <c r="L13" s="13" t="s">
        <v>52</v>
      </c>
      <c r="M13" s="13" t="s">
        <v>53</v>
      </c>
      <c r="N13" s="13" t="s">
        <v>54</v>
      </c>
      <c r="O13" s="149"/>
      <c r="P13" s="149"/>
      <c r="Q13" s="149"/>
      <c r="R13" s="149"/>
      <c r="S13" s="149"/>
      <c r="T13" s="149"/>
      <c r="U13" s="149"/>
      <c r="V13" s="149"/>
      <c r="W13" s="149"/>
      <c r="X13" s="149"/>
      <c r="Y13" s="149"/>
      <c r="Z13" s="149"/>
    </row>
    <row r="14" spans="1:26" ht="14.25" customHeight="1">
      <c r="A14" s="170" t="s">
        <v>139</v>
      </c>
      <c r="B14" s="170" t="s">
        <v>121</v>
      </c>
      <c r="C14" s="65">
        <f>'Variance Analysis'!C37</f>
        <v>11422413.93</v>
      </c>
      <c r="D14" s="65">
        <f>'Variance Analysis'!D37</f>
        <v>13760706</v>
      </c>
      <c r="E14" s="65">
        <f>'Variance Analysis'!E37</f>
        <v>13907840.720000001</v>
      </c>
      <c r="F14" s="65">
        <f>'Variance Analysis'!F37</f>
        <v>18647198.620000001</v>
      </c>
      <c r="G14" s="65">
        <f>'Variance Analysis'!G37</f>
        <v>20171698.659999996</v>
      </c>
      <c r="H14" s="65">
        <f>'Variance Analysis'!H37</f>
        <v>10312374.780000001</v>
      </c>
      <c r="I14" s="65">
        <f>'Variance Analysis'!I37</f>
        <v>9642006.7300000004</v>
      </c>
      <c r="J14" s="65">
        <f>'Variance Analysis'!J37</f>
        <v>11352257.67</v>
      </c>
      <c r="K14" s="65">
        <f>'Variance Analysis'!K37</f>
        <v>10349340.02</v>
      </c>
      <c r="L14" s="65">
        <f>'Variance Analysis'!L37</f>
        <v>11122716.970000001</v>
      </c>
      <c r="M14" s="65">
        <f>'Variance Analysis'!M37</f>
        <v>13043106.200000001</v>
      </c>
      <c r="N14" s="65">
        <f>'Variance Analysis'!N37</f>
        <v>6755372.5199999996</v>
      </c>
      <c r="O14" s="17"/>
      <c r="P14" s="17"/>
      <c r="Q14" s="17"/>
      <c r="R14" s="17"/>
      <c r="S14" s="17"/>
      <c r="T14" s="17"/>
      <c r="U14" s="17"/>
      <c r="V14" s="17"/>
      <c r="W14" s="17"/>
      <c r="X14" s="17"/>
      <c r="Y14" s="17"/>
      <c r="Z14" s="17"/>
    </row>
    <row r="15" spans="1:26" ht="14.25" customHeight="1">
      <c r="A15" s="170" t="s">
        <v>140</v>
      </c>
      <c r="B15" s="170" t="s">
        <v>121</v>
      </c>
      <c r="C15" s="65">
        <f>'Variance Analysis'!C35</f>
        <v>686673.01</v>
      </c>
      <c r="D15" s="65">
        <f>'Variance Analysis'!D35</f>
        <v>867081.49</v>
      </c>
      <c r="E15" s="65">
        <f>'Variance Analysis'!E35</f>
        <v>6727.15</v>
      </c>
      <c r="F15" s="65">
        <f>'Variance Analysis'!F35</f>
        <v>401.530000000006</v>
      </c>
      <c r="G15" s="65">
        <f>'Variance Analysis'!G35</f>
        <v>144797.4</v>
      </c>
      <c r="H15" s="65">
        <f>'Variance Analysis'!H35</f>
        <v>652415.07999999996</v>
      </c>
      <c r="I15" s="65">
        <f>'Variance Analysis'!I35</f>
        <v>27790.66</v>
      </c>
      <c r="J15" s="65">
        <f>'Variance Analysis'!J35</f>
        <v>507467.89</v>
      </c>
      <c r="K15" s="65">
        <f>'Variance Analysis'!K35</f>
        <v>241353.12</v>
      </c>
      <c r="L15" s="65">
        <f>'Variance Analysis'!L35</f>
        <v>95261.1</v>
      </c>
      <c r="M15" s="65">
        <f>'Variance Analysis'!M35</f>
        <v>197723.18</v>
      </c>
      <c r="N15" s="65">
        <f>'Variance Analysis'!N35</f>
        <v>175247.34</v>
      </c>
      <c r="O15" s="17"/>
      <c r="P15" s="17"/>
      <c r="Q15" s="17"/>
      <c r="R15" s="17"/>
      <c r="S15" s="17"/>
      <c r="T15" s="17"/>
      <c r="U15" s="17"/>
      <c r="V15" s="17"/>
      <c r="W15" s="17"/>
      <c r="X15" s="17"/>
      <c r="Y15" s="17"/>
      <c r="Z15" s="17"/>
    </row>
    <row r="16" spans="1:26" ht="14.25" customHeight="1">
      <c r="A16" s="170" t="s">
        <v>141</v>
      </c>
      <c r="B16" s="170" t="s">
        <v>121</v>
      </c>
      <c r="C16" s="65">
        <f>'Variance Analysis'!C36</f>
        <v>241931.03000000003</v>
      </c>
      <c r="D16" s="65">
        <f>'Variance Analysis'!D36</f>
        <v>228177.66</v>
      </c>
      <c r="E16" s="65">
        <f>'Variance Analysis'!E36</f>
        <v>362088.43</v>
      </c>
      <c r="F16" s="65">
        <f>'Variance Analysis'!F36</f>
        <v>211688.28</v>
      </c>
      <c r="G16" s="65">
        <f>'Variance Analysis'!G36</f>
        <v>237346.23</v>
      </c>
      <c r="H16" s="65">
        <f>'Variance Analysis'!H36</f>
        <v>293131.57</v>
      </c>
      <c r="I16" s="65">
        <f>'Variance Analysis'!I36</f>
        <v>335872.34</v>
      </c>
      <c r="J16" s="65">
        <f>'Variance Analysis'!J36</f>
        <v>333612.56</v>
      </c>
      <c r="K16" s="65">
        <f>'Variance Analysis'!K36</f>
        <v>288580.33</v>
      </c>
      <c r="L16" s="65">
        <f>'Variance Analysis'!L36</f>
        <v>270114.8</v>
      </c>
      <c r="M16" s="65">
        <f>'Variance Analysis'!M36</f>
        <v>279543.5</v>
      </c>
      <c r="N16" s="65">
        <f>'Variance Analysis'!N36</f>
        <v>423607.52</v>
      </c>
      <c r="O16" s="17"/>
      <c r="P16" s="17"/>
      <c r="Q16" s="17"/>
      <c r="R16" s="17"/>
      <c r="S16" s="17"/>
      <c r="T16" s="17"/>
      <c r="U16" s="17"/>
      <c r="V16" s="17"/>
      <c r="W16" s="17"/>
      <c r="X16" s="17"/>
      <c r="Y16" s="17"/>
      <c r="Z16" s="17"/>
    </row>
    <row r="17" spans="1:26" ht="14.25" customHeight="1">
      <c r="A17" s="77" t="s">
        <v>56</v>
      </c>
      <c r="B17" s="77" t="s">
        <v>121</v>
      </c>
      <c r="C17" s="65">
        <f>'Variance Analysis'!C34</f>
        <v>-19894012.739999998</v>
      </c>
      <c r="D17" s="65">
        <f>'Variance Analysis'!D34</f>
        <v>-16863304.57</v>
      </c>
      <c r="E17" s="65">
        <f>'Variance Analysis'!E34</f>
        <v>-18634437.710000001</v>
      </c>
      <c r="F17" s="65">
        <f>'Variance Analysis'!F34</f>
        <v>-17531805.759999998</v>
      </c>
      <c r="G17" s="65">
        <f>'Variance Analysis'!G34</f>
        <v>-16086473.6</v>
      </c>
      <c r="H17" s="65">
        <f>'Variance Analysis'!H34</f>
        <v>-17992774.75</v>
      </c>
      <c r="I17" s="65">
        <f>'Variance Analysis'!I34</f>
        <v>-25540140.41</v>
      </c>
      <c r="J17" s="65">
        <f>'Variance Analysis'!J34</f>
        <v>-23695398.210000001</v>
      </c>
      <c r="K17" s="65">
        <f>'Variance Analysis'!K34</f>
        <v>-22536666.82</v>
      </c>
      <c r="L17" s="65">
        <f>'Variance Analysis'!L34</f>
        <v>-18635306.310000002</v>
      </c>
      <c r="M17" s="65">
        <f>'Variance Analysis'!M34</f>
        <v>-17104640.780000001</v>
      </c>
      <c r="N17" s="65">
        <f>'Variance Analysis'!N34</f>
        <v>-18482607.449999999</v>
      </c>
      <c r="O17" s="17"/>
      <c r="P17" s="17"/>
      <c r="Q17" s="17"/>
      <c r="R17" s="17"/>
      <c r="S17" s="17"/>
      <c r="T17" s="17"/>
      <c r="U17" s="17"/>
      <c r="V17" s="17"/>
      <c r="W17" s="17"/>
      <c r="X17" s="17"/>
      <c r="Y17" s="17"/>
      <c r="Z17" s="17"/>
    </row>
    <row r="18" spans="1:26" ht="14.25" customHeight="1">
      <c r="A18" s="66" t="s">
        <v>32</v>
      </c>
      <c r="B18" s="67" t="s">
        <v>121</v>
      </c>
      <c r="C18" s="68">
        <f t="shared" ref="C18:N18" si="1">ABS(C17)-SUM(C14:C16)</f>
        <v>7542994.7699999996</v>
      </c>
      <c r="D18" s="68">
        <f t="shared" si="1"/>
        <v>2007339.42</v>
      </c>
      <c r="E18" s="68">
        <f t="shared" si="1"/>
        <v>4357781.41</v>
      </c>
      <c r="F18" s="68">
        <f t="shared" si="1"/>
        <v>-1327482.6700000055</v>
      </c>
      <c r="G18" s="68">
        <f t="shared" si="1"/>
        <v>-4467368.6899999958</v>
      </c>
      <c r="H18" s="68">
        <f t="shared" si="1"/>
        <v>6734853.3199999984</v>
      </c>
      <c r="I18" s="68">
        <f t="shared" si="1"/>
        <v>15534470.68</v>
      </c>
      <c r="J18" s="68">
        <f t="shared" si="1"/>
        <v>11502060.09</v>
      </c>
      <c r="K18" s="68">
        <f t="shared" si="1"/>
        <v>11657393.350000001</v>
      </c>
      <c r="L18" s="68">
        <f t="shared" si="1"/>
        <v>7147213.4400000013</v>
      </c>
      <c r="M18" s="68">
        <f t="shared" si="1"/>
        <v>3584267.9000000004</v>
      </c>
      <c r="N18" s="68">
        <f t="shared" si="1"/>
        <v>11128380.07</v>
      </c>
    </row>
    <row r="19" spans="1:26" ht="26.25" customHeight="1">
      <c r="A19" s="159" t="s">
        <v>143</v>
      </c>
      <c r="B19" s="173"/>
      <c r="C19" s="174"/>
      <c r="D19" s="174"/>
      <c r="E19" s="174"/>
      <c r="F19" s="174"/>
      <c r="G19" s="174"/>
      <c r="H19" s="174"/>
      <c r="I19" s="174"/>
      <c r="J19" s="174"/>
      <c r="K19" s="174"/>
      <c r="L19" s="174"/>
      <c r="M19" s="174"/>
      <c r="N19" s="174"/>
      <c r="O19" s="175"/>
      <c r="P19" s="175"/>
      <c r="Q19" s="175"/>
      <c r="R19" s="175"/>
      <c r="S19" s="175"/>
      <c r="T19" s="175"/>
      <c r="U19" s="175"/>
      <c r="V19" s="175"/>
      <c r="W19" s="175"/>
      <c r="X19" s="175"/>
      <c r="Y19" s="175"/>
      <c r="Z19" s="175"/>
    </row>
    <row r="20" spans="1:26" ht="14.25" customHeight="1">
      <c r="A20" s="131" t="s">
        <v>138</v>
      </c>
      <c r="B20" s="131" t="s">
        <v>120</v>
      </c>
      <c r="C20" s="13" t="s">
        <v>43</v>
      </c>
      <c r="D20" s="13" t="s">
        <v>44</v>
      </c>
      <c r="E20" s="13" t="s">
        <v>45</v>
      </c>
      <c r="F20" s="13" t="s">
        <v>46</v>
      </c>
      <c r="G20" s="13" t="s">
        <v>47</v>
      </c>
      <c r="H20" s="13" t="s">
        <v>48</v>
      </c>
      <c r="I20" s="13" t="s">
        <v>49</v>
      </c>
      <c r="J20" s="13" t="s">
        <v>50</v>
      </c>
      <c r="K20" s="13" t="s">
        <v>51</v>
      </c>
      <c r="L20" s="13" t="s">
        <v>52</v>
      </c>
      <c r="M20" s="13" t="s">
        <v>53</v>
      </c>
      <c r="N20" s="13" t="s">
        <v>54</v>
      </c>
      <c r="O20" s="149"/>
      <c r="P20" s="149"/>
      <c r="Q20" s="149"/>
      <c r="R20" s="149"/>
      <c r="S20" s="149"/>
      <c r="T20" s="149"/>
      <c r="U20" s="149"/>
      <c r="V20" s="149"/>
      <c r="W20" s="149"/>
      <c r="X20" s="149"/>
      <c r="Y20" s="149"/>
      <c r="Z20" s="149"/>
    </row>
    <row r="21" spans="1:26" ht="14.25" customHeight="1">
      <c r="A21" s="170" t="s">
        <v>139</v>
      </c>
      <c r="B21" s="170" t="s">
        <v>121</v>
      </c>
      <c r="C21" s="65">
        <f>'Variance Analysis'!C41</f>
        <v>5155467.82</v>
      </c>
      <c r="D21" s="65">
        <f>'Variance Analysis'!D41</f>
        <v>4107219.28</v>
      </c>
      <c r="E21" s="65">
        <f>'Variance Analysis'!E41</f>
        <v>5551987.3199999994</v>
      </c>
      <c r="F21" s="65">
        <f>'Variance Analysis'!F41</f>
        <v>4670026.4399999995</v>
      </c>
      <c r="G21" s="65">
        <f>'Variance Analysis'!G41</f>
        <v>3971268.39</v>
      </c>
      <c r="H21" s="65">
        <f>'Variance Analysis'!H41</f>
        <v>2944600.0500000003</v>
      </c>
      <c r="I21" s="65">
        <f>'Variance Analysis'!I41</f>
        <v>3143819.16</v>
      </c>
      <c r="J21" s="65">
        <f>'Variance Analysis'!J41</f>
        <v>2699686.7399999998</v>
      </c>
      <c r="K21" s="65">
        <f>'Variance Analysis'!K41</f>
        <v>3795500.0700000003</v>
      </c>
      <c r="L21" s="65">
        <f>'Variance Analysis'!L41</f>
        <v>2066688.56</v>
      </c>
      <c r="M21" s="65">
        <f>'Variance Analysis'!M41</f>
        <v>2668702.2799999993</v>
      </c>
      <c r="N21" s="65">
        <f>'Variance Analysis'!N41</f>
        <v>4761502.4300000006</v>
      </c>
      <c r="O21" s="17"/>
      <c r="P21" s="17"/>
      <c r="Q21" s="17"/>
      <c r="R21" s="17"/>
      <c r="S21" s="17"/>
      <c r="T21" s="17"/>
      <c r="U21" s="17"/>
      <c r="V21" s="17"/>
      <c r="W21" s="17"/>
      <c r="X21" s="17"/>
      <c r="Y21" s="17"/>
      <c r="Z21" s="17"/>
    </row>
    <row r="22" spans="1:26" ht="14.25" customHeight="1">
      <c r="A22" s="170" t="s">
        <v>140</v>
      </c>
      <c r="B22" s="170" t="s">
        <v>121</v>
      </c>
      <c r="C22" s="65">
        <f>'Variance Analysis'!C39</f>
        <v>125993.22</v>
      </c>
      <c r="D22" s="65">
        <f>'Variance Analysis'!D39</f>
        <v>75075.8</v>
      </c>
      <c r="E22" s="65">
        <f>'Variance Analysis'!E39</f>
        <v>44153.440000000002</v>
      </c>
      <c r="F22" s="65">
        <f>'Variance Analysis'!F39</f>
        <v>71345.01999999999</v>
      </c>
      <c r="G22" s="65">
        <f>'Variance Analysis'!G39</f>
        <v>-20479.969999999998</v>
      </c>
      <c r="H22" s="65">
        <f>'Variance Analysis'!H39</f>
        <v>9632.59</v>
      </c>
      <c r="I22" s="65">
        <f>'Variance Analysis'!I39</f>
        <v>476546.05</v>
      </c>
      <c r="J22" s="65">
        <f>'Variance Analysis'!J39</f>
        <v>464219.42</v>
      </c>
      <c r="K22" s="65">
        <f>'Variance Analysis'!K39</f>
        <v>221113.88999999998</v>
      </c>
      <c r="L22" s="65">
        <f>'Variance Analysis'!L39</f>
        <v>224277.79</v>
      </c>
      <c r="M22" s="65">
        <f>'Variance Analysis'!M39</f>
        <v>263709.95</v>
      </c>
      <c r="N22" s="65">
        <f>'Variance Analysis'!N39</f>
        <v>-77601.91</v>
      </c>
      <c r="O22" s="17"/>
      <c r="P22" s="17"/>
      <c r="Q22" s="17"/>
      <c r="R22" s="17"/>
      <c r="S22" s="17"/>
      <c r="T22" s="17"/>
      <c r="U22" s="17"/>
      <c r="V22" s="17"/>
      <c r="W22" s="17"/>
      <c r="X22" s="17"/>
      <c r="Y22" s="17"/>
      <c r="Z22" s="17"/>
    </row>
    <row r="23" spans="1:26" ht="14.25" customHeight="1">
      <c r="A23" s="170" t="s">
        <v>141</v>
      </c>
      <c r="B23" s="170" t="s">
        <v>121</v>
      </c>
      <c r="C23" s="65">
        <f>'Variance Analysis'!C40</f>
        <v>855.07000000000016</v>
      </c>
      <c r="D23" s="65">
        <f>'Variance Analysis'!D40</f>
        <v>8643.11</v>
      </c>
      <c r="E23" s="65">
        <f>'Variance Analysis'!E40</f>
        <v>7004.54</v>
      </c>
      <c r="F23" s="65">
        <f>'Variance Analysis'!F40</f>
        <v>-4277.2699999999986</v>
      </c>
      <c r="G23" s="65">
        <f>'Variance Analysis'!G40</f>
        <v>9314.75</v>
      </c>
      <c r="H23" s="65">
        <f>'Variance Analysis'!H40</f>
        <v>8194.59</v>
      </c>
      <c r="I23" s="65">
        <f>'Variance Analysis'!I40</f>
        <v>12985.24</v>
      </c>
      <c r="J23" s="65">
        <f>'Variance Analysis'!J40</f>
        <v>8327.32</v>
      </c>
      <c r="K23" s="65">
        <f>'Variance Analysis'!K40</f>
        <v>12745.36</v>
      </c>
      <c r="L23" s="65">
        <f>'Variance Analysis'!L40</f>
        <v>7073.15</v>
      </c>
      <c r="M23" s="65">
        <f>'Variance Analysis'!M40</f>
        <v>8678.7800000000007</v>
      </c>
      <c r="N23" s="65">
        <f>'Variance Analysis'!N40</f>
        <v>12419.05</v>
      </c>
      <c r="O23" s="17"/>
      <c r="P23" s="17"/>
      <c r="Q23" s="17"/>
      <c r="R23" s="17"/>
      <c r="S23" s="17"/>
      <c r="T23" s="17"/>
      <c r="U23" s="17"/>
      <c r="V23" s="17"/>
      <c r="W23" s="17"/>
      <c r="X23" s="17"/>
      <c r="Y23" s="17"/>
      <c r="Z23" s="17"/>
    </row>
    <row r="24" spans="1:26" ht="14.25" customHeight="1">
      <c r="A24" s="245" t="s">
        <v>56</v>
      </c>
      <c r="B24" s="245" t="s">
        <v>121</v>
      </c>
      <c r="C24" s="246">
        <f>'Variance Analysis'!C38</f>
        <v>-14823183.890000001</v>
      </c>
      <c r="D24" s="246">
        <f>'Variance Analysis'!D38</f>
        <v>-16339448.65</v>
      </c>
      <c r="E24" s="246">
        <f>'Variance Analysis'!E38</f>
        <v>-14895162.68</v>
      </c>
      <c r="F24" s="246">
        <f>'Variance Analysis'!F38</f>
        <v>-12698823.350000001</v>
      </c>
      <c r="G24" s="246">
        <f>'Variance Analysis'!G38</f>
        <v>-14008587.450000001</v>
      </c>
      <c r="H24" s="246">
        <f>'Variance Analysis'!H38</f>
        <v>-12192418.84</v>
      </c>
      <c r="I24" s="246">
        <f>'Variance Analysis'!I38</f>
        <v>-17974980.299999997</v>
      </c>
      <c r="J24" s="246">
        <f>'Variance Analysis'!J38</f>
        <v>-17248286.52</v>
      </c>
      <c r="K24" s="246">
        <f>'Variance Analysis'!K38</f>
        <v>-17157766.699999999</v>
      </c>
      <c r="L24" s="246">
        <f>'Variance Analysis'!L38</f>
        <v>-17481320.02</v>
      </c>
      <c r="M24" s="246">
        <f>'Variance Analysis'!M38</f>
        <v>-17365877.739999998</v>
      </c>
      <c r="N24" s="246">
        <f>'Variance Analysis'!N38</f>
        <v>-18008731.18</v>
      </c>
      <c r="O24" s="17"/>
      <c r="P24" s="17"/>
      <c r="Q24" s="17"/>
      <c r="R24" s="17"/>
      <c r="S24" s="17"/>
      <c r="T24" s="17"/>
      <c r="U24" s="17"/>
      <c r="V24" s="17"/>
      <c r="W24" s="17"/>
      <c r="X24" s="17"/>
      <c r="Y24" s="17"/>
      <c r="Z24" s="17"/>
    </row>
    <row r="25" spans="1:26" ht="14.25" customHeight="1" thickBot="1">
      <c r="A25" s="247" t="s">
        <v>32</v>
      </c>
      <c r="B25" s="247" t="s">
        <v>121</v>
      </c>
      <c r="C25" s="248">
        <f>ABS(C24)-SUM(C21:C23)</f>
        <v>9540867.7800000012</v>
      </c>
      <c r="D25" s="248">
        <f t="shared" ref="D25:N25" si="2">ABS(D24)-SUM(D21:D23)</f>
        <v>12148510.460000001</v>
      </c>
      <c r="E25" s="248">
        <f t="shared" si="2"/>
        <v>9292017.379999999</v>
      </c>
      <c r="F25" s="248">
        <f t="shared" si="2"/>
        <v>7961729.160000002</v>
      </c>
      <c r="G25" s="248">
        <f t="shared" si="2"/>
        <v>10048484.280000001</v>
      </c>
      <c r="H25" s="248">
        <f t="shared" si="2"/>
        <v>9229991.6099999994</v>
      </c>
      <c r="I25" s="248">
        <f t="shared" si="2"/>
        <v>14341629.849999998</v>
      </c>
      <c r="J25" s="248">
        <f t="shared" si="2"/>
        <v>14076053.039999999</v>
      </c>
      <c r="K25" s="248">
        <f t="shared" si="2"/>
        <v>13128407.379999999</v>
      </c>
      <c r="L25" s="248">
        <f t="shared" si="2"/>
        <v>15183280.52</v>
      </c>
      <c r="M25" s="248">
        <f t="shared" si="2"/>
        <v>14424786.729999999</v>
      </c>
      <c r="N25" s="248">
        <f t="shared" si="2"/>
        <v>13312411.609999999</v>
      </c>
      <c r="O25" s="17"/>
      <c r="P25" s="17"/>
      <c r="Q25" s="17"/>
      <c r="R25" s="17"/>
      <c r="S25" s="17"/>
      <c r="T25" s="17"/>
      <c r="U25" s="17"/>
      <c r="V25" s="17"/>
      <c r="W25" s="17"/>
      <c r="X25" s="17"/>
      <c r="Y25" s="17"/>
      <c r="Z25" s="17"/>
    </row>
    <row r="26" spans="1:26" ht="26.25" customHeight="1">
      <c r="A26" s="159" t="s">
        <v>144</v>
      </c>
      <c r="B26" s="173"/>
      <c r="C26" s="174"/>
      <c r="D26" s="174"/>
      <c r="E26" s="174"/>
      <c r="F26" s="174"/>
      <c r="G26" s="174"/>
      <c r="H26" s="174"/>
      <c r="I26" s="174"/>
      <c r="J26" s="174"/>
      <c r="K26" s="174"/>
      <c r="L26" s="174"/>
      <c r="M26" s="174"/>
      <c r="N26" s="174"/>
      <c r="O26" s="175"/>
      <c r="P26" s="175"/>
      <c r="Q26" s="175"/>
      <c r="R26" s="175"/>
      <c r="S26" s="175"/>
      <c r="T26" s="175"/>
      <c r="U26" s="175"/>
      <c r="V26" s="175"/>
      <c r="W26" s="175"/>
      <c r="X26" s="175"/>
      <c r="Y26" s="175"/>
      <c r="Z26" s="175"/>
    </row>
    <row r="27" spans="1:26" ht="14.25" customHeight="1">
      <c r="A27" s="131" t="s">
        <v>138</v>
      </c>
      <c r="B27" s="131" t="s">
        <v>120</v>
      </c>
      <c r="C27" s="13" t="s">
        <v>43</v>
      </c>
      <c r="D27" s="13" t="s">
        <v>44</v>
      </c>
      <c r="E27" s="13" t="s">
        <v>45</v>
      </c>
      <c r="F27" s="13" t="s">
        <v>46</v>
      </c>
      <c r="G27" s="13" t="s">
        <v>47</v>
      </c>
      <c r="H27" s="13" t="s">
        <v>48</v>
      </c>
      <c r="I27" s="13" t="s">
        <v>49</v>
      </c>
      <c r="J27" s="13" t="s">
        <v>50</v>
      </c>
      <c r="K27" s="13" t="s">
        <v>51</v>
      </c>
      <c r="L27" s="13" t="s">
        <v>52</v>
      </c>
      <c r="M27" s="13" t="s">
        <v>53</v>
      </c>
      <c r="N27" s="13" t="s">
        <v>54</v>
      </c>
      <c r="O27" s="149"/>
      <c r="P27" s="149"/>
      <c r="Q27" s="149"/>
      <c r="R27" s="149"/>
      <c r="S27" s="149"/>
      <c r="T27" s="149"/>
      <c r="U27" s="149"/>
      <c r="V27" s="149"/>
      <c r="W27" s="149"/>
      <c r="X27" s="149"/>
      <c r="Y27" s="149"/>
      <c r="Z27" s="149"/>
    </row>
    <row r="28" spans="1:26" ht="14.25" customHeight="1">
      <c r="A28" s="170" t="s">
        <v>139</v>
      </c>
      <c r="B28" s="170" t="s">
        <v>121</v>
      </c>
      <c r="C28" s="65">
        <f>'Variance Analysis'!C45</f>
        <v>19933122.77999999</v>
      </c>
      <c r="D28" s="65">
        <f>'Variance Analysis'!D45</f>
        <v>22503896.370000001</v>
      </c>
      <c r="E28" s="65">
        <f>'Variance Analysis'!E45</f>
        <v>23089363.00999999</v>
      </c>
      <c r="F28" s="65">
        <f>'Variance Analysis'!F45</f>
        <v>26762248.57</v>
      </c>
      <c r="G28" s="65">
        <f>'Variance Analysis'!G45</f>
        <v>27680853.149999999</v>
      </c>
      <c r="H28" s="65">
        <f>'Variance Analysis'!H45</f>
        <v>16659692.230000002</v>
      </c>
      <c r="I28" s="65">
        <f>'Variance Analysis'!I45</f>
        <v>17060488.77</v>
      </c>
      <c r="J28" s="65">
        <f>'Variance Analysis'!J45</f>
        <v>17650757.789999999</v>
      </c>
      <c r="K28" s="65">
        <f>'Variance Analysis'!K45</f>
        <v>17735456.25</v>
      </c>
      <c r="L28" s="65">
        <f>'Variance Analysis'!L45</f>
        <v>16787821.260000002</v>
      </c>
      <c r="M28" s="65">
        <f>'Variance Analysis'!M45</f>
        <v>19532917.230000004</v>
      </c>
      <c r="N28" s="65">
        <f>'Variance Analysis'!N45</f>
        <v>15873220.780000001</v>
      </c>
      <c r="O28" s="17"/>
      <c r="P28" s="17"/>
      <c r="Q28" s="17"/>
      <c r="R28" s="17"/>
      <c r="S28" s="17"/>
      <c r="T28" s="17"/>
      <c r="U28" s="17"/>
      <c r="V28" s="17"/>
      <c r="W28" s="17"/>
      <c r="X28" s="17"/>
      <c r="Y28" s="17"/>
      <c r="Z28" s="17"/>
    </row>
    <row r="29" spans="1:26" ht="14.25" customHeight="1">
      <c r="A29" s="170" t="s">
        <v>140</v>
      </c>
      <c r="B29" s="170" t="s">
        <v>121</v>
      </c>
      <c r="C29" s="65">
        <f>'Variance Analysis'!C43</f>
        <v>848167.17999999993</v>
      </c>
      <c r="D29" s="65">
        <f>'Variance Analysis'!D43</f>
        <v>966368.24</v>
      </c>
      <c r="E29" s="65">
        <f>'Variance Analysis'!E43</f>
        <v>92121.91</v>
      </c>
      <c r="F29" s="65">
        <f>'Variance Analysis'!F43</f>
        <v>97869.549999999988</v>
      </c>
      <c r="G29" s="65">
        <f>'Variance Analysis'!G43</f>
        <v>156550.43</v>
      </c>
      <c r="H29" s="65">
        <f>'Variance Analysis'!H43</f>
        <v>693574.66999999993</v>
      </c>
      <c r="I29" s="65">
        <f>'Variance Analysis'!I43</f>
        <v>536807.71</v>
      </c>
      <c r="J29" s="65">
        <f>'Variance Analysis'!J43</f>
        <v>1006975.31</v>
      </c>
      <c r="K29" s="65">
        <f>'Variance Analysis'!K43</f>
        <v>489816.01</v>
      </c>
      <c r="L29" s="65">
        <f>'Variance Analysis'!L43</f>
        <v>346881.89</v>
      </c>
      <c r="M29" s="65">
        <f>'Variance Analysis'!M43</f>
        <v>489605.13</v>
      </c>
      <c r="N29" s="65">
        <f>'Variance Analysis'!N43</f>
        <v>131234.43</v>
      </c>
      <c r="O29" s="17"/>
      <c r="P29" s="17"/>
      <c r="Q29" s="17"/>
      <c r="R29" s="17"/>
      <c r="S29" s="17"/>
      <c r="T29" s="17"/>
      <c r="U29" s="17"/>
      <c r="V29" s="17"/>
      <c r="W29" s="17"/>
      <c r="X29" s="17"/>
      <c r="Y29" s="17"/>
      <c r="Z29" s="17"/>
    </row>
    <row r="30" spans="1:26" ht="14.25" customHeight="1">
      <c r="A30" s="170" t="s">
        <v>141</v>
      </c>
      <c r="B30" s="170" t="s">
        <v>121</v>
      </c>
      <c r="C30" s="65">
        <f>'Variance Analysis'!C44</f>
        <v>261989.36000000004</v>
      </c>
      <c r="D30" s="65">
        <f>'Variance Analysis'!D44</f>
        <v>268118.99</v>
      </c>
      <c r="E30" s="65">
        <f>'Variance Analysis'!E44</f>
        <v>390335.70999999996</v>
      </c>
      <c r="F30" s="65">
        <f>'Variance Analysis'!F44</f>
        <v>233211.01</v>
      </c>
      <c r="G30" s="65">
        <f>'Variance Analysis'!G44</f>
        <v>275312.98</v>
      </c>
      <c r="H30" s="65">
        <f>'Variance Analysis'!H44</f>
        <v>332360.16000000003</v>
      </c>
      <c r="I30" s="65">
        <f>'Variance Analysis'!I44</f>
        <v>378375.58</v>
      </c>
      <c r="J30" s="65">
        <f>'Variance Analysis'!J44</f>
        <v>370593.88</v>
      </c>
      <c r="K30" s="65">
        <f>'Variance Analysis'!K44</f>
        <v>323263.69</v>
      </c>
      <c r="L30" s="65">
        <f>'Variance Analysis'!L44</f>
        <v>308120.95</v>
      </c>
      <c r="M30" s="65">
        <f>'Variance Analysis'!M44</f>
        <v>315354.28000000003</v>
      </c>
      <c r="N30" s="65">
        <f>'Variance Analysis'!N44</f>
        <v>465785.57</v>
      </c>
      <c r="O30" s="17"/>
      <c r="P30" s="17"/>
      <c r="Q30" s="17"/>
      <c r="R30" s="17"/>
      <c r="S30" s="17"/>
      <c r="T30" s="17"/>
      <c r="U30" s="17"/>
      <c r="V30" s="17"/>
      <c r="W30" s="17"/>
      <c r="X30" s="17"/>
      <c r="Y30" s="17"/>
      <c r="Z30" s="17"/>
    </row>
    <row r="31" spans="1:26" ht="14.25" customHeight="1">
      <c r="A31" s="245" t="s">
        <v>56</v>
      </c>
      <c r="B31" s="245" t="s">
        <v>121</v>
      </c>
      <c r="C31" s="246">
        <f>'Variance Analysis'!C42</f>
        <v>-43177586.469999999</v>
      </c>
      <c r="D31" s="246">
        <f>'Variance Analysis'!D42</f>
        <v>-41352612.920000002</v>
      </c>
      <c r="E31" s="246">
        <f>'Variance Analysis'!E42</f>
        <v>-41061301.68</v>
      </c>
      <c r="F31" s="246">
        <f>'Variance Analysis'!F42</f>
        <v>-37704400.920000002</v>
      </c>
      <c r="G31" s="246">
        <f>'Variance Analysis'!G42</f>
        <v>-37987218.090000004</v>
      </c>
      <c r="H31" s="246">
        <f>'Variance Analysis'!H42</f>
        <v>-37884541.239999995</v>
      </c>
      <c r="I31" s="246">
        <f>'Variance Analysis'!I42</f>
        <v>-54693279.079999998</v>
      </c>
      <c r="J31" s="246">
        <f>'Variance Analysis'!J42</f>
        <v>-50838283.929999992</v>
      </c>
      <c r="K31" s="246">
        <f>'Variance Analysis'!K42</f>
        <v>-50128489.950000003</v>
      </c>
      <c r="L31" s="246">
        <f>'Variance Analysis'!L42</f>
        <v>-43751729.420000002</v>
      </c>
      <c r="M31" s="246">
        <f>'Variance Analysis'!M42</f>
        <v>-42181248.700000003</v>
      </c>
      <c r="N31" s="246">
        <f>'Variance Analysis'!N42</f>
        <v>-43906729.969999999</v>
      </c>
      <c r="O31" s="17"/>
      <c r="P31" s="17"/>
      <c r="Q31" s="17"/>
      <c r="R31" s="17"/>
      <c r="S31" s="17"/>
      <c r="T31" s="17"/>
      <c r="U31" s="17"/>
      <c r="V31" s="17"/>
      <c r="W31" s="17"/>
      <c r="X31" s="17"/>
      <c r="Y31" s="17"/>
      <c r="Z31" s="17"/>
    </row>
    <row r="32" spans="1:26" ht="14.25" customHeight="1" thickBot="1">
      <c r="A32" s="247" t="s">
        <v>32</v>
      </c>
      <c r="B32" s="247" t="s">
        <v>121</v>
      </c>
      <c r="C32" s="248">
        <f>ABS(C31)-SUM(C28:C30)</f>
        <v>22134307.15000001</v>
      </c>
      <c r="D32" s="248">
        <f t="shared" ref="D32:N32" si="3">ABS(D31)-SUM(D28:D30)</f>
        <v>17614229.320000004</v>
      </c>
      <c r="E32" s="248">
        <f t="shared" si="3"/>
        <v>17489481.050000008</v>
      </c>
      <c r="F32" s="248">
        <f t="shared" si="3"/>
        <v>10611071.789999999</v>
      </c>
      <c r="G32" s="248">
        <f t="shared" si="3"/>
        <v>9874501.5300000049</v>
      </c>
      <c r="H32" s="248">
        <f t="shared" si="3"/>
        <v>20198914.179999992</v>
      </c>
      <c r="I32" s="248">
        <f t="shared" si="3"/>
        <v>36717607.019999996</v>
      </c>
      <c r="J32" s="248">
        <f t="shared" si="3"/>
        <v>31809956.949999996</v>
      </c>
      <c r="K32" s="248">
        <f t="shared" si="3"/>
        <v>31579954</v>
      </c>
      <c r="L32" s="248">
        <f t="shared" si="3"/>
        <v>26308905.32</v>
      </c>
      <c r="M32" s="248">
        <f t="shared" si="3"/>
        <v>21843372.059999999</v>
      </c>
      <c r="N32" s="248">
        <f t="shared" si="3"/>
        <v>27436489.189999998</v>
      </c>
      <c r="O32" s="17"/>
      <c r="P32" s="17"/>
      <c r="Q32" s="17"/>
      <c r="R32" s="17"/>
      <c r="S32" s="17"/>
      <c r="T32" s="17"/>
      <c r="U32" s="17"/>
      <c r="V32" s="17"/>
      <c r="W32" s="17"/>
      <c r="X32" s="17"/>
      <c r="Y32" s="17"/>
      <c r="Z32" s="17"/>
    </row>
    <row r="33" spans="1:26" ht="36.75" customHeight="1">
      <c r="A33" s="176" t="s">
        <v>145</v>
      </c>
      <c r="B33" s="177"/>
      <c r="C33" s="178"/>
      <c r="D33" s="178"/>
      <c r="E33" s="178"/>
      <c r="F33" s="178"/>
      <c r="G33" s="178"/>
      <c r="H33" s="178"/>
      <c r="I33" s="178"/>
      <c r="J33" s="178"/>
      <c r="K33" s="178"/>
      <c r="L33" s="178"/>
      <c r="M33" s="178"/>
      <c r="N33" s="178"/>
      <c r="O33" s="138"/>
      <c r="P33" s="138"/>
      <c r="Q33" s="138"/>
      <c r="R33" s="138"/>
      <c r="S33" s="138"/>
      <c r="T33" s="138"/>
      <c r="U33" s="138"/>
      <c r="V33" s="138"/>
      <c r="W33" s="138"/>
      <c r="X33" s="138"/>
      <c r="Y33" s="138"/>
      <c r="Z33" s="138"/>
    </row>
    <row r="34" spans="1:26" ht="14.25" customHeight="1">
      <c r="A34" s="177"/>
      <c r="B34" s="177"/>
      <c r="C34" s="178"/>
      <c r="D34" s="178"/>
      <c r="E34" s="178"/>
      <c r="F34" s="178"/>
      <c r="G34" s="178"/>
      <c r="H34" s="178"/>
      <c r="I34" s="178"/>
      <c r="J34" s="178"/>
      <c r="K34" s="178"/>
      <c r="L34" s="178"/>
      <c r="M34" s="178"/>
      <c r="N34" s="178"/>
      <c r="O34" s="138"/>
      <c r="P34" s="138"/>
      <c r="Q34" s="138"/>
      <c r="R34" s="138"/>
      <c r="S34" s="138"/>
      <c r="T34" s="138"/>
      <c r="U34" s="138"/>
      <c r="V34" s="138"/>
      <c r="W34" s="138"/>
      <c r="X34" s="138"/>
      <c r="Y34" s="138"/>
      <c r="Z34" s="138"/>
    </row>
    <row r="35" spans="1:26" ht="20">
      <c r="A35" s="151" t="s">
        <v>137</v>
      </c>
      <c r="B35" s="131" t="s">
        <v>120</v>
      </c>
      <c r="C35" s="249" t="s">
        <v>43</v>
      </c>
      <c r="D35" s="249" t="s">
        <v>44</v>
      </c>
      <c r="E35" s="249" t="s">
        <v>45</v>
      </c>
      <c r="F35" s="249" t="s">
        <v>46</v>
      </c>
      <c r="G35" s="249" t="s">
        <v>47</v>
      </c>
      <c r="H35" s="249" t="s">
        <v>48</v>
      </c>
      <c r="I35" s="249" t="s">
        <v>49</v>
      </c>
      <c r="J35" s="249" t="s">
        <v>50</v>
      </c>
      <c r="K35" s="249" t="s">
        <v>51</v>
      </c>
      <c r="L35" s="249" t="s">
        <v>52</v>
      </c>
      <c r="M35" s="249" t="s">
        <v>53</v>
      </c>
      <c r="N35" s="249" t="s">
        <v>54</v>
      </c>
      <c r="O35" s="134"/>
      <c r="P35" s="134"/>
      <c r="Q35" s="134"/>
      <c r="R35" s="134"/>
      <c r="S35" s="134"/>
      <c r="T35" s="134"/>
      <c r="U35" s="134"/>
      <c r="V35" s="134"/>
      <c r="W35" s="134"/>
      <c r="X35" s="134"/>
      <c r="Y35" s="134"/>
      <c r="Z35" s="134"/>
    </row>
    <row r="36" spans="1:26" ht="14.25" customHeight="1">
      <c r="A36" s="170" t="s">
        <v>139</v>
      </c>
      <c r="B36" s="170" t="s">
        <v>121</v>
      </c>
      <c r="C36" s="251">
        <f>'Variance Analysis'!C12</f>
        <v>2870946.71</v>
      </c>
      <c r="D36" s="251">
        <f>'Variance Analysis'!D12</f>
        <v>2893964.8600000003</v>
      </c>
      <c r="E36" s="251">
        <f>'Variance Analysis'!E12</f>
        <v>4946553.25</v>
      </c>
      <c r="F36" s="251">
        <f>'Variance Analysis'!F12</f>
        <v>3649852.2800000003</v>
      </c>
      <c r="G36" s="251">
        <f>'Variance Analysis'!G12</f>
        <v>3390311.38</v>
      </c>
      <c r="H36" s="251">
        <f>'Variance Analysis'!H12</f>
        <v>3296135.35</v>
      </c>
      <c r="I36" s="251">
        <f>'Variance Analysis'!I12</f>
        <v>3371678.94</v>
      </c>
      <c r="J36" s="251">
        <f>'Variance Analysis'!J12</f>
        <v>3486089.18</v>
      </c>
      <c r="K36" s="251">
        <f>'Variance Analysis'!K12</f>
        <v>3420874.4299999997</v>
      </c>
      <c r="L36" s="251">
        <f>'Variance Analysis'!L12</f>
        <v>3482686.52</v>
      </c>
      <c r="M36" s="251">
        <f>'Variance Analysis'!M12</f>
        <v>3359577.0700000003</v>
      </c>
      <c r="N36" s="251">
        <f>'Variance Analysis'!N12</f>
        <v>3881716.73</v>
      </c>
    </row>
    <row r="37" spans="1:26" ht="14.25" customHeight="1">
      <c r="A37" s="170" t="s">
        <v>65</v>
      </c>
      <c r="B37" s="170" t="s">
        <v>121</v>
      </c>
      <c r="C37" s="251">
        <f>'Variance Analysis'!C10</f>
        <v>30000</v>
      </c>
      <c r="D37" s="251">
        <f>'Variance Analysis'!D10</f>
        <v>30000</v>
      </c>
      <c r="E37" s="251">
        <f>'Variance Analysis'!E10</f>
        <v>30000</v>
      </c>
      <c r="F37" s="251">
        <f>'Variance Analysis'!F10</f>
        <v>30000</v>
      </c>
      <c r="G37" s="251">
        <f>'Variance Analysis'!G10</f>
        <v>30000</v>
      </c>
      <c r="H37" s="251">
        <f>'Variance Analysis'!H10</f>
        <v>30000</v>
      </c>
      <c r="I37" s="251">
        <f>'Variance Analysis'!I10</f>
        <v>30000</v>
      </c>
      <c r="J37" s="251">
        <f>'Variance Analysis'!J10</f>
        <v>30000</v>
      </c>
      <c r="K37" s="251">
        <f>'Variance Analysis'!K10</f>
        <v>30000</v>
      </c>
      <c r="L37" s="251">
        <f>'Variance Analysis'!L10</f>
        <v>30000</v>
      </c>
      <c r="M37" s="251">
        <f>'Variance Analysis'!M10</f>
        <v>30000</v>
      </c>
      <c r="N37" s="251">
        <f>'Variance Analysis'!N10</f>
        <v>30000</v>
      </c>
    </row>
    <row r="38" spans="1:26" ht="14.25" customHeight="1">
      <c r="A38" s="170" t="s">
        <v>28</v>
      </c>
      <c r="B38" s="170" t="s">
        <v>121</v>
      </c>
      <c r="C38" s="251">
        <f>'Variance Analysis'!C11</f>
        <v>30000</v>
      </c>
      <c r="D38" s="251">
        <f>'Variance Analysis'!D11</f>
        <v>30000</v>
      </c>
      <c r="E38" s="251">
        <f>'Variance Analysis'!E11</f>
        <v>29923.74</v>
      </c>
      <c r="F38" s="251">
        <f>'Variance Analysis'!F11</f>
        <v>30000</v>
      </c>
      <c r="G38" s="251">
        <f>'Variance Analysis'!G11</f>
        <v>30000</v>
      </c>
      <c r="H38" s="251">
        <f>'Variance Analysis'!H11</f>
        <v>30000</v>
      </c>
      <c r="I38" s="251">
        <f>'Variance Analysis'!I11</f>
        <v>30000</v>
      </c>
      <c r="J38" s="251">
        <f>'Variance Analysis'!J11</f>
        <v>30000</v>
      </c>
      <c r="K38" s="251">
        <f>'Variance Analysis'!K11</f>
        <v>30000</v>
      </c>
      <c r="L38" s="251">
        <f>'Variance Analysis'!L11</f>
        <v>30000</v>
      </c>
      <c r="M38" s="251">
        <f>'Variance Analysis'!M11</f>
        <v>30000</v>
      </c>
      <c r="N38" s="251">
        <f>'Variance Analysis'!N11</f>
        <v>30000</v>
      </c>
    </row>
    <row r="39" spans="1:26" ht="14.25" customHeight="1" thickBot="1">
      <c r="A39" s="170" t="s">
        <v>56</v>
      </c>
      <c r="B39" s="170" t="s">
        <v>121</v>
      </c>
      <c r="C39" s="251">
        <f>'Variance Analysis'!C9</f>
        <v>-8213375.7000000002</v>
      </c>
      <c r="D39" s="251">
        <f>'Variance Analysis'!D9</f>
        <v>-5968279.7000000002</v>
      </c>
      <c r="E39" s="251">
        <f>'Variance Analysis'!E9</f>
        <v>-5943759.7000000002</v>
      </c>
      <c r="F39" s="251">
        <f>'Variance Analysis'!F9</f>
        <v>-4405551.2300000004</v>
      </c>
      <c r="G39" s="251">
        <f>'Variance Analysis'!G9</f>
        <v>-7250656.2300000004</v>
      </c>
      <c r="H39" s="251">
        <f>'Variance Analysis'!H9</f>
        <v>-8001217.2300000004</v>
      </c>
      <c r="I39" s="251">
        <f>'Variance Analysis'!I9</f>
        <v>-10464692.23</v>
      </c>
      <c r="J39" s="251">
        <f>'Variance Analysis'!J9</f>
        <v>-9728864.2300000004</v>
      </c>
      <c r="K39" s="251">
        <f>'Variance Analysis'!K9</f>
        <v>-10439474.23</v>
      </c>
      <c r="L39" s="251">
        <f>'Variance Analysis'!L9</f>
        <v>-8093996.2300000004</v>
      </c>
      <c r="M39" s="251">
        <f>'Variance Analysis'!M9</f>
        <v>-7467847.2300000004</v>
      </c>
      <c r="N39" s="251">
        <f>'Variance Analysis'!N9</f>
        <v>-8015833.2300000004</v>
      </c>
    </row>
    <row r="40" spans="1:26" ht="14.25" customHeight="1" thickTop="1" thickBot="1">
      <c r="A40" s="66" t="s">
        <v>32</v>
      </c>
      <c r="B40" s="67" t="s">
        <v>121</v>
      </c>
      <c r="C40" s="250">
        <f>ABS(C39)-SUM(C36:C38)</f>
        <v>5282428.99</v>
      </c>
      <c r="D40" s="250">
        <f t="shared" ref="D40:N40" si="4">ABS(D39)-SUM(D36:D38)</f>
        <v>3014314.84</v>
      </c>
      <c r="E40" s="250">
        <f t="shared" si="4"/>
        <v>937282.71</v>
      </c>
      <c r="F40" s="250">
        <f t="shared" si="4"/>
        <v>695698.95000000019</v>
      </c>
      <c r="G40" s="250">
        <f t="shared" si="4"/>
        <v>3800344.8500000006</v>
      </c>
      <c r="H40" s="250">
        <f t="shared" si="4"/>
        <v>4645081.8800000008</v>
      </c>
      <c r="I40" s="250">
        <f t="shared" si="4"/>
        <v>7033013.290000001</v>
      </c>
      <c r="J40" s="250">
        <f t="shared" si="4"/>
        <v>6182775.0500000007</v>
      </c>
      <c r="K40" s="250">
        <f t="shared" si="4"/>
        <v>6958599.8000000007</v>
      </c>
      <c r="L40" s="250">
        <f t="shared" si="4"/>
        <v>4551309.7100000009</v>
      </c>
      <c r="M40" s="250">
        <f t="shared" si="4"/>
        <v>4048270.16</v>
      </c>
      <c r="N40" s="250">
        <f t="shared" si="4"/>
        <v>4074116.5000000005</v>
      </c>
    </row>
    <row r="41" spans="1:26" ht="14.25" customHeight="1">
      <c r="A41" s="1"/>
      <c r="B41" s="3"/>
      <c r="C41" s="78"/>
      <c r="D41" s="78"/>
      <c r="E41" s="78"/>
      <c r="F41" s="78"/>
      <c r="G41" s="78"/>
      <c r="H41" s="78"/>
      <c r="I41" s="78"/>
      <c r="J41" s="78"/>
      <c r="K41" s="78"/>
      <c r="L41" s="78"/>
      <c r="M41" s="78"/>
      <c r="N41" s="78"/>
    </row>
    <row r="42" spans="1:26" ht="14.25" customHeight="1">
      <c r="A42" s="1"/>
      <c r="B42" s="3"/>
      <c r="C42" s="78"/>
      <c r="D42" s="78"/>
      <c r="E42" s="78"/>
      <c r="F42" s="78"/>
      <c r="G42" s="78"/>
      <c r="H42" s="78"/>
      <c r="I42" s="78"/>
      <c r="J42" s="78"/>
      <c r="K42" s="78"/>
      <c r="L42" s="78"/>
      <c r="M42" s="78"/>
      <c r="N42" s="78"/>
    </row>
    <row r="43" spans="1:26" ht="33" customHeight="1">
      <c r="A43" s="151" t="s">
        <v>142</v>
      </c>
      <c r="B43" s="131" t="s">
        <v>120</v>
      </c>
      <c r="C43" s="249" t="s">
        <v>43</v>
      </c>
      <c r="D43" s="249" t="s">
        <v>44</v>
      </c>
      <c r="E43" s="249" t="s">
        <v>45</v>
      </c>
      <c r="F43" s="249" t="s">
        <v>46</v>
      </c>
      <c r="G43" s="249" t="s">
        <v>47</v>
      </c>
      <c r="H43" s="249" t="s">
        <v>48</v>
      </c>
      <c r="I43" s="249" t="s">
        <v>49</v>
      </c>
      <c r="J43" s="249" t="s">
        <v>50</v>
      </c>
      <c r="K43" s="249" t="s">
        <v>51</v>
      </c>
      <c r="L43" s="249" t="s">
        <v>52</v>
      </c>
      <c r="M43" s="249" t="s">
        <v>53</v>
      </c>
      <c r="N43" s="249" t="s">
        <v>54</v>
      </c>
      <c r="O43" s="134"/>
      <c r="P43" s="134"/>
      <c r="Q43" s="134"/>
      <c r="R43" s="134"/>
      <c r="S43" s="134"/>
      <c r="T43" s="134"/>
      <c r="U43" s="134"/>
      <c r="V43" s="134"/>
      <c r="W43" s="134"/>
      <c r="X43" s="134"/>
      <c r="Y43" s="134"/>
      <c r="Z43" s="134"/>
    </row>
    <row r="44" spans="1:26" ht="14.25" customHeight="1">
      <c r="A44" s="170" t="s">
        <v>139</v>
      </c>
      <c r="B44" s="170" t="s">
        <v>121</v>
      </c>
      <c r="C44" s="251">
        <f>'Variance Analysis'!C16</f>
        <v>10156042.75</v>
      </c>
      <c r="D44" s="251">
        <f>'Variance Analysis'!D16</f>
        <v>10507931.76</v>
      </c>
      <c r="E44" s="251">
        <f>'Variance Analysis'!E16</f>
        <v>14876453.26</v>
      </c>
      <c r="F44" s="251">
        <f>'Variance Analysis'!F16</f>
        <v>17913936.32</v>
      </c>
      <c r="G44" s="251">
        <f>'Variance Analysis'!G16</f>
        <v>16602328.669999998</v>
      </c>
      <c r="H44" s="251">
        <f>'Variance Analysis'!H16</f>
        <v>11716587.91</v>
      </c>
      <c r="I44" s="251">
        <f>'Variance Analysis'!I16</f>
        <v>8737662.6500000004</v>
      </c>
      <c r="J44" s="251">
        <f>'Variance Analysis'!J16</f>
        <v>8769854.0099999998</v>
      </c>
      <c r="K44" s="251">
        <f>'Variance Analysis'!K16</f>
        <v>10564946.010000002</v>
      </c>
      <c r="L44" s="251">
        <f>'Variance Analysis'!L16</f>
        <v>10222269.529999999</v>
      </c>
      <c r="M44" s="251">
        <f>'Variance Analysis'!M16</f>
        <v>10608268.550000001</v>
      </c>
      <c r="N44" s="251">
        <f>'Variance Analysis'!N16</f>
        <v>12229507.550000001</v>
      </c>
    </row>
    <row r="45" spans="1:26" ht="14.25" customHeight="1">
      <c r="A45" s="170" t="s">
        <v>65</v>
      </c>
      <c r="B45" s="170" t="s">
        <v>121</v>
      </c>
      <c r="C45" s="251">
        <f>'Variance Analysis'!C14</f>
        <v>169981</v>
      </c>
      <c r="D45" s="251">
        <f>'Variance Analysis'!D14</f>
        <v>169981</v>
      </c>
      <c r="E45" s="251">
        <f>'Variance Analysis'!E14</f>
        <v>169981</v>
      </c>
      <c r="F45" s="251">
        <f>'Variance Analysis'!F14</f>
        <v>166888</v>
      </c>
      <c r="G45" s="251">
        <f>'Variance Analysis'!G14</f>
        <v>166888</v>
      </c>
      <c r="H45" s="251">
        <f>'Variance Analysis'!H14</f>
        <v>392677</v>
      </c>
      <c r="I45" s="251">
        <f>'Variance Analysis'!I14</f>
        <v>392677</v>
      </c>
      <c r="J45" s="251">
        <f>'Variance Analysis'!J14</f>
        <v>608648</v>
      </c>
      <c r="K45" s="251">
        <f>'Variance Analysis'!K14</f>
        <v>608648</v>
      </c>
      <c r="L45" s="251">
        <f>'Variance Analysis'!L14</f>
        <v>166888</v>
      </c>
      <c r="M45" s="251">
        <f>'Variance Analysis'!M14</f>
        <v>166888</v>
      </c>
      <c r="N45" s="251">
        <f>'Variance Analysis'!N14</f>
        <v>166888</v>
      </c>
    </row>
    <row r="46" spans="1:26" ht="14.25" customHeight="1">
      <c r="A46" s="170" t="s">
        <v>28</v>
      </c>
      <c r="B46" s="170" t="s">
        <v>121</v>
      </c>
      <c r="C46" s="251">
        <f>'Variance Analysis'!C15</f>
        <v>479062.54</v>
      </c>
      <c r="D46" s="251">
        <f>'Variance Analysis'!D15</f>
        <v>479062.54</v>
      </c>
      <c r="E46" s="251">
        <f>'Variance Analysis'!E15</f>
        <v>479062.54</v>
      </c>
      <c r="F46" s="251">
        <f>'Variance Analysis'!F15</f>
        <v>479062.54</v>
      </c>
      <c r="G46" s="251">
        <f>'Variance Analysis'!G15</f>
        <v>479062.54</v>
      </c>
      <c r="H46" s="251">
        <f>'Variance Analysis'!H15</f>
        <v>479062.54</v>
      </c>
      <c r="I46" s="251">
        <f>'Variance Analysis'!I15</f>
        <v>479062.54</v>
      </c>
      <c r="J46" s="251">
        <f>'Variance Analysis'!J15</f>
        <v>479062.54</v>
      </c>
      <c r="K46" s="251">
        <f>'Variance Analysis'!K15</f>
        <v>479062.54</v>
      </c>
      <c r="L46" s="251">
        <f>'Variance Analysis'!L15</f>
        <v>479062.54</v>
      </c>
      <c r="M46" s="251">
        <f>'Variance Analysis'!M15</f>
        <v>479062.54</v>
      </c>
      <c r="N46" s="251">
        <f>'Variance Analysis'!N15</f>
        <v>479062.54</v>
      </c>
    </row>
    <row r="47" spans="1:26" ht="14.25" customHeight="1" thickBot="1">
      <c r="A47" s="170" t="s">
        <v>56</v>
      </c>
      <c r="B47" s="170" t="s">
        <v>121</v>
      </c>
      <c r="C47" s="251">
        <f>'Variance Analysis'!C13</f>
        <v>-16539850.560000001</v>
      </c>
      <c r="D47" s="251">
        <f>'Variance Analysis'!D13</f>
        <v>14936115.32</v>
      </c>
      <c r="E47" s="251">
        <f>'Variance Analysis'!E13</f>
        <v>14911829.35</v>
      </c>
      <c r="F47" s="251">
        <f>'Variance Analysis'!F13</f>
        <v>12812490.02</v>
      </c>
      <c r="G47" s="251">
        <f>'Variance Analysis'!G13</f>
        <v>13725254.119999999</v>
      </c>
      <c r="H47" s="251">
        <f>'Variance Analysis'!H13</f>
        <v>12969085.51</v>
      </c>
      <c r="I47" s="251">
        <f>'Variance Analysis'!I13</f>
        <v>17691646.970000003</v>
      </c>
      <c r="J47" s="251">
        <f>'Variance Analysis'!J13</f>
        <v>16929153.190000001</v>
      </c>
      <c r="K47" s="251">
        <f>'Variance Analysis'!K13</f>
        <v>15974433.369999999</v>
      </c>
      <c r="L47" s="251">
        <f>'Variance Analysis'!L13</f>
        <v>19039986.690000001</v>
      </c>
      <c r="M47" s="251">
        <f>'Variance Analysis'!M13</f>
        <v>17082544.41</v>
      </c>
      <c r="N47" s="251">
        <f>'Variance Analysis'!N13</f>
        <v>18945397.850000001</v>
      </c>
    </row>
    <row r="48" spans="1:26" ht="14.25" customHeight="1" thickTop="1" thickBot="1">
      <c r="A48" s="66" t="s">
        <v>32</v>
      </c>
      <c r="B48" s="67" t="s">
        <v>121</v>
      </c>
      <c r="C48" s="250">
        <f>ABS(C47)-SUM(C44:C46)</f>
        <v>5734764.2700000014</v>
      </c>
      <c r="D48" s="250">
        <f t="shared" ref="D48:N48" si="5">ABS(D47)-SUM(D44:D46)</f>
        <v>3779140.0200000014</v>
      </c>
      <c r="E48" s="250">
        <f>ABS(E47)-SUM(E44:E46)</f>
        <v>-613667.44999999925</v>
      </c>
      <c r="F48" s="250">
        <f t="shared" si="5"/>
        <v>-5747396.8399999999</v>
      </c>
      <c r="G48" s="250">
        <f t="shared" si="5"/>
        <v>-3523025.089999998</v>
      </c>
      <c r="H48" s="250">
        <f t="shared" si="5"/>
        <v>380758.06000000052</v>
      </c>
      <c r="I48" s="250">
        <f t="shared" si="5"/>
        <v>8082244.7800000031</v>
      </c>
      <c r="J48" s="250">
        <f t="shared" si="5"/>
        <v>7071588.6400000025</v>
      </c>
      <c r="K48" s="250">
        <f t="shared" si="5"/>
        <v>4321776.8199999984</v>
      </c>
      <c r="L48" s="250">
        <f t="shared" si="5"/>
        <v>8171766.6200000029</v>
      </c>
      <c r="M48" s="250">
        <f t="shared" si="5"/>
        <v>5828325.3200000003</v>
      </c>
      <c r="N48" s="250">
        <f t="shared" si="5"/>
        <v>6069939.7600000016</v>
      </c>
    </row>
    <row r="49" spans="1:26" ht="14.25" customHeight="1">
      <c r="A49" s="1"/>
      <c r="B49" s="3"/>
      <c r="C49" s="78"/>
      <c r="D49" s="78"/>
      <c r="E49" s="78"/>
      <c r="F49" s="78"/>
      <c r="G49" s="78"/>
      <c r="H49" s="78"/>
      <c r="I49" s="78"/>
      <c r="J49" s="78"/>
      <c r="K49" s="78"/>
      <c r="L49" s="78"/>
      <c r="M49" s="78"/>
      <c r="N49" s="78"/>
    </row>
    <row r="50" spans="1:26" ht="14.25" customHeight="1">
      <c r="A50" s="1"/>
      <c r="B50" s="3"/>
      <c r="C50" s="78"/>
      <c r="D50" s="78"/>
      <c r="E50" s="78"/>
      <c r="F50" s="78"/>
      <c r="G50" s="78"/>
      <c r="H50" s="78"/>
      <c r="I50" s="78"/>
      <c r="J50" s="78"/>
      <c r="K50" s="78"/>
      <c r="L50" s="78"/>
      <c r="M50" s="78"/>
      <c r="N50" s="78"/>
    </row>
    <row r="51" spans="1:26" ht="33" customHeight="1">
      <c r="A51" s="151" t="s">
        <v>143</v>
      </c>
      <c r="B51" s="131" t="s">
        <v>120</v>
      </c>
      <c r="C51" s="249" t="s">
        <v>43</v>
      </c>
      <c r="D51" s="249" t="s">
        <v>44</v>
      </c>
      <c r="E51" s="249" t="s">
        <v>45</v>
      </c>
      <c r="F51" s="249" t="s">
        <v>46</v>
      </c>
      <c r="G51" s="249" t="s">
        <v>47</v>
      </c>
      <c r="H51" s="249" t="s">
        <v>48</v>
      </c>
      <c r="I51" s="249" t="s">
        <v>49</v>
      </c>
      <c r="J51" s="249" t="s">
        <v>50</v>
      </c>
      <c r="K51" s="249" t="s">
        <v>51</v>
      </c>
      <c r="L51" s="249" t="s">
        <v>52</v>
      </c>
      <c r="M51" s="249" t="s">
        <v>53</v>
      </c>
      <c r="N51" s="249" t="s">
        <v>54</v>
      </c>
      <c r="O51" s="134"/>
      <c r="P51" s="134"/>
      <c r="Q51" s="134"/>
      <c r="R51" s="134"/>
      <c r="S51" s="134"/>
      <c r="T51" s="134"/>
      <c r="U51" s="134"/>
      <c r="V51" s="134"/>
      <c r="W51" s="134"/>
      <c r="X51" s="134"/>
      <c r="Y51" s="134"/>
      <c r="Z51" s="134"/>
    </row>
    <row r="52" spans="1:26" ht="14.25" customHeight="1">
      <c r="A52" s="170" t="s">
        <v>139</v>
      </c>
      <c r="B52" s="170" t="s">
        <v>121</v>
      </c>
      <c r="C52" s="251">
        <f>'Variance Analysis'!C20</f>
        <v>5306245.1399999997</v>
      </c>
      <c r="D52" s="251">
        <f>'Variance Analysis'!D20</f>
        <v>4773912.8199999994</v>
      </c>
      <c r="E52" s="251">
        <f>'Variance Analysis'!E20</f>
        <v>4697833.7299999995</v>
      </c>
      <c r="F52" s="251">
        <f>'Variance Analysis'!F20</f>
        <v>2982712.6999999997</v>
      </c>
      <c r="G52" s="251">
        <f>'Variance Analysis'!G20</f>
        <v>6311780.6000000006</v>
      </c>
      <c r="H52" s="251">
        <f>'Variance Analysis'!H20</f>
        <v>2025499.16</v>
      </c>
      <c r="I52" s="251">
        <f>'Variance Analysis'!I20</f>
        <v>3457616.66</v>
      </c>
      <c r="J52" s="251">
        <f>'Variance Analysis'!J20</f>
        <v>2884003.88</v>
      </c>
      <c r="K52" s="251">
        <f>'Variance Analysis'!K20</f>
        <v>2408511.39</v>
      </c>
      <c r="L52" s="251">
        <f>'Variance Analysis'!L20</f>
        <v>4555248.4799999995</v>
      </c>
      <c r="M52" s="251">
        <f>'Variance Analysis'!M20</f>
        <v>4548727.24</v>
      </c>
      <c r="N52" s="251">
        <f>'Variance Analysis'!N20</f>
        <v>4544356.8599999994</v>
      </c>
    </row>
    <row r="53" spans="1:26" ht="14.25" customHeight="1">
      <c r="A53" s="170" t="s">
        <v>65</v>
      </c>
      <c r="B53" s="170" t="s">
        <v>121</v>
      </c>
      <c r="C53" s="251">
        <f>'Variance Analysis'!C18</f>
        <v>150914</v>
      </c>
      <c r="D53" s="251">
        <f>'Variance Analysis'!D18</f>
        <v>150914</v>
      </c>
      <c r="E53" s="251">
        <f>'Variance Analysis'!E18</f>
        <v>150914</v>
      </c>
      <c r="F53" s="251">
        <f>'Variance Analysis'!F18</f>
        <v>145582</v>
      </c>
      <c r="G53" s="251">
        <f>'Variance Analysis'!G18</f>
        <v>145582</v>
      </c>
      <c r="H53" s="251">
        <f>'Variance Analysis'!H18</f>
        <v>341130</v>
      </c>
      <c r="I53" s="251">
        <f>'Variance Analysis'!I18</f>
        <v>341130</v>
      </c>
      <c r="J53" s="251">
        <f>'Variance Analysis'!J18</f>
        <v>528180</v>
      </c>
      <c r="K53" s="251">
        <f>'Variance Analysis'!K18</f>
        <v>528180</v>
      </c>
      <c r="L53" s="251">
        <f>'Variance Analysis'!L18</f>
        <v>145582</v>
      </c>
      <c r="M53" s="251">
        <f>'Variance Analysis'!M18</f>
        <v>145582</v>
      </c>
      <c r="N53" s="251">
        <f>'Variance Analysis'!N18</f>
        <v>145582</v>
      </c>
    </row>
    <row r="54" spans="1:26" ht="14.25" customHeight="1">
      <c r="A54" s="170" t="s">
        <v>28</v>
      </c>
      <c r="B54" s="170" t="s">
        <v>121</v>
      </c>
      <c r="C54" s="251">
        <f>'Variance Analysis'!C19</f>
        <v>4850</v>
      </c>
      <c r="D54" s="251">
        <f>'Variance Analysis'!D19</f>
        <v>9600</v>
      </c>
      <c r="E54" s="251">
        <f>'Variance Analysis'!E19</f>
        <v>4850</v>
      </c>
      <c r="F54" s="251">
        <f>'Variance Analysis'!F19</f>
        <v>4850</v>
      </c>
      <c r="G54" s="251">
        <f>'Variance Analysis'!G19</f>
        <v>4850</v>
      </c>
      <c r="H54" s="251">
        <f>'Variance Analysis'!H19</f>
        <v>4850</v>
      </c>
      <c r="I54" s="251">
        <f>'Variance Analysis'!I19</f>
        <v>4850</v>
      </c>
      <c r="J54" s="251">
        <f>'Variance Analysis'!J19</f>
        <v>9600</v>
      </c>
      <c r="K54" s="251">
        <f>'Variance Analysis'!K19</f>
        <v>4850</v>
      </c>
      <c r="L54" s="251">
        <f>'Variance Analysis'!L19</f>
        <v>4850</v>
      </c>
      <c r="M54" s="251">
        <f>'Variance Analysis'!M19</f>
        <v>4850</v>
      </c>
      <c r="N54" s="251">
        <f>'Variance Analysis'!N19</f>
        <v>4850</v>
      </c>
    </row>
    <row r="55" spans="1:26" ht="14.25" customHeight="1" thickBot="1">
      <c r="A55" s="170" t="s">
        <v>56</v>
      </c>
      <c r="B55" s="170" t="s">
        <v>121</v>
      </c>
      <c r="C55" s="251">
        <f>'Variance Analysis'!C17</f>
        <v>-17486457.32</v>
      </c>
      <c r="D55" s="251">
        <f>'Variance Analysis'!D17</f>
        <v>-17080683.32</v>
      </c>
      <c r="E55" s="251">
        <f>'Variance Analysis'!E17</f>
        <v>-18779074.32</v>
      </c>
      <c r="F55" s="251">
        <f>'Variance Analysis'!F17</f>
        <v>-16393725.940000001</v>
      </c>
      <c r="G55" s="251">
        <f>'Variance Analysis'!G17</f>
        <v>-18198123.939999998</v>
      </c>
      <c r="H55" s="251">
        <f>'Variance Analysis'!H17</f>
        <v>-18745041.939999998</v>
      </c>
      <c r="I55" s="251">
        <f>'Variance Analysis'!I17</f>
        <v>-20438972.939999998</v>
      </c>
      <c r="J55" s="251">
        <f>'Variance Analysis'!J17</f>
        <v>-19896925.939999998</v>
      </c>
      <c r="K55" s="251">
        <f>'Variance Analysis'!K17</f>
        <v>-20741539.48</v>
      </c>
      <c r="L55" s="251">
        <f>'Variance Analysis'!L17</f>
        <v>-17125160.940000001</v>
      </c>
      <c r="M55" s="251">
        <f>'Variance Analysis'!M17</f>
        <v>-18572607.939999998</v>
      </c>
      <c r="N55" s="251">
        <f>'Variance Analysis'!N17</f>
        <v>-19240921.939999998</v>
      </c>
    </row>
    <row r="56" spans="1:26" ht="14.25" customHeight="1" thickTop="1" thickBot="1">
      <c r="A56" s="66" t="s">
        <v>32</v>
      </c>
      <c r="B56" s="67" t="s">
        <v>121</v>
      </c>
      <c r="C56" s="250">
        <f>ABS(C55)-SUM(C52:C54)</f>
        <v>12024448.18</v>
      </c>
      <c r="D56" s="250">
        <f t="shared" ref="D56:N56" si="6">ABS(D55)-SUM(D52:D54)</f>
        <v>12146256.5</v>
      </c>
      <c r="E56" s="250">
        <f t="shared" si="6"/>
        <v>13925476.59</v>
      </c>
      <c r="F56" s="250">
        <f t="shared" si="6"/>
        <v>13260581.240000002</v>
      </c>
      <c r="G56" s="250">
        <f t="shared" si="6"/>
        <v>11735911.339999996</v>
      </c>
      <c r="H56" s="250">
        <f t="shared" si="6"/>
        <v>16373562.779999997</v>
      </c>
      <c r="I56" s="250">
        <f t="shared" si="6"/>
        <v>16635376.279999997</v>
      </c>
      <c r="J56" s="250">
        <f t="shared" si="6"/>
        <v>16475142.059999999</v>
      </c>
      <c r="K56" s="250">
        <f t="shared" si="6"/>
        <v>17799998.09</v>
      </c>
      <c r="L56" s="250">
        <f t="shared" si="6"/>
        <v>12419480.460000001</v>
      </c>
      <c r="M56" s="250">
        <f t="shared" si="6"/>
        <v>13873448.699999997</v>
      </c>
      <c r="N56" s="250">
        <f t="shared" si="6"/>
        <v>14546133.079999998</v>
      </c>
    </row>
    <row r="57" spans="1:26" ht="14.25" customHeight="1">
      <c r="A57" s="1"/>
      <c r="B57" s="3"/>
      <c r="C57" s="78"/>
      <c r="D57" s="78"/>
      <c r="E57" s="78"/>
      <c r="F57" s="78"/>
      <c r="G57" s="78"/>
      <c r="H57" s="78"/>
      <c r="I57" s="78"/>
      <c r="J57" s="78"/>
      <c r="K57" s="78"/>
      <c r="L57" s="78"/>
      <c r="M57" s="78"/>
      <c r="N57" s="78"/>
    </row>
    <row r="58" spans="1:26" ht="33" customHeight="1">
      <c r="A58" s="151" t="s">
        <v>144</v>
      </c>
      <c r="B58" s="131" t="s">
        <v>120</v>
      </c>
      <c r="C58" s="249" t="s">
        <v>43</v>
      </c>
      <c r="D58" s="249" t="s">
        <v>44</v>
      </c>
      <c r="E58" s="249" t="s">
        <v>45</v>
      </c>
      <c r="F58" s="249" t="s">
        <v>46</v>
      </c>
      <c r="G58" s="249" t="s">
        <v>47</v>
      </c>
      <c r="H58" s="249" t="s">
        <v>48</v>
      </c>
      <c r="I58" s="249" t="s">
        <v>49</v>
      </c>
      <c r="J58" s="249" t="s">
        <v>50</v>
      </c>
      <c r="K58" s="249" t="s">
        <v>51</v>
      </c>
      <c r="L58" s="249" t="s">
        <v>52</v>
      </c>
      <c r="M58" s="249" t="s">
        <v>53</v>
      </c>
      <c r="N58" s="249" t="s">
        <v>54</v>
      </c>
      <c r="O58" s="134"/>
      <c r="P58" s="134"/>
      <c r="Q58" s="134"/>
      <c r="R58" s="134"/>
      <c r="S58" s="134"/>
      <c r="T58" s="134"/>
      <c r="U58" s="134"/>
      <c r="V58" s="134"/>
      <c r="W58" s="134"/>
      <c r="X58" s="134"/>
      <c r="Y58" s="134"/>
      <c r="Z58" s="134"/>
    </row>
    <row r="59" spans="1:26" ht="14.25" customHeight="1">
      <c r="A59" s="170" t="s">
        <v>139</v>
      </c>
      <c r="B59" s="170" t="s">
        <v>121</v>
      </c>
      <c r="C59" s="251">
        <f>'Variance Analysis'!C24</f>
        <v>18333234.599999998</v>
      </c>
      <c r="D59" s="251">
        <f>'Variance Analysis'!D24</f>
        <v>18175809.440000001</v>
      </c>
      <c r="E59" s="251">
        <f>'Variance Analysis'!E24</f>
        <v>24520840.240000002</v>
      </c>
      <c r="F59" s="251">
        <f>'Variance Analysis'!F24</f>
        <v>24546501.299999997</v>
      </c>
      <c r="G59" s="251">
        <f>'Variance Analysis'!G24</f>
        <v>26304420.650000002</v>
      </c>
      <c r="H59" s="251">
        <f>'Variance Analysis'!H24</f>
        <v>17038222.419999998</v>
      </c>
      <c r="I59" s="251">
        <f>'Variance Analysis'!I24</f>
        <v>15566958.25</v>
      </c>
      <c r="J59" s="251">
        <f>'Variance Analysis'!J24</f>
        <v>15139947.07</v>
      </c>
      <c r="K59" s="251">
        <f>'Variance Analysis'!K24</f>
        <v>16394331.83</v>
      </c>
      <c r="L59" s="251">
        <f>'Variance Analysis'!L24</f>
        <v>18260204.530000001</v>
      </c>
      <c r="M59" s="251">
        <f>'Variance Analysis'!M24</f>
        <v>18516572.860000003</v>
      </c>
      <c r="N59" s="251">
        <f>'Variance Analysis'!N24</f>
        <v>20655581.139999997</v>
      </c>
      <c r="O59" s="268"/>
    </row>
    <row r="60" spans="1:26" ht="14.25" customHeight="1">
      <c r="A60" s="170" t="s">
        <v>65</v>
      </c>
      <c r="B60" s="170" t="s">
        <v>121</v>
      </c>
      <c r="C60" s="251">
        <f>'Variance Analysis'!C22</f>
        <v>350895</v>
      </c>
      <c r="D60" s="251">
        <f>'Variance Analysis'!D22</f>
        <v>350895</v>
      </c>
      <c r="E60" s="251">
        <f>'Variance Analysis'!E22</f>
        <v>350895</v>
      </c>
      <c r="F60" s="251">
        <f>'Variance Analysis'!F22</f>
        <v>342470</v>
      </c>
      <c r="G60" s="251">
        <f>'Variance Analysis'!G22</f>
        <v>342470</v>
      </c>
      <c r="H60" s="251">
        <f>'Variance Analysis'!H22</f>
        <v>763807</v>
      </c>
      <c r="I60" s="251">
        <f>'Variance Analysis'!I22</f>
        <v>763807</v>
      </c>
      <c r="J60" s="251">
        <f>'Variance Analysis'!J22</f>
        <v>1166828</v>
      </c>
      <c r="K60" s="251">
        <f>'Variance Analysis'!K22</f>
        <v>1166828</v>
      </c>
      <c r="L60" s="251">
        <f>'Variance Analysis'!L22</f>
        <v>342470</v>
      </c>
      <c r="M60" s="251">
        <f>'Variance Analysis'!M22</f>
        <v>342470</v>
      </c>
      <c r="N60" s="251">
        <f>'Variance Analysis'!N22</f>
        <v>342470</v>
      </c>
      <c r="O60" s="268"/>
      <c r="P60" s="266"/>
      <c r="Q60" s="266"/>
    </row>
    <row r="61" spans="1:26" ht="14.25" customHeight="1">
      <c r="A61" s="170" t="s">
        <v>28</v>
      </c>
      <c r="B61" s="170" t="s">
        <v>121</v>
      </c>
      <c r="C61" s="251">
        <f>'Variance Analysis'!C23</f>
        <v>513912.54</v>
      </c>
      <c r="D61" s="251">
        <f>'Variance Analysis'!D23</f>
        <v>518662.54</v>
      </c>
      <c r="E61" s="251">
        <f>'Variance Analysis'!E23</f>
        <v>513836.27999999997</v>
      </c>
      <c r="F61" s="251">
        <f>'Variance Analysis'!F23</f>
        <v>513912.54</v>
      </c>
      <c r="G61" s="251">
        <f>'Variance Analysis'!G23</f>
        <v>513912.54</v>
      </c>
      <c r="H61" s="251">
        <f>'Variance Analysis'!H23</f>
        <v>513912.54</v>
      </c>
      <c r="I61" s="251">
        <f>'Variance Analysis'!I23</f>
        <v>513912.54</v>
      </c>
      <c r="J61" s="251">
        <f>'Variance Analysis'!J23</f>
        <v>518662.54</v>
      </c>
      <c r="K61" s="251">
        <f>'Variance Analysis'!K23</f>
        <v>513912.54</v>
      </c>
      <c r="L61" s="251">
        <f>'Variance Analysis'!L23</f>
        <v>513912.54</v>
      </c>
      <c r="M61" s="251">
        <f>'Variance Analysis'!M23</f>
        <v>513912.54</v>
      </c>
      <c r="N61" s="251">
        <f>'Variance Analysis'!N23</f>
        <v>513912.54</v>
      </c>
      <c r="O61" s="268"/>
      <c r="P61" s="268"/>
      <c r="Q61" s="266"/>
    </row>
    <row r="62" spans="1:26" ht="14.25" customHeight="1" thickBot="1">
      <c r="A62" s="170" t="s">
        <v>56</v>
      </c>
      <c r="B62" s="170" t="s">
        <v>121</v>
      </c>
      <c r="C62" s="251">
        <f>'Variance Analysis'!C21</f>
        <v>-42239683.579999998</v>
      </c>
      <c r="D62" s="251">
        <f>'Variance Analysis'!D21</f>
        <v>-37985078.340000004</v>
      </c>
      <c r="E62" s="251">
        <f>'Variance Analysis'!E21</f>
        <v>-39634663.370000005</v>
      </c>
      <c r="F62" s="251">
        <f>'Variance Analysis'!F21</f>
        <v>-33611767.189999998</v>
      </c>
      <c r="G62" s="251">
        <f>'Variance Analysis'!G21</f>
        <v>-39174034.289999999</v>
      </c>
      <c r="H62" s="251">
        <f>'Variance Analysis'!H21</f>
        <v>-39715344.68</v>
      </c>
      <c r="I62" s="251">
        <f>'Variance Analysis'!I21</f>
        <v>-48595312.140000001</v>
      </c>
      <c r="J62" s="251">
        <f>'Variance Analysis'!J21</f>
        <v>-46554943.359999999</v>
      </c>
      <c r="K62" s="251">
        <f>'Variance Analysis'!K21</f>
        <v>-47155447.079999998</v>
      </c>
      <c r="L62" s="251">
        <f>'Variance Analysis'!L21</f>
        <v>-44259143.859999999</v>
      </c>
      <c r="M62" s="251">
        <f>'Variance Analysis'!M21</f>
        <v>-43122999.579999998</v>
      </c>
      <c r="N62" s="251">
        <f>'Variance Analysis'!N21</f>
        <v>-46202153.019999996</v>
      </c>
      <c r="O62" s="268"/>
      <c r="P62" s="266"/>
      <c r="Q62" s="266"/>
    </row>
    <row r="63" spans="1:26" ht="14.25" customHeight="1" thickTop="1" thickBot="1">
      <c r="A63" s="66" t="s">
        <v>32</v>
      </c>
      <c r="B63" s="67" t="s">
        <v>121</v>
      </c>
      <c r="C63" s="250">
        <f>ABS(C62)-SUM(C59:C61)</f>
        <v>23041641.440000001</v>
      </c>
      <c r="D63" s="250">
        <f t="shared" ref="D63:N63" si="7">ABS(D62)-SUM(D59:D61)</f>
        <v>18939711.360000003</v>
      </c>
      <c r="E63" s="250">
        <f t="shared" si="7"/>
        <v>14249091.850000001</v>
      </c>
      <c r="F63" s="250">
        <f t="shared" si="7"/>
        <v>8208883.3500000015</v>
      </c>
      <c r="G63" s="250">
        <f t="shared" si="7"/>
        <v>12013231.099999998</v>
      </c>
      <c r="H63" s="250">
        <f t="shared" si="7"/>
        <v>21399402.720000003</v>
      </c>
      <c r="I63" s="250">
        <f t="shared" si="7"/>
        <v>31750634.350000001</v>
      </c>
      <c r="J63" s="250">
        <f t="shared" si="7"/>
        <v>29729505.75</v>
      </c>
      <c r="K63" s="250">
        <f t="shared" si="7"/>
        <v>29080374.710000001</v>
      </c>
      <c r="L63" s="250">
        <f t="shared" si="7"/>
        <v>25142556.789999999</v>
      </c>
      <c r="M63" s="250">
        <f t="shared" si="7"/>
        <v>23750044.179999996</v>
      </c>
      <c r="N63" s="250">
        <f t="shared" si="7"/>
        <v>24690189.34</v>
      </c>
      <c r="Q63" s="266"/>
    </row>
    <row r="64" spans="1:26" ht="14.25" customHeight="1">
      <c r="A64" s="1"/>
      <c r="B64" s="3"/>
      <c r="C64" s="78"/>
      <c r="D64" s="78"/>
      <c r="E64" s="78"/>
      <c r="F64" s="78"/>
      <c r="G64" s="78"/>
      <c r="H64" s="78"/>
      <c r="I64" s="78"/>
      <c r="J64" s="78"/>
      <c r="K64" s="78"/>
      <c r="L64" s="78"/>
      <c r="M64" s="78"/>
      <c r="N64" s="78"/>
    </row>
    <row r="65" spans="1:26" ht="39.75" customHeight="1">
      <c r="A65" s="151" t="s">
        <v>146</v>
      </c>
      <c r="B65" s="150"/>
      <c r="C65" s="171"/>
      <c r="D65" s="171"/>
      <c r="E65" s="171"/>
      <c r="F65" s="171"/>
      <c r="G65" s="171"/>
      <c r="H65" s="171"/>
      <c r="I65" s="171"/>
      <c r="J65" s="171"/>
      <c r="K65" s="171"/>
      <c r="L65" s="171"/>
      <c r="M65" s="171"/>
      <c r="N65" s="171"/>
      <c r="O65" s="172"/>
      <c r="P65" s="172"/>
      <c r="Q65" s="172"/>
      <c r="R65" s="172"/>
      <c r="S65" s="172"/>
      <c r="T65" s="172"/>
      <c r="U65" s="172"/>
      <c r="V65" s="172"/>
      <c r="W65" s="172"/>
      <c r="X65" s="172"/>
      <c r="Y65" s="172"/>
      <c r="Z65" s="172"/>
    </row>
    <row r="66" spans="1:26" ht="14.25" customHeight="1">
      <c r="A66" s="1"/>
      <c r="B66" s="3"/>
      <c r="C66" s="78"/>
      <c r="D66" s="78"/>
      <c r="E66" s="78"/>
      <c r="F66" s="78"/>
      <c r="G66" s="78"/>
      <c r="H66" s="78"/>
      <c r="I66" s="78"/>
      <c r="J66" s="78"/>
      <c r="K66" s="78"/>
      <c r="L66" s="78"/>
      <c r="M66" s="78"/>
      <c r="N66" s="78"/>
    </row>
    <row r="67" spans="1:26" ht="14.25" customHeight="1">
      <c r="A67" s="1"/>
      <c r="B67" s="3"/>
      <c r="C67" s="78"/>
      <c r="D67" s="78"/>
      <c r="E67" s="78"/>
      <c r="F67" s="78"/>
      <c r="G67" s="78"/>
      <c r="H67" s="78"/>
      <c r="I67" s="78"/>
      <c r="J67" s="78"/>
      <c r="K67" s="78"/>
      <c r="L67" s="78"/>
      <c r="M67" s="78"/>
      <c r="N67" s="78"/>
    </row>
    <row r="68" spans="1:26" ht="14.25" customHeight="1">
      <c r="A68" s="1"/>
      <c r="B68" s="3"/>
      <c r="C68" s="78"/>
      <c r="D68" s="78"/>
      <c r="E68" s="78"/>
      <c r="F68" s="78"/>
      <c r="G68" s="78"/>
      <c r="H68" s="78"/>
      <c r="I68" s="78"/>
      <c r="J68" s="78"/>
      <c r="K68" s="78"/>
      <c r="L68" s="78"/>
      <c r="M68" s="78"/>
      <c r="N68" s="270"/>
    </row>
    <row r="69" spans="1:26" ht="14.25" customHeight="1">
      <c r="A69" s="1"/>
      <c r="B69" s="3"/>
      <c r="C69" s="78"/>
      <c r="D69" s="78"/>
      <c r="E69" s="78"/>
      <c r="F69" s="78"/>
      <c r="G69" s="78"/>
      <c r="H69" s="78"/>
      <c r="I69" s="78"/>
      <c r="J69" s="78"/>
      <c r="K69" s="78"/>
      <c r="L69" s="78"/>
      <c r="M69" s="78"/>
    </row>
    <row r="70" spans="1:26" ht="14.25" customHeight="1"/>
    <row r="71" spans="1:26" ht="14.25" customHeight="1">
      <c r="N71" s="270"/>
    </row>
    <row r="72" spans="1:26" ht="14.25" customHeight="1">
      <c r="N72" s="270"/>
      <c r="O72" s="269"/>
    </row>
    <row r="73" spans="1:26" ht="14.25" customHeight="1"/>
    <row r="74" spans="1:26" ht="14.25" customHeight="1"/>
    <row r="75" spans="1:26" ht="14.25" customHeight="1"/>
    <row r="76" spans="1:26" ht="14.25" customHeight="1"/>
    <row r="77" spans="1:26" ht="14.25" customHeight="1"/>
    <row r="78" spans="1:26" ht="14.25" customHeight="1"/>
    <row r="79" spans="1:26" ht="14.25" customHeight="1"/>
    <row r="80" spans="1:2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sheetData>
  <mergeCells count="1">
    <mergeCell ref="A1:T1"/>
  </mergeCells>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1"/>
  </sheetPr>
  <dimension ref="A1:Z1000"/>
  <sheetViews>
    <sheetView topLeftCell="H1" zoomScale="171" workbookViewId="0">
      <selection activeCell="B5" sqref="B5"/>
    </sheetView>
  </sheetViews>
  <sheetFormatPr baseColWidth="10" defaultColWidth="14.5" defaultRowHeight="15" customHeight="1"/>
  <cols>
    <col min="1" max="1" width="52" customWidth="1"/>
    <col min="2" max="13" width="16.5" customWidth="1"/>
    <col min="14" max="26" width="8.6640625" customWidth="1"/>
  </cols>
  <sheetData>
    <row r="1" spans="1:26" ht="14.25" customHeight="1">
      <c r="A1" s="131" t="s">
        <v>158</v>
      </c>
      <c r="B1" s="13" t="s">
        <v>43</v>
      </c>
      <c r="C1" s="13" t="s">
        <v>44</v>
      </c>
      <c r="D1" s="13" t="s">
        <v>45</v>
      </c>
      <c r="E1" s="13" t="s">
        <v>46</v>
      </c>
      <c r="F1" s="13" t="s">
        <v>47</v>
      </c>
      <c r="G1" s="13" t="s">
        <v>48</v>
      </c>
      <c r="H1" s="13" t="s">
        <v>49</v>
      </c>
      <c r="I1" s="13" t="s">
        <v>50</v>
      </c>
      <c r="J1" s="13" t="s">
        <v>51</v>
      </c>
      <c r="K1" s="13" t="s">
        <v>52</v>
      </c>
      <c r="L1" s="13" t="s">
        <v>53</v>
      </c>
      <c r="M1" s="13" t="s">
        <v>54</v>
      </c>
      <c r="N1" s="134"/>
      <c r="O1" s="134"/>
      <c r="P1" s="134"/>
      <c r="Q1" s="134"/>
      <c r="R1" s="134"/>
      <c r="S1" s="134"/>
      <c r="T1" s="134"/>
      <c r="U1" s="134"/>
      <c r="V1" s="134"/>
      <c r="W1" s="134"/>
      <c r="X1" s="134"/>
      <c r="Y1" s="134"/>
      <c r="Z1" s="134"/>
    </row>
    <row r="2" spans="1:26" ht="14.25" customHeight="1">
      <c r="A2" s="115" t="s">
        <v>55</v>
      </c>
      <c r="B2" s="117">
        <v>181.933291</v>
      </c>
      <c r="C2" s="118">
        <v>187.44394299999999</v>
      </c>
      <c r="D2" s="118">
        <v>184.77365699999999</v>
      </c>
      <c r="E2" s="118">
        <v>191.54109299999999</v>
      </c>
      <c r="F2" s="118">
        <v>98.096062000000003</v>
      </c>
      <c r="G2" s="118">
        <v>185.30685299999999</v>
      </c>
      <c r="H2" s="118">
        <v>186.90143900000001</v>
      </c>
      <c r="I2" s="118">
        <v>158.58676500000001</v>
      </c>
      <c r="J2" s="118">
        <v>191.40367599999999</v>
      </c>
      <c r="K2" s="118">
        <v>171.057864</v>
      </c>
      <c r="L2" s="118">
        <v>169.28699900000001</v>
      </c>
      <c r="M2" s="118">
        <v>142.50871699999999</v>
      </c>
    </row>
    <row r="3" spans="1:26" ht="14.25" customHeight="1">
      <c r="A3" s="115" t="s">
        <v>69</v>
      </c>
      <c r="B3" s="117">
        <v>214.968999</v>
      </c>
      <c r="C3" s="117">
        <v>228.199051</v>
      </c>
      <c r="D3" s="117">
        <v>216.53646700000002</v>
      </c>
      <c r="E3" s="117">
        <v>296.76027599999998</v>
      </c>
      <c r="F3" s="117">
        <v>232.052864</v>
      </c>
      <c r="G3" s="117">
        <v>250.21016</v>
      </c>
      <c r="H3" s="117">
        <v>268.160549</v>
      </c>
      <c r="I3" s="117">
        <v>306.884524</v>
      </c>
      <c r="J3" s="117">
        <v>367.65100600000005</v>
      </c>
      <c r="K3" s="117">
        <v>291.99016600000004</v>
      </c>
      <c r="L3" s="117">
        <v>301.18512999999996</v>
      </c>
      <c r="M3" s="117">
        <v>299.782893</v>
      </c>
    </row>
    <row r="4" spans="1:26" ht="14.25" customHeight="1">
      <c r="A4" s="115" t="s">
        <v>84</v>
      </c>
      <c r="B4" s="119">
        <v>250.24199099999998</v>
      </c>
      <c r="C4" s="120">
        <v>206.740703</v>
      </c>
      <c r="D4" s="120">
        <v>201.23546099999996</v>
      </c>
      <c r="E4" s="120">
        <v>174.36956599999999</v>
      </c>
      <c r="F4" s="120">
        <v>204.09105</v>
      </c>
      <c r="G4" s="120">
        <v>146.35666599999999</v>
      </c>
      <c r="H4" s="120">
        <v>204.20249700000002</v>
      </c>
      <c r="I4" s="120">
        <v>217.43019900000002</v>
      </c>
      <c r="J4" s="120">
        <v>161.81421700000007</v>
      </c>
      <c r="K4" s="120">
        <v>113.44113599999997</v>
      </c>
      <c r="L4" s="120">
        <v>115.407369</v>
      </c>
      <c r="M4" s="120">
        <v>140.38033399999998</v>
      </c>
    </row>
    <row r="5" spans="1:26" ht="14.25" customHeight="1">
      <c r="A5" s="121" t="s">
        <v>159</v>
      </c>
      <c r="B5" s="203">
        <f t="shared" ref="B5:M5" si="0">SUM(B2:B4)</f>
        <v>647.14428099999998</v>
      </c>
      <c r="C5" s="203">
        <f t="shared" si="0"/>
        <v>622.38369699999998</v>
      </c>
      <c r="D5" s="203">
        <f t="shared" si="0"/>
        <v>602.54558499999996</v>
      </c>
      <c r="E5" s="203">
        <f t="shared" si="0"/>
        <v>662.67093499999999</v>
      </c>
      <c r="F5" s="203">
        <f t="shared" si="0"/>
        <v>534.23997600000007</v>
      </c>
      <c r="G5" s="203">
        <f t="shared" si="0"/>
        <v>581.87367900000004</v>
      </c>
      <c r="H5" s="203">
        <f t="shared" si="0"/>
        <v>659.26448500000004</v>
      </c>
      <c r="I5" s="203">
        <f t="shared" si="0"/>
        <v>682.90148799999997</v>
      </c>
      <c r="J5" s="203">
        <f t="shared" si="0"/>
        <v>720.86889900000017</v>
      </c>
      <c r="K5" s="203">
        <f t="shared" si="0"/>
        <v>576.48916600000007</v>
      </c>
      <c r="L5" s="203">
        <f t="shared" si="0"/>
        <v>585.87949800000001</v>
      </c>
      <c r="M5" s="203">
        <f t="shared" si="0"/>
        <v>582.67194399999994</v>
      </c>
    </row>
    <row r="6" spans="1:26" ht="14.25" customHeight="1">
      <c r="A6" s="204" t="s">
        <v>160</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sheetPr>
  <dimension ref="A1:Z1000"/>
  <sheetViews>
    <sheetView zoomScale="176" workbookViewId="0"/>
  </sheetViews>
  <sheetFormatPr baseColWidth="10" defaultColWidth="14.5" defaultRowHeight="15" customHeight="1"/>
  <cols>
    <col min="1" max="1" width="52" customWidth="1"/>
    <col min="2" max="13" width="15.33203125" customWidth="1"/>
    <col min="14" max="26" width="8.6640625" customWidth="1"/>
  </cols>
  <sheetData>
    <row r="1" spans="1:26" ht="14.25" customHeight="1">
      <c r="A1" s="131" t="s">
        <v>158</v>
      </c>
      <c r="B1" s="13" t="s">
        <v>43</v>
      </c>
      <c r="C1" s="13" t="s">
        <v>44</v>
      </c>
      <c r="D1" s="13" t="s">
        <v>45</v>
      </c>
      <c r="E1" s="13" t="s">
        <v>46</v>
      </c>
      <c r="F1" s="13" t="s">
        <v>47</v>
      </c>
      <c r="G1" s="13" t="s">
        <v>48</v>
      </c>
      <c r="H1" s="13" t="s">
        <v>49</v>
      </c>
      <c r="I1" s="13" t="s">
        <v>50</v>
      </c>
      <c r="J1" s="13" t="s">
        <v>51</v>
      </c>
      <c r="K1" s="13" t="s">
        <v>52</v>
      </c>
      <c r="L1" s="13" t="s">
        <v>53</v>
      </c>
      <c r="M1" s="13" t="s">
        <v>54</v>
      </c>
      <c r="N1" s="134"/>
      <c r="O1" s="134"/>
      <c r="P1" s="134"/>
      <c r="Q1" s="134"/>
      <c r="R1" s="134"/>
      <c r="S1" s="134"/>
      <c r="T1" s="134"/>
      <c r="U1" s="134"/>
      <c r="V1" s="134"/>
      <c r="W1" s="134"/>
      <c r="X1" s="134"/>
      <c r="Y1" s="134"/>
      <c r="Z1" s="134"/>
    </row>
    <row r="2" spans="1:26" ht="14.25" customHeight="1">
      <c r="A2" s="115" t="s">
        <v>55</v>
      </c>
      <c r="B2" s="122">
        <v>171.933291</v>
      </c>
      <c r="C2" s="123">
        <v>185.44394299999999</v>
      </c>
      <c r="D2" s="123">
        <v>186.77365699999999</v>
      </c>
      <c r="E2" s="123">
        <v>190.54109299999999</v>
      </c>
      <c r="F2" s="123">
        <v>95.096062000000003</v>
      </c>
      <c r="G2" s="123">
        <v>184.30685299999999</v>
      </c>
      <c r="H2" s="123">
        <v>181.90143900000001</v>
      </c>
      <c r="I2" s="123">
        <v>149.58676500000001</v>
      </c>
      <c r="J2" s="123">
        <v>181.40367599999999</v>
      </c>
      <c r="K2" s="123">
        <v>171.057864</v>
      </c>
      <c r="L2" s="123">
        <v>165.28699900000001</v>
      </c>
      <c r="M2" s="123">
        <v>149.50871699999999</v>
      </c>
    </row>
    <row r="3" spans="1:26" ht="14.25" customHeight="1">
      <c r="A3" s="115" t="s">
        <v>69</v>
      </c>
      <c r="B3" s="122">
        <v>211.968999</v>
      </c>
      <c r="C3" s="122">
        <v>224.199051</v>
      </c>
      <c r="D3" s="122">
        <v>220.53646699999999</v>
      </c>
      <c r="E3" s="122">
        <v>306.76027599999998</v>
      </c>
      <c r="F3" s="122">
        <v>260.052864</v>
      </c>
      <c r="G3" s="122">
        <v>240.21016</v>
      </c>
      <c r="H3" s="122">
        <v>258.160549</v>
      </c>
      <c r="I3" s="122">
        <v>310.884524</v>
      </c>
      <c r="J3" s="122">
        <v>347.651006</v>
      </c>
      <c r="K3" s="122">
        <v>271.99016599999999</v>
      </c>
      <c r="L3" s="122">
        <v>301.18512999999996</v>
      </c>
      <c r="M3" s="122">
        <v>299.782893</v>
      </c>
    </row>
    <row r="4" spans="1:26" ht="14.25" customHeight="1">
      <c r="A4" s="115" t="s">
        <v>84</v>
      </c>
      <c r="B4" s="124">
        <v>234.24199100000001</v>
      </c>
      <c r="C4" s="125">
        <v>203.740703</v>
      </c>
      <c r="D4" s="125">
        <v>192.23546099999999</v>
      </c>
      <c r="E4" s="125">
        <v>176.36956599999999</v>
      </c>
      <c r="F4" s="125">
        <v>206.09105</v>
      </c>
      <c r="G4" s="125">
        <v>141.32156660000001</v>
      </c>
      <c r="H4" s="125">
        <v>214.20249699999999</v>
      </c>
      <c r="I4" s="125">
        <v>211.43019899999999</v>
      </c>
      <c r="J4" s="125">
        <v>141.81421700000001</v>
      </c>
      <c r="K4" s="125">
        <v>118.441136</v>
      </c>
      <c r="L4" s="125">
        <v>116.407369</v>
      </c>
      <c r="M4" s="125">
        <v>140.38033399999998</v>
      </c>
    </row>
    <row r="5" spans="1:26" ht="14.25" customHeight="1">
      <c r="A5" s="121" t="s">
        <v>159</v>
      </c>
      <c r="B5" s="205">
        <v>618.14428099999998</v>
      </c>
      <c r="C5" s="205">
        <v>613.38369699999998</v>
      </c>
      <c r="D5" s="205">
        <v>599.54558499999996</v>
      </c>
      <c r="E5" s="205">
        <v>673.67093499999999</v>
      </c>
      <c r="F5" s="205">
        <v>561.23997600000007</v>
      </c>
      <c r="G5" s="205">
        <v>565.8385796</v>
      </c>
      <c r="H5" s="205">
        <v>654.26448500000004</v>
      </c>
      <c r="I5" s="205">
        <v>671.90148799999997</v>
      </c>
      <c r="J5" s="205">
        <v>670.86889899999994</v>
      </c>
      <c r="K5" s="205">
        <v>561.48916599999995</v>
      </c>
      <c r="L5" s="205">
        <v>582.87949800000001</v>
      </c>
      <c r="M5" s="205">
        <v>589.67194399999994</v>
      </c>
    </row>
    <row r="6" spans="1:26" ht="14.25" customHeight="1">
      <c r="A6" s="204" t="s">
        <v>160</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READ ME BEFORE STARTING</vt:lpstr>
      <vt:lpstr>Definitions</vt:lpstr>
      <vt:lpstr>CC Actuals</vt:lpstr>
      <vt:lpstr>Financial ACTUALS</vt:lpstr>
      <vt:lpstr>Variance Analysis</vt:lpstr>
      <vt:lpstr>EBIT aggregate</vt:lpstr>
      <vt:lpstr>Cost to Produce</vt:lpstr>
      <vt:lpstr>CC BUDGET</vt:lpstr>
      <vt:lpstr>Financial BUDGET</vt:lpstr>
      <vt:lpstr>EBIT</vt:lpstr>
      <vt:lpstr>Water Production Actuals</vt:lpstr>
      <vt:lpstr>Water Production Budget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Leonard Fernando</cp:lastModifiedBy>
  <cp:revision/>
  <dcterms:created xsi:type="dcterms:W3CDTF">2019-05-26T11:59:56Z</dcterms:created>
  <dcterms:modified xsi:type="dcterms:W3CDTF">2020-07-30T18:19:19Z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