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0B228C24-CD9D-4B95-908B-6696171C84AE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support!$G$2:$G$94</definedName>
    <definedName name="itemMlPerQty">support!$H$2:$H$94</definedName>
    <definedName name="itemNames">support!$A$2:$A$94</definedName>
    <definedName name="itemPrepMethods">support!$B$2:$B$94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shopping!$B$2:$B$81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0" i="2" l="1"/>
  <c r="A390" i="2"/>
  <c r="F357" i="2"/>
  <c r="A357" i="2"/>
  <c r="F322" i="2"/>
  <c r="A322" i="2"/>
  <c r="F288" i="2"/>
  <c r="A288" i="2"/>
  <c r="F261" i="2"/>
  <c r="A261" i="2"/>
  <c r="F234" i="2"/>
  <c r="A234" i="2"/>
  <c r="F201" i="2"/>
  <c r="A201" i="2"/>
  <c r="F167" i="2"/>
  <c r="A167" i="2"/>
  <c r="F143" i="2"/>
  <c r="A143" i="2"/>
  <c r="F106" i="2"/>
  <c r="A106" i="2"/>
  <c r="F79" i="2"/>
  <c r="A79" i="2"/>
  <c r="F56" i="2"/>
  <c r="A56" i="2"/>
  <c r="A3" i="2"/>
  <c r="A16" i="2"/>
  <c r="A34" i="2"/>
  <c r="K3" i="5"/>
  <c r="K4" i="5"/>
  <c r="F6" i="2"/>
  <c r="L40" i="1"/>
  <c r="O190" i="2"/>
  <c r="F168" i="2"/>
  <c r="Q190" i="2"/>
  <c r="F170" i="2"/>
  <c r="F171" i="2"/>
  <c r="R190" i="2"/>
  <c r="S190" i="2"/>
  <c r="T190" i="2"/>
  <c r="K40" i="1"/>
  <c r="J40" i="1"/>
  <c r="I40" i="1"/>
  <c r="H40" i="1"/>
  <c r="G40" i="1"/>
  <c r="C65" i="3"/>
  <c r="D65" i="3"/>
  <c r="E65" i="3"/>
  <c r="F65" i="3"/>
  <c r="H65" i="3"/>
  <c r="L61" i="1"/>
  <c r="F80" i="2"/>
  <c r="Q85" i="2"/>
  <c r="G61" i="1"/>
  <c r="G14" i="1"/>
  <c r="M85" i="2"/>
  <c r="F82" i="2"/>
  <c r="F83" i="2"/>
  <c r="R85" i="2"/>
  <c r="H61" i="1"/>
  <c r="H14" i="1"/>
  <c r="N85" i="2"/>
  <c r="S85" i="2"/>
  <c r="T85" i="2"/>
  <c r="F144" i="2"/>
  <c r="Q148" i="2"/>
  <c r="M148" i="2"/>
  <c r="F146" i="2"/>
  <c r="F147" i="2"/>
  <c r="R148" i="2"/>
  <c r="N148" i="2"/>
  <c r="S148" i="2"/>
  <c r="T148" i="2"/>
  <c r="F289" i="2"/>
  <c r="Q298" i="2"/>
  <c r="M298" i="2"/>
  <c r="F291" i="2"/>
  <c r="F292" i="2"/>
  <c r="R298" i="2"/>
  <c r="N298" i="2"/>
  <c r="S298" i="2"/>
  <c r="T298" i="2"/>
  <c r="F4" i="2"/>
  <c r="Q9" i="2"/>
  <c r="M9" i="2"/>
  <c r="F7" i="2"/>
  <c r="R9" i="2"/>
  <c r="N9" i="2"/>
  <c r="S9" i="2"/>
  <c r="T9" i="2"/>
  <c r="K61" i="1"/>
  <c r="J61" i="1"/>
  <c r="I61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7" i="1"/>
  <c r="G57" i="1"/>
  <c r="H57" i="1"/>
  <c r="Q10" i="2"/>
  <c r="M10" i="2"/>
  <c r="R10" i="2"/>
  <c r="N10" i="2"/>
  <c r="S10" i="2"/>
  <c r="T10" i="2"/>
  <c r="K57" i="1"/>
  <c r="J57" i="1"/>
  <c r="I57" i="1"/>
  <c r="C72" i="3"/>
  <c r="D72" i="3"/>
  <c r="E72" i="3"/>
  <c r="F72" i="3"/>
  <c r="H72" i="3"/>
  <c r="C54" i="3"/>
  <c r="D54" i="3"/>
  <c r="E54" i="3"/>
  <c r="F54" i="3"/>
  <c r="H54" i="3"/>
  <c r="C73" i="3"/>
  <c r="D73" i="3"/>
  <c r="E73" i="3"/>
  <c r="F73" i="3"/>
  <c r="H73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49" i="1"/>
  <c r="H49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9" i="1"/>
  <c r="F323" i="2"/>
  <c r="Q349" i="2"/>
  <c r="G50" i="1"/>
  <c r="M349" i="2"/>
  <c r="F325" i="2"/>
  <c r="F326" i="2"/>
  <c r="R349" i="2"/>
  <c r="H50" i="1"/>
  <c r="N349" i="2"/>
  <c r="S349" i="2"/>
  <c r="T349" i="2"/>
  <c r="Q6" i="2"/>
  <c r="M6" i="2"/>
  <c r="R6" i="2"/>
  <c r="N6" i="2"/>
  <c r="S6" i="2"/>
  <c r="T6" i="2"/>
  <c r="K49" i="1"/>
  <c r="J49" i="1"/>
  <c r="I49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3" i="1"/>
  <c r="M118" i="2"/>
  <c r="F109" i="2"/>
  <c r="F110" i="2"/>
  <c r="R118" i="2"/>
  <c r="I93" i="1"/>
  <c r="F358" i="2"/>
  <c r="Q376" i="2"/>
  <c r="G94" i="1"/>
  <c r="M376" i="2"/>
  <c r="F360" i="2"/>
  <c r="F361" i="2"/>
  <c r="R376" i="2"/>
  <c r="I94" i="1"/>
  <c r="C81" i="3"/>
  <c r="H93" i="1"/>
  <c r="N118" i="2"/>
  <c r="S118" i="2"/>
  <c r="J93" i="1"/>
  <c r="H94" i="1"/>
  <c r="N376" i="2"/>
  <c r="S376" i="2"/>
  <c r="J94" i="1"/>
  <c r="D81" i="3"/>
  <c r="T118" i="2"/>
  <c r="K93" i="1"/>
  <c r="T376" i="2"/>
  <c r="K94" i="1"/>
  <c r="E81" i="3"/>
  <c r="L93" i="1"/>
  <c r="L94" i="1"/>
  <c r="F81" i="3"/>
  <c r="H81" i="3"/>
  <c r="Q184" i="2"/>
  <c r="G92" i="1"/>
  <c r="M184" i="2"/>
  <c r="R184" i="2"/>
  <c r="I92" i="1"/>
  <c r="C80" i="3"/>
  <c r="H92" i="1"/>
  <c r="N184" i="2"/>
  <c r="S184" i="2"/>
  <c r="J92" i="1"/>
  <c r="D80" i="3"/>
  <c r="T184" i="2"/>
  <c r="K92" i="1"/>
  <c r="E80" i="3"/>
  <c r="L92" i="1"/>
  <c r="F80" i="3"/>
  <c r="H80" i="3"/>
  <c r="F262" i="2"/>
  <c r="Q267" i="2"/>
  <c r="G91" i="1"/>
  <c r="M267" i="2"/>
  <c r="F264" i="2"/>
  <c r="F265" i="2"/>
  <c r="R267" i="2"/>
  <c r="I91" i="1"/>
  <c r="C79" i="3"/>
  <c r="H91" i="1"/>
  <c r="N267" i="2"/>
  <c r="S267" i="2"/>
  <c r="J91" i="1"/>
  <c r="D79" i="3"/>
  <c r="T267" i="2"/>
  <c r="K91" i="1"/>
  <c r="E79" i="3"/>
  <c r="L91" i="1"/>
  <c r="F79" i="3"/>
  <c r="H79" i="3"/>
  <c r="H89" i="1"/>
  <c r="N238" i="2"/>
  <c r="G89" i="1"/>
  <c r="M238" i="2"/>
  <c r="O238" i="2"/>
  <c r="P238" i="2"/>
  <c r="F235" i="2"/>
  <c r="Q238" i="2"/>
  <c r="F237" i="2"/>
  <c r="F238" i="2"/>
  <c r="R238" i="2"/>
  <c r="I89" i="1"/>
  <c r="H90" i="1"/>
  <c r="N95" i="2"/>
  <c r="G90" i="1"/>
  <c r="M95" i="2"/>
  <c r="O95" i="2"/>
  <c r="P95" i="2"/>
  <c r="Q95" i="2"/>
  <c r="R95" i="2"/>
  <c r="N121" i="2"/>
  <c r="M121" i="2"/>
  <c r="O121" i="2"/>
  <c r="P121" i="2"/>
  <c r="Q121" i="2"/>
  <c r="R121" i="2"/>
  <c r="N182" i="2"/>
  <c r="M182" i="2"/>
  <c r="O182" i="2"/>
  <c r="P182" i="2"/>
  <c r="Q182" i="2"/>
  <c r="R182" i="2"/>
  <c r="N405" i="2"/>
  <c r="M405" i="2"/>
  <c r="O405" i="2"/>
  <c r="P405" i="2"/>
  <c r="F391" i="2"/>
  <c r="Q405" i="2"/>
  <c r="F393" i="2"/>
  <c r="F394" i="2"/>
  <c r="R405" i="2"/>
  <c r="I90" i="1"/>
  <c r="C8" i="3"/>
  <c r="S238" i="2"/>
  <c r="J89" i="1"/>
  <c r="S95" i="2"/>
  <c r="S121" i="2"/>
  <c r="S182" i="2"/>
  <c r="S405" i="2"/>
  <c r="J90" i="1"/>
  <c r="D8" i="3"/>
  <c r="T238" i="2"/>
  <c r="K89" i="1"/>
  <c r="T95" i="2"/>
  <c r="T121" i="2"/>
  <c r="T182" i="2"/>
  <c r="T405" i="2"/>
  <c r="K90" i="1"/>
  <c r="E8" i="3"/>
  <c r="L89" i="1"/>
  <c r="L90" i="1"/>
  <c r="F8" i="3"/>
  <c r="H8" i="3"/>
  <c r="O278" i="2"/>
  <c r="Q278" i="2"/>
  <c r="R278" i="2"/>
  <c r="I88" i="1"/>
  <c r="C4" i="3"/>
  <c r="S278" i="2"/>
  <c r="J88" i="1"/>
  <c r="D4" i="3"/>
  <c r="T278" i="2"/>
  <c r="K88" i="1"/>
  <c r="E4" i="3"/>
  <c r="L88" i="1"/>
  <c r="F4" i="3"/>
  <c r="H4" i="3"/>
  <c r="H87" i="1"/>
  <c r="N152" i="2"/>
  <c r="O152" i="2"/>
  <c r="P152" i="2"/>
  <c r="Q152" i="2"/>
  <c r="R152" i="2"/>
  <c r="N204" i="2"/>
  <c r="O204" i="2"/>
  <c r="P204" i="2"/>
  <c r="F202" i="2"/>
  <c r="Q204" i="2"/>
  <c r="F204" i="2"/>
  <c r="F205" i="2"/>
  <c r="R204" i="2"/>
  <c r="N270" i="2"/>
  <c r="O270" i="2"/>
  <c r="P270" i="2"/>
  <c r="Q270" i="2"/>
  <c r="R270" i="2"/>
  <c r="N340" i="2"/>
  <c r="O340" i="2"/>
  <c r="P340" i="2"/>
  <c r="Q340" i="2"/>
  <c r="R340" i="2"/>
  <c r="F17" i="2"/>
  <c r="Q19" i="2"/>
  <c r="G19" i="1"/>
  <c r="M19" i="2"/>
  <c r="K5" i="5"/>
  <c r="K6" i="5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1" i="1"/>
  <c r="M23" i="2"/>
  <c r="R23" i="2"/>
  <c r="G34" i="1"/>
  <c r="G32" i="1"/>
  <c r="G72" i="1"/>
  <c r="Q29" i="2"/>
  <c r="G86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4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8" i="1"/>
  <c r="N43" i="2"/>
  <c r="O43" i="2"/>
  <c r="P43" i="2"/>
  <c r="Q43" i="2"/>
  <c r="R43" i="2"/>
  <c r="H6" i="1"/>
  <c r="N44" i="2"/>
  <c r="O44" i="2"/>
  <c r="P44" i="2"/>
  <c r="Q44" i="2"/>
  <c r="R44" i="2"/>
  <c r="H63" i="1"/>
  <c r="N45" i="2"/>
  <c r="G63" i="1"/>
  <c r="M45" i="2"/>
  <c r="O45" i="2"/>
  <c r="P45" i="2"/>
  <c r="Q45" i="2"/>
  <c r="R45" i="2"/>
  <c r="H81" i="1"/>
  <c r="N48" i="2"/>
  <c r="O48" i="2"/>
  <c r="P48" i="2"/>
  <c r="Q48" i="2"/>
  <c r="R48" i="2"/>
  <c r="H39" i="1"/>
  <c r="N51" i="2"/>
  <c r="O51" i="2"/>
  <c r="P51" i="2"/>
  <c r="Q51" i="2"/>
  <c r="R51" i="2"/>
  <c r="H71" i="1"/>
  <c r="N52" i="2"/>
  <c r="O52" i="2"/>
  <c r="P52" i="2"/>
  <c r="Q52" i="2"/>
  <c r="R52" i="2"/>
  <c r="H45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6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7" i="1"/>
  <c r="N69" i="2"/>
  <c r="G47" i="1"/>
  <c r="M69" i="2"/>
  <c r="O69" i="2"/>
  <c r="P69" i="2"/>
  <c r="Q69" i="2"/>
  <c r="R69" i="2"/>
  <c r="H46" i="1"/>
  <c r="N70" i="2"/>
  <c r="G46" i="1"/>
  <c r="M70" i="2"/>
  <c r="O70" i="2"/>
  <c r="P70" i="2"/>
  <c r="Q70" i="2"/>
  <c r="R70" i="2"/>
  <c r="H64" i="1"/>
  <c r="N71" i="2"/>
  <c r="G64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58" i="1"/>
  <c r="N90" i="2"/>
  <c r="G58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4" i="1"/>
  <c r="N114" i="2"/>
  <c r="O114" i="2"/>
  <c r="P114" i="2"/>
  <c r="Q114" i="2"/>
  <c r="R114" i="2"/>
  <c r="Q117" i="2"/>
  <c r="G79" i="1"/>
  <c r="M117" i="2"/>
  <c r="R117" i="2"/>
  <c r="N122" i="2"/>
  <c r="M122" i="2"/>
  <c r="O122" i="2"/>
  <c r="P122" i="2"/>
  <c r="Q122" i="2"/>
  <c r="R122" i="2"/>
  <c r="N123" i="2"/>
  <c r="O123" i="2"/>
  <c r="P123" i="2"/>
  <c r="Q123" i="2"/>
  <c r="R123" i="2"/>
  <c r="N131" i="2"/>
  <c r="O131" i="2"/>
  <c r="P131" i="2"/>
  <c r="Q131" i="2"/>
  <c r="R131" i="2"/>
  <c r="H20" i="1"/>
  <c r="N134" i="2"/>
  <c r="G20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Q147" i="2"/>
  <c r="M147" i="2"/>
  <c r="R147" i="2"/>
  <c r="Q151" i="2"/>
  <c r="M151" i="2"/>
  <c r="R151" i="2"/>
  <c r="Q153" i="2"/>
  <c r="G33" i="1"/>
  <c r="M153" i="2"/>
  <c r="R153" i="2"/>
  <c r="Q154" i="2"/>
  <c r="G35" i="1"/>
  <c r="M154" i="2"/>
  <c r="R154" i="2"/>
  <c r="Q155" i="2"/>
  <c r="M155" i="2"/>
  <c r="R155" i="2"/>
  <c r="O158" i="2"/>
  <c r="G68" i="1"/>
  <c r="M158" i="2"/>
  <c r="P158" i="2"/>
  <c r="Q158" i="2"/>
  <c r="H68" i="1"/>
  <c r="N158" i="2"/>
  <c r="R158" i="2"/>
  <c r="O171" i="2"/>
  <c r="Q171" i="2"/>
  <c r="R171" i="2"/>
  <c r="H74" i="1"/>
  <c r="N172" i="2"/>
  <c r="O172" i="2"/>
  <c r="P172" i="2"/>
  <c r="Q172" i="2"/>
  <c r="R172" i="2"/>
  <c r="H65" i="1"/>
  <c r="N175" i="2"/>
  <c r="O175" i="2"/>
  <c r="P175" i="2"/>
  <c r="Q175" i="2"/>
  <c r="R175" i="2"/>
  <c r="H75" i="1"/>
  <c r="N176" i="2"/>
  <c r="O176" i="2"/>
  <c r="P176" i="2"/>
  <c r="Q176" i="2"/>
  <c r="R176" i="2"/>
  <c r="Q177" i="2"/>
  <c r="M177" i="2"/>
  <c r="R177" i="2"/>
  <c r="N178" i="2"/>
  <c r="O178" i="2"/>
  <c r="P178" i="2"/>
  <c r="Q178" i="2"/>
  <c r="R178" i="2"/>
  <c r="Q179" i="2"/>
  <c r="G12" i="1"/>
  <c r="M179" i="2"/>
  <c r="R179" i="2"/>
  <c r="Q183" i="2"/>
  <c r="G6" i="1"/>
  <c r="M183" i="2"/>
  <c r="R183" i="2"/>
  <c r="Q185" i="2"/>
  <c r="M185" i="2"/>
  <c r="R185" i="2"/>
  <c r="Q186" i="2"/>
  <c r="G76" i="1"/>
  <c r="M186" i="2"/>
  <c r="R186" i="2"/>
  <c r="Q189" i="2"/>
  <c r="M189" i="2"/>
  <c r="R189" i="2"/>
  <c r="Q191" i="2"/>
  <c r="G80" i="1"/>
  <c r="M191" i="2"/>
  <c r="R191" i="2"/>
  <c r="H11" i="1"/>
  <c r="N196" i="2"/>
  <c r="O196" i="2"/>
  <c r="P196" i="2"/>
  <c r="Q196" i="2"/>
  <c r="R196" i="2"/>
  <c r="Q207" i="2"/>
  <c r="G48" i="1"/>
  <c r="M207" i="2"/>
  <c r="R207" i="2"/>
  <c r="Q208" i="2"/>
  <c r="M208" i="2"/>
  <c r="R208" i="2"/>
  <c r="Q216" i="2"/>
  <c r="G82" i="1"/>
  <c r="M216" i="2"/>
  <c r="R216" i="2"/>
  <c r="H22" i="1"/>
  <c r="N217" i="2"/>
  <c r="O217" i="2"/>
  <c r="P217" i="2"/>
  <c r="Q217" i="2"/>
  <c r="R217" i="2"/>
  <c r="H55" i="1"/>
  <c r="N218" i="2"/>
  <c r="O218" i="2"/>
  <c r="P218" i="2"/>
  <c r="Q218" i="2"/>
  <c r="R218" i="2"/>
  <c r="N221" i="2"/>
  <c r="M221" i="2"/>
  <c r="O221" i="2"/>
  <c r="P221" i="2"/>
  <c r="Q221" i="2"/>
  <c r="R221" i="2"/>
  <c r="H53" i="1"/>
  <c r="N222" i="2"/>
  <c r="O222" i="2"/>
  <c r="P222" i="2"/>
  <c r="Q222" i="2"/>
  <c r="R222" i="2"/>
  <c r="H59" i="1"/>
  <c r="N237" i="2"/>
  <c r="O237" i="2"/>
  <c r="P237" i="2"/>
  <c r="Q237" i="2"/>
  <c r="R237" i="2"/>
  <c r="H17" i="1"/>
  <c r="N241" i="2"/>
  <c r="O241" i="2"/>
  <c r="P241" i="2"/>
  <c r="Q241" i="2"/>
  <c r="R241" i="2"/>
  <c r="H69" i="1"/>
  <c r="N242" i="2"/>
  <c r="O242" i="2"/>
  <c r="P242" i="2"/>
  <c r="Q242" i="2"/>
  <c r="R242" i="2"/>
  <c r="Q245" i="2"/>
  <c r="G84" i="1"/>
  <c r="M245" i="2"/>
  <c r="R245" i="2"/>
  <c r="Q248" i="2"/>
  <c r="M248" i="2"/>
  <c r="R248" i="2"/>
  <c r="Q249" i="2"/>
  <c r="M249" i="2"/>
  <c r="R249" i="2"/>
  <c r="N250" i="2"/>
  <c r="O250" i="2"/>
  <c r="P250" i="2"/>
  <c r="Q250" i="2"/>
  <c r="R250" i="2"/>
  <c r="Q253" i="2"/>
  <c r="M253" i="2"/>
  <c r="R253" i="2"/>
  <c r="Q254" i="2"/>
  <c r="M254" i="2"/>
  <c r="R254" i="2"/>
  <c r="H60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Q265" i="2"/>
  <c r="G10" i="1"/>
  <c r="M265" i="2"/>
  <c r="R265" i="2"/>
  <c r="Q266" i="2"/>
  <c r="G16" i="1"/>
  <c r="M266" i="2"/>
  <c r="R266" i="2"/>
  <c r="O275" i="2"/>
  <c r="Q275" i="2"/>
  <c r="R275" i="2"/>
  <c r="H52" i="1"/>
  <c r="N281" i="2"/>
  <c r="O281" i="2"/>
  <c r="P281" i="2"/>
  <c r="Q281" i="2"/>
  <c r="R281" i="2"/>
  <c r="H24" i="1"/>
  <c r="N293" i="2"/>
  <c r="O293" i="2"/>
  <c r="P293" i="2"/>
  <c r="Q293" i="2"/>
  <c r="R293" i="2"/>
  <c r="Q294" i="2"/>
  <c r="G62" i="1"/>
  <c r="M294" i="2"/>
  <c r="R294" i="2"/>
  <c r="Q297" i="2"/>
  <c r="M297" i="2"/>
  <c r="R297" i="2"/>
  <c r="H27" i="1"/>
  <c r="N299" i="2"/>
  <c r="O299" i="2"/>
  <c r="P299" i="2"/>
  <c r="Q299" i="2"/>
  <c r="R299" i="2"/>
  <c r="H83" i="1"/>
  <c r="N302" i="2"/>
  <c r="O302" i="2"/>
  <c r="P302" i="2"/>
  <c r="Q302" i="2"/>
  <c r="R302" i="2"/>
  <c r="H73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H70" i="1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3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Q341" i="2"/>
  <c r="M341" i="2"/>
  <c r="R341" i="2"/>
  <c r="Q342" i="2"/>
  <c r="M342" i="2"/>
  <c r="R342" i="2"/>
  <c r="Q343" i="2"/>
  <c r="G77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Q362" i="2"/>
  <c r="M362" i="2"/>
  <c r="R362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Q371" i="2"/>
  <c r="M371" i="2"/>
  <c r="R371" i="2"/>
  <c r="Q372" i="2"/>
  <c r="M372" i="2"/>
  <c r="R372" i="2"/>
  <c r="Q375" i="2"/>
  <c r="M375" i="2"/>
  <c r="R375" i="2"/>
  <c r="Q377" i="2"/>
  <c r="G67" i="1"/>
  <c r="M377" i="2"/>
  <c r="R377" i="2"/>
  <c r="N378" i="2"/>
  <c r="M378" i="2"/>
  <c r="O378" i="2"/>
  <c r="P378" i="2"/>
  <c r="Q378" i="2"/>
  <c r="R378" i="2"/>
  <c r="Q381" i="2"/>
  <c r="M381" i="2"/>
  <c r="R381" i="2"/>
  <c r="Q382" i="2"/>
  <c r="G78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Q406" i="2"/>
  <c r="M406" i="2"/>
  <c r="R406" i="2"/>
  <c r="Q407" i="2"/>
  <c r="M407" i="2"/>
  <c r="R407" i="2"/>
  <c r="Q408" i="2"/>
  <c r="G66" i="1"/>
  <c r="M408" i="2"/>
  <c r="R408" i="2"/>
  <c r="Q411" i="2"/>
  <c r="M411" i="2"/>
  <c r="R411" i="2"/>
  <c r="I87" i="1"/>
  <c r="C53" i="3"/>
  <c r="S152" i="2"/>
  <c r="S204" i="2"/>
  <c r="S270" i="2"/>
  <c r="S340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2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9" i="1"/>
  <c r="N117" i="2"/>
  <c r="S117" i="2"/>
  <c r="S122" i="2"/>
  <c r="S123" i="2"/>
  <c r="S131" i="2"/>
  <c r="S134" i="2"/>
  <c r="S135" i="2"/>
  <c r="S146" i="2"/>
  <c r="N147" i="2"/>
  <c r="S147" i="2"/>
  <c r="N151" i="2"/>
  <c r="S151" i="2"/>
  <c r="H33" i="1"/>
  <c r="N153" i="2"/>
  <c r="S153" i="2"/>
  <c r="H35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6" i="1"/>
  <c r="N186" i="2"/>
  <c r="S186" i="2"/>
  <c r="N189" i="2"/>
  <c r="S189" i="2"/>
  <c r="H80" i="1"/>
  <c r="N191" i="2"/>
  <c r="S191" i="2"/>
  <c r="S196" i="2"/>
  <c r="S207" i="2"/>
  <c r="S208" i="2"/>
  <c r="H82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H10" i="1"/>
  <c r="N265" i="2"/>
  <c r="S265" i="2"/>
  <c r="H16" i="1"/>
  <c r="N266" i="2"/>
  <c r="S266" i="2"/>
  <c r="S275" i="2"/>
  <c r="S281" i="2"/>
  <c r="S293" i="2"/>
  <c r="S294" i="2"/>
  <c r="N297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7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H67" i="1"/>
  <c r="N377" i="2"/>
  <c r="S377" i="2"/>
  <c r="S378" i="2"/>
  <c r="N381" i="2"/>
  <c r="S381" i="2"/>
  <c r="H78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6" i="1"/>
  <c r="N408" i="2"/>
  <c r="S408" i="2"/>
  <c r="N411" i="2"/>
  <c r="S411" i="2"/>
  <c r="J87" i="1"/>
  <c r="D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7" i="1"/>
  <c r="E53" i="3"/>
  <c r="L87" i="1"/>
  <c r="F53" i="3"/>
  <c r="H53" i="3"/>
  <c r="I86" i="1"/>
  <c r="C78" i="3"/>
  <c r="J86" i="1"/>
  <c r="D78" i="3"/>
  <c r="K86" i="1"/>
  <c r="E78" i="3"/>
  <c r="L86" i="1"/>
  <c r="F78" i="3"/>
  <c r="H78" i="3"/>
  <c r="I84" i="1"/>
  <c r="I85" i="1"/>
  <c r="C3" i="3"/>
  <c r="J84" i="1"/>
  <c r="J85" i="1"/>
  <c r="D3" i="3"/>
  <c r="K84" i="1"/>
  <c r="K85" i="1"/>
  <c r="E3" i="3"/>
  <c r="L84" i="1"/>
  <c r="L85" i="1"/>
  <c r="F3" i="3"/>
  <c r="H3" i="3"/>
  <c r="I83" i="1"/>
  <c r="C51" i="3"/>
  <c r="J83" i="1"/>
  <c r="D51" i="3"/>
  <c r="K83" i="1"/>
  <c r="E51" i="3"/>
  <c r="L83" i="1"/>
  <c r="F51" i="3"/>
  <c r="H51" i="3"/>
  <c r="I82" i="1"/>
  <c r="C50" i="3"/>
  <c r="J82" i="1"/>
  <c r="D50" i="3"/>
  <c r="K82" i="1"/>
  <c r="E50" i="3"/>
  <c r="L82" i="1"/>
  <c r="F50" i="3"/>
  <c r="H50" i="3"/>
  <c r="I81" i="1"/>
  <c r="C49" i="3"/>
  <c r="J81" i="1"/>
  <c r="D49" i="3"/>
  <c r="K81" i="1"/>
  <c r="E49" i="3"/>
  <c r="L81" i="1"/>
  <c r="F49" i="3"/>
  <c r="H49" i="3"/>
  <c r="I80" i="1"/>
  <c r="C48" i="3"/>
  <c r="J80" i="1"/>
  <c r="D48" i="3"/>
  <c r="K80" i="1"/>
  <c r="E48" i="3"/>
  <c r="L80" i="1"/>
  <c r="F48" i="3"/>
  <c r="H48" i="3"/>
  <c r="I79" i="1"/>
  <c r="C47" i="3"/>
  <c r="J79" i="1"/>
  <c r="D47" i="3"/>
  <c r="K79" i="1"/>
  <c r="E47" i="3"/>
  <c r="L79" i="1"/>
  <c r="F47" i="3"/>
  <c r="H47" i="3"/>
  <c r="I78" i="1"/>
  <c r="C46" i="3"/>
  <c r="J78" i="1"/>
  <c r="D46" i="3"/>
  <c r="K78" i="1"/>
  <c r="E46" i="3"/>
  <c r="L78" i="1"/>
  <c r="F46" i="3"/>
  <c r="H46" i="3"/>
  <c r="I77" i="1"/>
  <c r="C45" i="3"/>
  <c r="J77" i="1"/>
  <c r="D45" i="3"/>
  <c r="K77" i="1"/>
  <c r="E45" i="3"/>
  <c r="L77" i="1"/>
  <c r="F45" i="3"/>
  <c r="H45" i="3"/>
  <c r="I76" i="1"/>
  <c r="C44" i="3"/>
  <c r="J76" i="1"/>
  <c r="D44" i="3"/>
  <c r="K76" i="1"/>
  <c r="E44" i="3"/>
  <c r="L76" i="1"/>
  <c r="F44" i="3"/>
  <c r="H44" i="3"/>
  <c r="I75" i="1"/>
  <c r="C43" i="3"/>
  <c r="J75" i="1"/>
  <c r="D43" i="3"/>
  <c r="K75" i="1"/>
  <c r="E43" i="3"/>
  <c r="L75" i="1"/>
  <c r="F43" i="3"/>
  <c r="H43" i="3"/>
  <c r="I74" i="1"/>
  <c r="C42" i="3"/>
  <c r="J74" i="1"/>
  <c r="D42" i="3"/>
  <c r="K74" i="1"/>
  <c r="E42" i="3"/>
  <c r="L74" i="1"/>
  <c r="F42" i="3"/>
  <c r="H42" i="3"/>
  <c r="I73" i="1"/>
  <c r="C41" i="3"/>
  <c r="J73" i="1"/>
  <c r="D41" i="3"/>
  <c r="K73" i="1"/>
  <c r="E41" i="3"/>
  <c r="L73" i="1"/>
  <c r="F41" i="3"/>
  <c r="H41" i="3"/>
  <c r="I72" i="1"/>
  <c r="C40" i="3"/>
  <c r="J72" i="1"/>
  <c r="D40" i="3"/>
  <c r="K72" i="1"/>
  <c r="E40" i="3"/>
  <c r="L72" i="1"/>
  <c r="F40" i="3"/>
  <c r="H40" i="3"/>
  <c r="I71" i="1"/>
  <c r="C77" i="3"/>
  <c r="J71" i="1"/>
  <c r="D77" i="3"/>
  <c r="K71" i="1"/>
  <c r="E77" i="3"/>
  <c r="L71" i="1"/>
  <c r="F77" i="3"/>
  <c r="H77" i="3"/>
  <c r="I70" i="1"/>
  <c r="C39" i="3"/>
  <c r="J70" i="1"/>
  <c r="D39" i="3"/>
  <c r="K70" i="1"/>
  <c r="E39" i="3"/>
  <c r="L70" i="1"/>
  <c r="F39" i="3"/>
  <c r="H39" i="3"/>
  <c r="I69" i="1"/>
  <c r="C38" i="3"/>
  <c r="J69" i="1"/>
  <c r="D38" i="3"/>
  <c r="K69" i="1"/>
  <c r="E38" i="3"/>
  <c r="L69" i="1"/>
  <c r="F38" i="3"/>
  <c r="H38" i="3"/>
  <c r="I66" i="1"/>
  <c r="I67" i="1"/>
  <c r="I68" i="1"/>
  <c r="C76" i="3"/>
  <c r="J66" i="1"/>
  <c r="J67" i="1"/>
  <c r="J68" i="1"/>
  <c r="D76" i="3"/>
  <c r="K66" i="1"/>
  <c r="K67" i="1"/>
  <c r="K68" i="1"/>
  <c r="E76" i="3"/>
  <c r="L66" i="1"/>
  <c r="L67" i="1"/>
  <c r="L68" i="1"/>
  <c r="F76" i="3"/>
  <c r="H76" i="3"/>
  <c r="I65" i="1"/>
  <c r="C37" i="3"/>
  <c r="J65" i="1"/>
  <c r="D37" i="3"/>
  <c r="K65" i="1"/>
  <c r="E37" i="3"/>
  <c r="L65" i="1"/>
  <c r="F37" i="3"/>
  <c r="H37" i="3"/>
  <c r="I64" i="1"/>
  <c r="C36" i="3"/>
  <c r="J64" i="1"/>
  <c r="D36" i="3"/>
  <c r="K64" i="1"/>
  <c r="E36" i="3"/>
  <c r="L64" i="1"/>
  <c r="F36" i="3"/>
  <c r="H36" i="3"/>
  <c r="I63" i="1"/>
  <c r="C75" i="3"/>
  <c r="J63" i="1"/>
  <c r="D75" i="3"/>
  <c r="K63" i="1"/>
  <c r="E75" i="3"/>
  <c r="L63" i="1"/>
  <c r="F75" i="3"/>
  <c r="H75" i="3"/>
  <c r="I62" i="1"/>
  <c r="C74" i="3"/>
  <c r="J62" i="1"/>
  <c r="D74" i="3"/>
  <c r="K62" i="1"/>
  <c r="E74" i="3"/>
  <c r="L62" i="1"/>
  <c r="F74" i="3"/>
  <c r="H74" i="3"/>
  <c r="I60" i="1"/>
  <c r="C35" i="3"/>
  <c r="J60" i="1"/>
  <c r="D35" i="3"/>
  <c r="K60" i="1"/>
  <c r="E35" i="3"/>
  <c r="L60" i="1"/>
  <c r="F35" i="3"/>
  <c r="H35" i="3"/>
  <c r="I59" i="1"/>
  <c r="C34" i="3"/>
  <c r="J59" i="1"/>
  <c r="D34" i="3"/>
  <c r="K59" i="1"/>
  <c r="E34" i="3"/>
  <c r="L59" i="1"/>
  <c r="F34" i="3"/>
  <c r="H34" i="3"/>
  <c r="I58" i="1"/>
  <c r="C24" i="3"/>
  <c r="J58" i="1"/>
  <c r="D24" i="3"/>
  <c r="K58" i="1"/>
  <c r="E24" i="3"/>
  <c r="L58" i="1"/>
  <c r="F24" i="3"/>
  <c r="H24" i="3"/>
  <c r="I56" i="1"/>
  <c r="C71" i="3"/>
  <c r="J56" i="1"/>
  <c r="D71" i="3"/>
  <c r="K56" i="1"/>
  <c r="E71" i="3"/>
  <c r="L56" i="1"/>
  <c r="F71" i="3"/>
  <c r="H71" i="3"/>
  <c r="I55" i="1"/>
  <c r="C33" i="3"/>
  <c r="J55" i="1"/>
  <c r="D33" i="3"/>
  <c r="K55" i="1"/>
  <c r="E33" i="3"/>
  <c r="L55" i="1"/>
  <c r="F33" i="3"/>
  <c r="H33" i="3"/>
  <c r="I54" i="1"/>
  <c r="C32" i="3"/>
  <c r="J54" i="1"/>
  <c r="D32" i="3"/>
  <c r="K54" i="1"/>
  <c r="E32" i="3"/>
  <c r="L54" i="1"/>
  <c r="F32" i="3"/>
  <c r="H32" i="3"/>
  <c r="I53" i="1"/>
  <c r="C52" i="3"/>
  <c r="J53" i="1"/>
  <c r="D52" i="3"/>
  <c r="K53" i="1"/>
  <c r="E52" i="3"/>
  <c r="L53" i="1"/>
  <c r="F52" i="3"/>
  <c r="H52" i="3"/>
  <c r="I52" i="1"/>
  <c r="C31" i="3"/>
  <c r="J52" i="1"/>
  <c r="D31" i="3"/>
  <c r="K52" i="1"/>
  <c r="E31" i="3"/>
  <c r="L52" i="1"/>
  <c r="F31" i="3"/>
  <c r="H31" i="3"/>
  <c r="I51" i="1"/>
  <c r="C70" i="3"/>
  <c r="J51" i="1"/>
  <c r="D70" i="3"/>
  <c r="K51" i="1"/>
  <c r="E70" i="3"/>
  <c r="L51" i="1"/>
  <c r="F70" i="3"/>
  <c r="H70" i="3"/>
  <c r="I50" i="1"/>
  <c r="C69" i="3"/>
  <c r="J50" i="1"/>
  <c r="D69" i="3"/>
  <c r="K50" i="1"/>
  <c r="E69" i="3"/>
  <c r="L50" i="1"/>
  <c r="F69" i="3"/>
  <c r="H69" i="3"/>
  <c r="I48" i="1"/>
  <c r="C68" i="3"/>
  <c r="J48" i="1"/>
  <c r="D68" i="3"/>
  <c r="K48" i="1"/>
  <c r="E68" i="3"/>
  <c r="L48" i="1"/>
  <c r="F68" i="3"/>
  <c r="H68" i="3"/>
  <c r="I47" i="1"/>
  <c r="C23" i="3"/>
  <c r="J47" i="1"/>
  <c r="D23" i="3"/>
  <c r="K47" i="1"/>
  <c r="E23" i="3"/>
  <c r="L47" i="1"/>
  <c r="F23" i="3"/>
  <c r="H23" i="3"/>
  <c r="I46" i="1"/>
  <c r="C22" i="3"/>
  <c r="J46" i="1"/>
  <c r="D22" i="3"/>
  <c r="K46" i="1"/>
  <c r="E22" i="3"/>
  <c r="L46" i="1"/>
  <c r="F22" i="3"/>
  <c r="H22" i="3"/>
  <c r="I45" i="1"/>
  <c r="C21" i="3"/>
  <c r="J45" i="1"/>
  <c r="D21" i="3"/>
  <c r="K45" i="1"/>
  <c r="E21" i="3"/>
  <c r="L45" i="1"/>
  <c r="F21" i="3"/>
  <c r="H21" i="3"/>
  <c r="I44" i="1"/>
  <c r="C30" i="3"/>
  <c r="J44" i="1"/>
  <c r="D30" i="3"/>
  <c r="K44" i="1"/>
  <c r="E30" i="3"/>
  <c r="L44" i="1"/>
  <c r="F30" i="3"/>
  <c r="H30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1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7" i="2"/>
  <c r="W147" i="2"/>
  <c r="G45" i="1"/>
  <c r="M53" i="2"/>
  <c r="K8" i="5"/>
  <c r="K7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1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6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70" i="1"/>
  <c r="M315" i="2"/>
  <c r="G22" i="1"/>
  <c r="M312" i="2"/>
  <c r="G73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3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7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O297" i="2"/>
  <c r="P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2" i="1"/>
  <c r="N294" i="2"/>
  <c r="O294" i="2"/>
  <c r="P294" i="2"/>
  <c r="D294" i="2"/>
  <c r="C294" i="2"/>
  <c r="B294" i="2"/>
  <c r="G24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6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0" i="2"/>
  <c r="H41" i="1"/>
  <c r="N190" i="2"/>
  <c r="P411" i="2"/>
  <c r="O411" i="2"/>
  <c r="P408" i="2"/>
  <c r="O408" i="2"/>
  <c r="P407" i="2"/>
  <c r="O407" i="2"/>
  <c r="N406" i="2"/>
  <c r="P406" i="2"/>
  <c r="O406" i="2"/>
  <c r="G38" i="1"/>
  <c r="M402" i="2"/>
  <c r="P399" i="2"/>
  <c r="O399" i="2"/>
  <c r="G54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5" i="1"/>
  <c r="M176" i="2"/>
  <c r="G65" i="1"/>
  <c r="M175" i="2"/>
  <c r="G74" i="1"/>
  <c r="M172" i="2"/>
  <c r="M171" i="2"/>
  <c r="P171" i="2"/>
  <c r="N171" i="2"/>
  <c r="P349" i="2"/>
  <c r="O349" i="2"/>
  <c r="P348" i="2"/>
  <c r="O348" i="2"/>
  <c r="P343" i="2"/>
  <c r="O343" i="2"/>
  <c r="N342" i="2"/>
  <c r="P342" i="2"/>
  <c r="O342" i="2"/>
  <c r="N341" i="2"/>
  <c r="P341" i="2"/>
  <c r="O341" i="2"/>
  <c r="G87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2" i="1"/>
  <c r="M281" i="2"/>
  <c r="G88" i="1"/>
  <c r="M278" i="2"/>
  <c r="P278" i="2"/>
  <c r="H88" i="1"/>
  <c r="N278" i="2"/>
  <c r="G85" i="1"/>
  <c r="M275" i="2"/>
  <c r="P275" i="2"/>
  <c r="H85" i="1"/>
  <c r="N275" i="2"/>
  <c r="M270" i="2"/>
  <c r="P267" i="2"/>
  <c r="O267" i="2"/>
  <c r="P266" i="2"/>
  <c r="O266" i="2"/>
  <c r="P265" i="2"/>
  <c r="O265" i="2"/>
  <c r="M264" i="2"/>
  <c r="G81" i="1"/>
  <c r="M256" i="2"/>
  <c r="G60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9" i="1"/>
  <c r="M242" i="2"/>
  <c r="G17" i="1"/>
  <c r="M241" i="2"/>
  <c r="G59" i="1"/>
  <c r="M237" i="2"/>
  <c r="G55" i="1"/>
  <c r="M218" i="2"/>
  <c r="G53" i="1"/>
  <c r="M222" i="2"/>
  <c r="M217" i="2"/>
  <c r="P216" i="2"/>
  <c r="O216" i="2"/>
  <c r="M204" i="2"/>
  <c r="N208" i="2"/>
  <c r="P208" i="2"/>
  <c r="O208" i="2"/>
  <c r="N207" i="2"/>
  <c r="P207" i="2"/>
  <c r="O207" i="2"/>
  <c r="P381" i="2"/>
  <c r="O381" i="2"/>
  <c r="P377" i="2"/>
  <c r="O377" i="2"/>
  <c r="P376" i="2"/>
  <c r="O376" i="2"/>
  <c r="P375" i="2"/>
  <c r="O375" i="2"/>
  <c r="N372" i="2"/>
  <c r="P372" i="2"/>
  <c r="O372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P147" i="2"/>
  <c r="O147" i="2"/>
  <c r="M146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4" i="1"/>
  <c r="G44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29" authorId="0" shapeId="0" xr:uid="{F1485E56-271E-43C4-A8C6-E342E7A77D5C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4 but I think that's because it's not scaled properly</t>
        </r>
      </text>
    </commen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58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<sst xmlns="http://schemas.openxmlformats.org/spreadsheetml/2006/main" count="1691" uniqueCount="463">
  <si>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</si>
  <si>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</si>
  <si>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</si>
  <si>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</si>
  <si>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</si>
  <si>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</si>
  <si>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</si>
  <si>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</si>
  <si>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</si>
  <si>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</si>
  <si>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</si>
  <si>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</si>
  <si>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</si>
  <si>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</si>
  <si>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</si>
  <si>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</si>
  <si>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</si>
  <si>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</si>
  <si>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</si>
  <si>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</si>
  <si>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</si>
  <si>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</si>
  <si>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</si>
  <si>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</si>
  <si>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</si>
  <si>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</si>
  <si>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</si>
  <si>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</si>
  <si>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</si>
  <si>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</si>
  <si>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</si>
  <si>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</si>
  <si>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</si>
  <si>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</si>
  <si>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</si>
  <si>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</si>
  <si>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</si>
  <si>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</si>
  <si>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</si>
  <si>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</si>
  <si>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</si>
  <si>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</si>
  <si>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</si>
  <si>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</si>
  <si>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</si>
  <si>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</si>
  <si>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</si>
  <si>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</si>
  <si>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</si>
  <si>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</si>
  <si>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</si>
  <si>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</si>
  <si>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</si>
  <si>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</si>
  <si>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</si>
  <si>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</si>
  <si>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</si>
  <si>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</si>
  <si>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</si>
  <si>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</si>
  <si>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</si>
  <si>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</si>
  <si>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</si>
  <si>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</si>
  <si>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</si>
  <si>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</si>
  <si>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</si>
  <si>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</si>
  <si>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</si>
  <si>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</si>
  <si>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</si>
  <si>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</si>
  <si>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</si>
  <si>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</si>
  <si>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</si>
  <si>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</si>
  <si>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</si>
  <si>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</si>
  <si>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</si>
  <si>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</si>
  <si>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</si>
  <si>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</si>
  <si>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</si>
  <si>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</si>
  <si>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</si>
  <si>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</si>
  <si>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</si>
  <si>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</si>
  <si>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</si>
  <si>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</si>
  <si>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</si>
  <si>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</si>
  <si>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</si>
  <si>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</si>
  <si>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</si>
  <si>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</si>
  <si>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</si>
  <si>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</si>
  <si>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</si>
  <si>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</si>
  <si>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</si>
  <si>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</si>
  <si>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</si>
  <si>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</si>
  <si>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</si>
  <si>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</si>
  <si>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</si>
  <si>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</si>
  <si>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</si>
  <si>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</si>
  <si>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</si>
  <si>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</si>
  <si>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</si>
  <si>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</si>
  <si>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</si>
  <si>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</si>
  <si>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</si>
  <si>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</si>
  <si>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</si>
  <si>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</si>
  <si>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</si>
  <si>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</si>
  <si>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</si>
  <si>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</si>
  <si>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</si>
  <si>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</si>
  <si>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</si>
  <si>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</si>
  <si>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</si>
  <si>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</si>
  <si>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</si>
  <si>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</si>
  <si>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</si>
  <si>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</si>
  <si>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</si>
  <si>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</si>
  <si>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</si>
  <si>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</si>
  <si>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</si>
  <si>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</si>
  <si>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</si>
  <si>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</si>
  <si>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</si>
  <si>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</si>
  <si>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</si>
  <si>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</si>
  <si>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</si>
  <si>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</si>
  <si>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</si>
  <si>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</si>
  <si>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</si>
  <si>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</si>
  <si>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</si>
  <si>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</si>
  <si>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</si>
  <si>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</si>
  <si>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</si>
  <si>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</si>
  <si>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</si>
  <si>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</si>
  <si>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</si>
  <si>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</si>
  <si>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</si>
  <si>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</si>
  <si>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</si>
  <si>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</si>
  <si>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</si>
  <si>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</si>
  <si>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</si>
  <si>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</si>
  <si>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</si>
  <si>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</si>
  <si>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</si>
  <si>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</si>
  <si>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</si>
  <si>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</si>
  <si>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</si>
  <si>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</si>
  <si>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</si>
  <si>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</si>
  <si>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</si>
  <si>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</si>
  <si>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</si>
  <si>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</si>
  <si>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</si>
  <si>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</si>
  <si>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</si>
  <si>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</si>
  <si>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</si>
  <si>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</si>
  <si>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</si>
  <si>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</si>
  <si>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</si>
  <si>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</si>
  <si>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</si>
  <si>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</si>
  <si>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</si>
  <si>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</si>
  <si>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</si>
  <si>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</si>
  <si>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</si>
  <si>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</si>
  <si>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</si>
  <si>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</si>
  <si>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</si>
  <si>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</si>
  <si>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</si>
  <si>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</si>
  <si>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</si>
  <si>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</si>
  <si>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</si>
  <si>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</si>
  <si>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</si>
  <si>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</si>
  <si>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</si>
  <si>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</si>
  <si>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</si>
  <si>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</si>
  <si>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</si>
  <si>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</si>
  <si>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</si>
  <si>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</si>
  <si>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</si>
  <si>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</si>
  <si>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</si>
  <si>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</si>
  <si>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</si>
  <si>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</si>
  <si>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</si>
  <si>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</si>
  <si>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</si>
  <si>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</si>
  <si>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</si>
  <si>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</si>
  <si>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</si>
  <si>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</si>
  <si>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</si>
  <si>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</si>
  <si>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</si>
  <si>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</si>
  <si>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</si>
  <si>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</si>
  <si>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</si>
  <si>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</si>
  <si>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</si>
  <si>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</si>
  <si>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</si>
  <si>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</si>
  <si>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</si>
  <si>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</si>
  <si>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</si>
  <si>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</si>
  <si>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</si>
  <si>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</si>
  <si>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</si>
  <si>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</si>
  <si>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</si>
  <si>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</si>
  <si>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</si>
  <si>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</si>
  <si>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</si>
  <si>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</si>
  <si>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</si>
  <si>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</si>
  <si>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</si>
  <si>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</si>
  <si>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</si>
  <si>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</si>
  <si>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</si>
  <si>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</si>
  <si>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</si>
  <si>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</si>
  <si>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</si>
  <si>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</si>
  <si>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</si>
  <si>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</si>
  <si>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</si>
  <si>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</si>
  <si>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</si>
  <si>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</si>
  <si>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</si>
  <si>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</si>
  <si>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</si>
  <si>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</si>
  <si>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</si>
  <si>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</si>
  <si>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</si>
  <si>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</si>
  <si>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</si>
  <si>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</si>
  <si>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</si>
  <si>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</si>
  <si>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</si>
  <si>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</si>
  <si>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</si>
  <si>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</si>
  <si>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</si>
  <si>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</si>
  <si>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</si>
  <si>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</si>
  <si>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</si>
  <si>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</si>
  <si>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</si>
  <si>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</si>
  <si>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</si>
  <si>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</si>
  <si>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</si>
  <si>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</si>
  <si>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</si>
  <si>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</si>
  <si>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</si>
  <si>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</si>
  <si>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</si>
  <si>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</si>
  <si>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</si>
  <si>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</si>
  <si>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</si>
  <si>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</si>
  <si>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</si>
  <si>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</si>
  <si>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</si>
  <si>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</si>
  <si>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</si>
  <si>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</si>
  <si>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</si>
  <si>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</si>
  <si>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</si>
  <si>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</si>
  <si>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</si>
  <si>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</si>
  <si>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</si>
  <si>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</si>
  <si>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</si>
  <si>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</si>
  <si>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</si>
  <si>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</si>
  <si>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</si>
  <si>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</si>
  <si>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</si>
  <si>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</si>
  <si>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</si>
  <si>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</si>
  <si>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</si>
  <si>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</si>
  <si>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</si>
  <si>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</si>
  <si>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</si>
  <si>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</si>
  <si>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</si>
  <si>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</si>
  <si>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</si>
  <si>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</si>
  <si>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</si>
  <si>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</si>
  <si>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</si>
  <si>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</si>
  <si>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</si>
  <si>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</si>
  <si>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</si>
  <si>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</si>
  <si>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</si>
  <si>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</si>
  <si>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</si>
  <si>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</si>
  <si>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</si>
  <si>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</si>
  <si>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</si>
  <si>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</si>
  <si>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</si>
  <si>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</si>
  <si>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</si>
  <si>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</si>
  <si>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</si>
  <si>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</si>
  <si>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</si>
  <si>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</si>
  <si>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</si>
  <si>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</si>
  <si>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</si>
  <si>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</si>
  <si>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</si>
  <si>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</si>
  <si>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</si>
  <si>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</si>
  <si>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</si>
  <si>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</si>
  <si>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</si>
  <si>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</si>
  <si>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</si>
  <si>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</si>
  <si>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</si>
  <si>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</si>
  <si>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</si>
  <si>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</si>
  <si>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</si>
  <si>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</si>
  <si>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</si>
  <si>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</si>
  <si>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</si>
  <si>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</si>
  <si>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</si>
  <si>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</si>
  <si>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</si>
  <si>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</si>
  <si>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</si>
  <si>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</si>
  <si>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</si>
  <si>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</si>
  <si>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</si>
  <si>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</si>
  <si>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</si>
  <si>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</si>
  <si>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</si>
  <si>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</si>
  <si>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</si>
  <si>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</si>
  <si>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</si>
  <si>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</si>
  <si>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</si>
  <si>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</si>
  <si>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</si>
  <si>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</si>
  <si>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</si>
  <si>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</si>
  <si>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</si>
  <si>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</si>
  <si>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</si>
  <si>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</si>
  <si>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</si>
  <si>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</si>
  <si>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</si>
  <si>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</si>
  <si>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</si>
  <si>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</si>
  <si>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</si>
  <si>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</si>
  <si>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</si>
  <si>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</si>
  <si>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</si>
  <si>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</si>
  <si>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</si>
  <si>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</si>
  <si>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</si>
  <si>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</si>
  <si>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</si>
  <si>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</si>
  <si>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</si>
  <si>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</si>
  <si>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</si>
  <si>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</si>
  <si>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</si>
  <si>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</si>
  <si>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</si>
  <si>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</si>
  <si>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</si>
  <si>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</si>
  <si>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</si>
  <si>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</si>
  <si>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</si>
  <si>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</si>
  <si>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</si>
  <si>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</si>
  <si>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2x 50g packets left over from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</si>
</sst>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5" fillId="6" borderId="0" xfId="0" applyNumberFormat="1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A12" sqref="A12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5703125" style="28" bestFit="1" customWidth="1"/>
    <col min="12" max="12" width="11.85546875" style="28" bestFit="1" customWidth="1"/>
    <col min="13" max="16384" width="9.140625" style="28"/>
  </cols>
  <sheetData>
    <row r="2" spans="1:12" ht="13.5" thickBot="1" x14ac:dyDescent="0.25">
      <c r="B2" s="75" t="s">
        <v>329</v>
      </c>
      <c r="C2" s="75" t="s">
        <v>330</v>
      </c>
      <c r="D2" s="75" t="s">
        <v>331</v>
      </c>
      <c r="E2" s="75" t="s">
        <v>332</v>
      </c>
      <c r="F2" s="75" t="s">
        <v>333</v>
      </c>
      <c r="G2" s="75" t="s">
        <v>334</v>
      </c>
      <c r="H2" s="75" t="s">
        <v>335</v>
      </c>
      <c r="K2" s="75" t="s">
        <v>328</v>
      </c>
    </row>
    <row r="3" spans="1:12" ht="13.5" thickBot="1" x14ac:dyDescent="0.25">
      <c r="A3" s="76" t="s">
        <v>336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321</v>
      </c>
      <c r="K3" s="83">
        <f t="shared" ref="K3:K8" si="0">SUM(B3:H3)</f>
        <v>70</v>
      </c>
      <c r="L3" s="77" t="s">
        <v>342</v>
      </c>
    </row>
    <row r="4" spans="1:12" ht="13.5" thickBot="1" x14ac:dyDescent="0.25">
      <c r="A4" s="76" t="s">
        <v>337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324</v>
      </c>
      <c r="K4" s="83">
        <f t="shared" si="0"/>
        <v>7</v>
      </c>
      <c r="L4" s="77" t="s">
        <v>343</v>
      </c>
    </row>
    <row r="5" spans="1:12" ht="13.5" thickBot="1" x14ac:dyDescent="0.25">
      <c r="A5" s="76" t="s">
        <v>338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322</v>
      </c>
      <c r="K5" s="83">
        <f t="shared" si="0"/>
        <v>60</v>
      </c>
      <c r="L5" s="77" t="s">
        <v>344</v>
      </c>
    </row>
    <row r="6" spans="1:12" ht="13.5" thickBot="1" x14ac:dyDescent="0.25">
      <c r="A6" s="76" t="s">
        <v>339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325</v>
      </c>
      <c r="K6" s="83">
        <f t="shared" si="0"/>
        <v>6</v>
      </c>
      <c r="L6" s="77" t="s">
        <v>345</v>
      </c>
    </row>
    <row r="7" spans="1:12" ht="13.5" thickBot="1" x14ac:dyDescent="0.25">
      <c r="A7" s="76" t="s">
        <v>340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323</v>
      </c>
      <c r="K7" s="83">
        <f t="shared" si="0"/>
        <v>60</v>
      </c>
      <c r="L7" s="77" t="s">
        <v>346</v>
      </c>
    </row>
    <row r="8" spans="1:12" ht="13.5" thickBot="1" x14ac:dyDescent="0.25">
      <c r="A8" s="76" t="s">
        <v>341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326</v>
      </c>
      <c r="K8" s="83">
        <f t="shared" si="0"/>
        <v>6</v>
      </c>
      <c r="L8" s="77" t="s">
        <v>347</v>
      </c>
    </row>
    <row r="9" spans="1:12" ht="13.5" thickBot="1" x14ac:dyDescent="0.25">
      <c r="B9" s="80" t="s">
        <v>314</v>
      </c>
      <c r="C9" s="81" t="s">
        <v>315</v>
      </c>
      <c r="D9" s="81" t="s">
        <v>316</v>
      </c>
      <c r="E9" s="81" t="s">
        <v>317</v>
      </c>
      <c r="F9" s="81" t="s">
        <v>318</v>
      </c>
      <c r="G9" s="81" t="s">
        <v>319</v>
      </c>
      <c r="H9" s="82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opLeftCell="A146" zoomScaleNormal="100" workbookViewId="0">
      <selection activeCell="K190" sqref="K190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2" customFormat="1" ht="15.75" x14ac:dyDescent="0.25">
      <c r="A1" s="116" t="s">
        <v>431</v>
      </c>
      <c r="B1" s="116"/>
      <c r="C1" s="116"/>
      <c r="D1" s="116"/>
      <c r="E1" s="40" t="s">
        <v>413</v>
      </c>
      <c r="F1" s="100" t="s">
        <v>414</v>
      </c>
      <c r="G1" s="100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2" customFormat="1" ht="24" x14ac:dyDescent="0.2">
      <c r="A2" s="116" t="s">
        <v>432</v>
      </c>
      <c r="B2" s="116"/>
      <c r="C2" s="116"/>
      <c r="D2" s="116"/>
      <c r="E2" s="100" t="s">
        <v>53</v>
      </c>
      <c r="F2" s="87">
        <v>10</v>
      </c>
      <c r="G2" s="44"/>
      <c r="I2" s="67" t="s">
        <v>434</v>
      </c>
      <c r="J2" s="68" t="s">
        <v>435</v>
      </c>
      <c r="K2" s="68" t="s">
        <v>17</v>
      </c>
      <c r="L2" s="69" t="s">
        <v>438</v>
      </c>
      <c r="M2" s="67" t="s">
        <v>141</v>
      </c>
      <c r="N2" s="67" t="s">
        <v>142</v>
      </c>
      <c r="O2" s="67" t="s">
        <v>436</v>
      </c>
      <c r="P2" s="67" t="s">
        <v>437</v>
      </c>
      <c r="Q2" s="68" t="s">
        <v>353</v>
      </c>
      <c r="R2" s="67" t="s">
        <v>354</v>
      </c>
      <c r="S2" s="67" t="s">
        <v>355</v>
      </c>
      <c r="T2" s="67" t="s">
        <v>356</v>
      </c>
      <c r="U2" s="68" t="s">
        <v>22</v>
      </c>
      <c r="V2" s="68" t="s">
        <v>202</v>
      </c>
      <c r="W2" s="70" t="s">
        <v>353</v>
      </c>
      <c r="X2" s="68" t="s">
        <v>200</v>
      </c>
      <c r="Y2" s="68" t="s">
        <v>201</v>
      </c>
      <c r="Z2" s="68" t="s">
        <v>302</v>
      </c>
      <c r="AA2" s="68" t="s">
        <v>203</v>
      </c>
      <c r="AB2" s="70" t="s">
        <v>353</v>
      </c>
      <c r="AC2" s="68" t="s">
        <v>204</v>
      </c>
      <c r="AD2" s="68" t="s">
        <v>205</v>
      </c>
    </row>
    <row r="3" spans="1:30" s="102" customFormat="1" ht="13.5" thickBot="1" x14ac:dyDescent="0.3">
      <c r="A3" s="117" t="str">
        <f>_xlfn.CONCAT(F3," servings")</f>
        <v>10 servings</v>
      </c>
      <c r="B3" s="117"/>
      <c r="C3" s="117"/>
      <c r="D3" s="117"/>
      <c r="E3" s="100" t="s">
        <v>348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2" customFormat="1" ht="15.75" thickBot="1" x14ac:dyDescent="0.3">
      <c r="A4" s="115"/>
      <c r="B4" s="115"/>
      <c r="C4" s="115"/>
      <c r="D4" s="115"/>
      <c r="E4" s="100" t="s">
        <v>351</v>
      </c>
      <c r="F4" s="47">
        <f>F3/F2</f>
        <v>1</v>
      </c>
      <c r="G4" s="48" t="s">
        <v>415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2" customFormat="1" x14ac:dyDescent="0.25">
      <c r="A5" s="115" t="s">
        <v>417</v>
      </c>
      <c r="B5" s="115"/>
      <c r="C5" s="115"/>
      <c r="D5" s="115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2" customFormat="1" ht="15.75" thickBot="1" x14ac:dyDescent="0.3">
      <c r="A6" s="99" t="s">
        <v>21</v>
      </c>
      <c r="B6" s="49">
        <f t="shared" ref="B6" si="0">Q6</f>
        <v>0.25</v>
      </c>
      <c r="C6" s="36" t="str">
        <f t="shared" ref="C6" si="1">IF(L6="","",L6)</f>
        <v/>
      </c>
      <c r="D6" s="99" t="str">
        <f t="shared" ref="D6" si="2">_xlfn.CONCAT(K6, U6)</f>
        <v>large tinned fruit salad</v>
      </c>
      <c r="E6" s="100" t="s">
        <v>327</v>
      </c>
      <c r="F6" s="102">
        <f>totalBrCount + totalSbrCount</f>
        <v>77</v>
      </c>
      <c r="I6" s="51">
        <v>0.25</v>
      </c>
      <c r="J6" s="52"/>
      <c r="K6" s="52" t="s">
        <v>442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2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2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2" customFormat="1" ht="15.75" thickBot="1" x14ac:dyDescent="0.3">
      <c r="A7" s="99" t="s">
        <v>21</v>
      </c>
      <c r="B7" s="49">
        <f t="shared" ref="B7:B8" si="15">Q7</f>
        <v>2</v>
      </c>
      <c r="C7" s="36" t="str">
        <f t="shared" ref="C7:C8" si="16">IF(L7="","",L7)</f>
        <v/>
      </c>
      <c r="D7" s="99" t="str">
        <f t="shared" ref="D7:D8" si="17">_xlfn.CONCAT(K7, U7)</f>
        <v>chopped apples</v>
      </c>
      <c r="E7" s="100" t="s">
        <v>352</v>
      </c>
      <c r="F7" s="47">
        <f>F6/F3</f>
        <v>7.7</v>
      </c>
      <c r="G7" s="48" t="s">
        <v>416</v>
      </c>
      <c r="I7" s="51">
        <v>2</v>
      </c>
      <c r="J7" s="52"/>
      <c r="K7" s="52" t="s">
        <v>422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2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2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2" customFormat="1" x14ac:dyDescent="0.25">
      <c r="A8" s="99" t="s">
        <v>21</v>
      </c>
      <c r="B8" s="49">
        <f t="shared" si="15"/>
        <v>2</v>
      </c>
      <c r="C8" s="36" t="str">
        <f t="shared" si="16"/>
        <v/>
      </c>
      <c r="D8" s="99" t="str">
        <f t="shared" si="17"/>
        <v>sliced bananas</v>
      </c>
      <c r="I8" s="51">
        <v>2</v>
      </c>
      <c r="J8" s="52"/>
      <c r="K8" s="52" t="s">
        <v>423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2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2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2" customFormat="1" x14ac:dyDescent="0.25">
      <c r="A9" s="99" t="s">
        <v>21</v>
      </c>
      <c r="B9" s="49">
        <f t="shared" ref="B9:B10" si="30">Q9</f>
        <v>2</v>
      </c>
      <c r="C9" s="36" t="str">
        <f t="shared" ref="C9:C11" si="31">IF(L9="","",L9)</f>
        <v/>
      </c>
      <c r="D9" s="99" t="str">
        <f t="shared" ref="D9:D11" si="32">_xlfn.CONCAT(K9, U9)</f>
        <v>chopped pears</v>
      </c>
      <c r="I9" s="51">
        <v>2</v>
      </c>
      <c r="J9" s="52"/>
      <c r="K9" s="52" t="s">
        <v>424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2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2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2" customFormat="1" x14ac:dyDescent="0.25">
      <c r="A10" s="99" t="s">
        <v>21</v>
      </c>
      <c r="B10" s="49">
        <f t="shared" si="30"/>
        <v>2</v>
      </c>
      <c r="C10" s="36" t="str">
        <f t="shared" si="31"/>
        <v/>
      </c>
      <c r="D10" s="99" t="str">
        <f t="shared" si="32"/>
        <v>chopped peeled oranges</v>
      </c>
      <c r="I10" s="51">
        <v>2</v>
      </c>
      <c r="J10" s="52"/>
      <c r="K10" s="52" t="s">
        <v>425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2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2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2" customFormat="1" x14ac:dyDescent="0.25">
      <c r="A11" s="99" t="s">
        <v>21</v>
      </c>
      <c r="B11" s="49"/>
      <c r="C11" s="36" t="str">
        <f t="shared" si="31"/>
        <v/>
      </c>
      <c r="D11" s="99" t="str">
        <f t="shared" si="32"/>
        <v>grapes, if available</v>
      </c>
      <c r="K11" s="52" t="s">
        <v>427</v>
      </c>
      <c r="R11" s="44"/>
      <c r="S11" s="44"/>
      <c r="U11" s="102" t="s">
        <v>228</v>
      </c>
      <c r="V11" s="102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2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2" customFormat="1" x14ac:dyDescent="0.25">
      <c r="A12" s="115"/>
      <c r="B12" s="115"/>
      <c r="C12" s="115"/>
      <c r="D12" s="115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2" customFormat="1" x14ac:dyDescent="0.25">
      <c r="A13" s="115" t="s">
        <v>428</v>
      </c>
      <c r="B13" s="115"/>
      <c r="C13" s="115"/>
      <c r="D13" s="115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16" t="s">
        <v>429</v>
      </c>
      <c r="B14" s="116"/>
      <c r="C14" s="116"/>
      <c r="D14" s="116"/>
      <c r="E14" s="40" t="s">
        <v>303</v>
      </c>
      <c r="F14" s="100" t="s">
        <v>440</v>
      </c>
      <c r="G14" s="100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16" t="s">
        <v>430</v>
      </c>
      <c r="B15" s="116"/>
      <c r="C15" s="116"/>
      <c r="D15" s="116"/>
      <c r="E15" s="63" t="s">
        <v>53</v>
      </c>
      <c r="F15" s="105">
        <v>10</v>
      </c>
      <c r="G15" s="44"/>
      <c r="I15" s="67" t="s">
        <v>434</v>
      </c>
      <c r="J15" s="68" t="s">
        <v>435</v>
      </c>
      <c r="K15" s="68" t="s">
        <v>17</v>
      </c>
      <c r="L15" s="69" t="s">
        <v>438</v>
      </c>
      <c r="M15" s="67" t="s">
        <v>141</v>
      </c>
      <c r="N15" s="67" t="s">
        <v>142</v>
      </c>
      <c r="O15" s="67" t="s">
        <v>436</v>
      </c>
      <c r="P15" s="67" t="s">
        <v>437</v>
      </c>
      <c r="Q15" s="68" t="s">
        <v>353</v>
      </c>
      <c r="R15" s="67" t="s">
        <v>354</v>
      </c>
      <c r="S15" s="67" t="s">
        <v>355</v>
      </c>
      <c r="T15" s="67" t="s">
        <v>356</v>
      </c>
      <c r="U15" s="68" t="s">
        <v>22</v>
      </c>
      <c r="V15" s="68" t="s">
        <v>202</v>
      </c>
      <c r="W15" s="70" t="s">
        <v>353</v>
      </c>
      <c r="X15" s="68" t="s">
        <v>200</v>
      </c>
      <c r="Y15" s="68" t="s">
        <v>201</v>
      </c>
      <c r="Z15" s="68" t="s">
        <v>302</v>
      </c>
      <c r="AA15" s="68" t="s">
        <v>203</v>
      </c>
      <c r="AB15" s="70" t="s">
        <v>353</v>
      </c>
      <c r="AC15" s="68" t="s">
        <v>204</v>
      </c>
      <c r="AD15" s="68" t="s">
        <v>205</v>
      </c>
    </row>
    <row r="16" spans="1:30" s="64" customFormat="1" ht="13.5" thickBot="1" x14ac:dyDescent="0.3">
      <c r="A16" s="117" t="str">
        <f>_xlfn.CONCAT(F16," servings")</f>
        <v>10 servings</v>
      </c>
      <c r="B16" s="117"/>
      <c r="C16" s="117"/>
      <c r="D16" s="117"/>
      <c r="E16" s="63" t="s">
        <v>348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2" customFormat="1" ht="15.75" thickBot="1" x14ac:dyDescent="0.3">
      <c r="A17" s="115"/>
      <c r="B17" s="115"/>
      <c r="C17" s="115"/>
      <c r="D17" s="115"/>
      <c r="E17" s="63" t="s">
        <v>351</v>
      </c>
      <c r="F17" s="47">
        <f>F16/F15</f>
        <v>1</v>
      </c>
      <c r="G17" s="48" t="s">
        <v>349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15" t="s">
        <v>312</v>
      </c>
      <c r="B18" s="115"/>
      <c r="C18" s="115"/>
      <c r="D18" s="115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327</v>
      </c>
      <c r="F19" s="64">
        <f>totalLuCount + totalSluCount</f>
        <v>66</v>
      </c>
      <c r="H19" s="50"/>
      <c r="I19" s="51">
        <v>0.5</v>
      </c>
      <c r="J19" s="52"/>
      <c r="K19" s="52" t="s">
        <v>306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352</v>
      </c>
      <c r="F20" s="47">
        <f>F19/F16</f>
        <v>6.6</v>
      </c>
      <c r="G20" s="48" t="s">
        <v>350</v>
      </c>
      <c r="H20" s="50"/>
      <c r="I20" s="51">
        <v>0.5</v>
      </c>
      <c r="J20" s="52"/>
      <c r="K20" s="52" t="s">
        <v>307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169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308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402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439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309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441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310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228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311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15"/>
      <c r="B27" s="115"/>
      <c r="C27" s="115"/>
      <c r="D27" s="115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15" t="s">
        <v>401</v>
      </c>
      <c r="B28" s="115"/>
      <c r="C28" s="115"/>
      <c r="D28" s="115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58">
        <f>Q29</f>
        <v>2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2</v>
      </c>
      <c r="J29" s="52"/>
      <c r="K29" s="52" t="s">
        <v>304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0.26500000000000001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2</v>
      </c>
      <c r="R29" s="44">
        <f>recipe14TotScale * IF(L29 = "", Q29 * M29, IF(ISNA(CONVERT(Q29, L29, "kg")), CONVERT(Q29, L29, "l") * IF(N29 &lt;&gt; 0, M29 / N29, 0), CONVERT(Q29, L29, "kg")))</f>
        <v>1.7489999999999999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2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15"/>
      <c r="B30" s="115"/>
      <c r="C30" s="115"/>
      <c r="D30" s="115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15" t="s">
        <v>400</v>
      </c>
      <c r="B31" s="115"/>
      <c r="C31" s="115"/>
      <c r="D31" s="115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16" t="s">
        <v>183</v>
      </c>
      <c r="B32" s="116"/>
      <c r="C32" s="116"/>
      <c r="D32" s="116"/>
      <c r="E32" s="40" t="s">
        <v>184</v>
      </c>
      <c r="F32" s="100"/>
      <c r="G32" s="100"/>
    </row>
    <row r="33" spans="1:30" ht="24" x14ac:dyDescent="0.2">
      <c r="A33" s="116" t="s">
        <v>384</v>
      </c>
      <c r="B33" s="116"/>
      <c r="C33" s="116"/>
      <c r="D33" s="116"/>
      <c r="E33" s="39" t="s">
        <v>53</v>
      </c>
      <c r="F33" s="87">
        <v>4</v>
      </c>
      <c r="G33" s="44"/>
      <c r="I33" s="67" t="s">
        <v>434</v>
      </c>
      <c r="J33" s="68" t="s">
        <v>435</v>
      </c>
      <c r="K33" s="68" t="s">
        <v>17</v>
      </c>
      <c r="L33" s="69" t="s">
        <v>438</v>
      </c>
      <c r="M33" s="67" t="s">
        <v>141</v>
      </c>
      <c r="N33" s="67" t="s">
        <v>142</v>
      </c>
      <c r="O33" s="67" t="s">
        <v>436</v>
      </c>
      <c r="P33" s="67" t="s">
        <v>437</v>
      </c>
      <c r="Q33" s="68" t="s">
        <v>353</v>
      </c>
      <c r="R33" s="67" t="s">
        <v>354</v>
      </c>
      <c r="S33" s="67" t="s">
        <v>355</v>
      </c>
      <c r="T33" s="67" t="s">
        <v>356</v>
      </c>
      <c r="U33" s="68" t="s">
        <v>22</v>
      </c>
      <c r="V33" s="68" t="s">
        <v>202</v>
      </c>
      <c r="W33" s="70" t="s">
        <v>353</v>
      </c>
      <c r="X33" s="68" t="s">
        <v>200</v>
      </c>
      <c r="Y33" s="68" t="s">
        <v>201</v>
      </c>
      <c r="Z33" s="68" t="s">
        <v>302</v>
      </c>
      <c r="AA33" s="68" t="s">
        <v>203</v>
      </c>
      <c r="AB33" s="70" t="s">
        <v>353</v>
      </c>
      <c r="AC33" s="68" t="s">
        <v>204</v>
      </c>
      <c r="AD33" s="68" t="s">
        <v>205</v>
      </c>
    </row>
    <row r="34" spans="1:30" ht="13.5" thickBot="1" x14ac:dyDescent="0.3">
      <c r="A34" s="117" t="str">
        <f>_xlfn.CONCAT(F34," servings")</f>
        <v>4 servings</v>
      </c>
      <c r="B34" s="117"/>
      <c r="C34" s="117"/>
      <c r="D34" s="117"/>
      <c r="E34" s="39" t="s">
        <v>348</v>
      </c>
      <c r="F34" s="87">
        <v>4</v>
      </c>
      <c r="G34" s="44"/>
      <c r="I34" s="44"/>
    </row>
    <row r="35" spans="1:30" s="102" customFormat="1" ht="15.75" thickBot="1" x14ac:dyDescent="0.3">
      <c r="A35" s="115"/>
      <c r="B35" s="115"/>
      <c r="C35" s="115"/>
      <c r="D35" s="115"/>
      <c r="E35" s="39" t="s">
        <v>351</v>
      </c>
      <c r="F35" s="47">
        <f>F34/F33</f>
        <v>1</v>
      </c>
      <c r="G35" s="48" t="s">
        <v>357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15" t="s">
        <v>385</v>
      </c>
      <c r="B36" s="115"/>
      <c r="C36" s="115"/>
      <c r="D36" s="115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327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221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352</v>
      </c>
      <c r="F38" s="47">
        <f>F37/F34</f>
        <v>1.5</v>
      </c>
      <c r="G38" s="48" t="s">
        <v>358</v>
      </c>
      <c r="H38" s="50"/>
      <c r="I38" s="51">
        <v>1</v>
      </c>
      <c r="J38" s="52" t="s">
        <v>15</v>
      </c>
      <c r="K38" s="52" t="s">
        <v>386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260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15"/>
      <c r="B40" s="115"/>
      <c r="C40" s="115"/>
      <c r="D40" s="115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15" t="s">
        <v>117</v>
      </c>
      <c r="B41" s="115"/>
      <c r="C41" s="115"/>
      <c r="D41" s="115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151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114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387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15"/>
      <c r="B46" s="115"/>
      <c r="C46" s="115"/>
      <c r="D46" s="115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15" t="s">
        <v>389</v>
      </c>
      <c r="B47" s="115"/>
      <c r="C47" s="115"/>
      <c r="D47" s="115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448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15"/>
      <c r="B49" s="115"/>
      <c r="C49" s="115"/>
      <c r="D49" s="115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15" t="s">
        <v>390</v>
      </c>
      <c r="B50" s="115"/>
      <c r="C50" s="115"/>
      <c r="D50" s="115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186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392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149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16" t="s">
        <v>23</v>
      </c>
      <c r="B54" s="116"/>
      <c r="C54" s="116"/>
      <c r="D54" s="116"/>
      <c r="E54" s="39" t="s">
        <v>125</v>
      </c>
      <c r="F54" s="100" t="s">
        <v>90</v>
      </c>
      <c r="G54" s="100"/>
    </row>
    <row r="55" spans="1:30" ht="24" x14ac:dyDescent="0.2">
      <c r="A55" s="118" t="s">
        <v>20</v>
      </c>
      <c r="B55" s="118"/>
      <c r="C55" s="118"/>
      <c r="D55" s="118"/>
      <c r="E55" s="39" t="s">
        <v>53</v>
      </c>
      <c r="F55" s="87">
        <v>11</v>
      </c>
      <c r="G55" s="44"/>
      <c r="H55" s="44"/>
      <c r="I55" s="67" t="s">
        <v>434</v>
      </c>
      <c r="J55" s="68" t="s">
        <v>435</v>
      </c>
      <c r="K55" s="68" t="s">
        <v>17</v>
      </c>
      <c r="L55" s="69" t="s">
        <v>438</v>
      </c>
      <c r="M55" s="67" t="s">
        <v>141</v>
      </c>
      <c r="N55" s="67" t="s">
        <v>142</v>
      </c>
      <c r="O55" s="67" t="s">
        <v>436</v>
      </c>
      <c r="P55" s="67" t="s">
        <v>437</v>
      </c>
      <c r="Q55" s="68" t="s">
        <v>353</v>
      </c>
      <c r="R55" s="67" t="s">
        <v>354</v>
      </c>
      <c r="S55" s="67" t="s">
        <v>355</v>
      </c>
      <c r="T55" s="67" t="s">
        <v>356</v>
      </c>
      <c r="U55" s="68" t="s">
        <v>22</v>
      </c>
      <c r="V55" s="68" t="s">
        <v>202</v>
      </c>
      <c r="W55" s="70" t="s">
        <v>353</v>
      </c>
      <c r="X55" s="68" t="s">
        <v>200</v>
      </c>
      <c r="Y55" s="68" t="s">
        <v>201</v>
      </c>
      <c r="Z55" s="68" t="s">
        <v>302</v>
      </c>
      <c r="AA55" s="68" t="s">
        <v>203</v>
      </c>
      <c r="AB55" s="70" t="s">
        <v>353</v>
      </c>
      <c r="AC55" s="68" t="s">
        <v>204</v>
      </c>
      <c r="AD55" s="68" t="s">
        <v>205</v>
      </c>
    </row>
    <row r="56" spans="1:30" ht="13.5" thickBot="1" x14ac:dyDescent="0.3">
      <c r="A56" s="117" t="str">
        <f>_xlfn.CONCAT(F56," servings")</f>
        <v>10 servings</v>
      </c>
      <c r="B56" s="117"/>
      <c r="C56" s="117"/>
      <c r="D56" s="117"/>
      <c r="E56" s="63" t="s">
        <v>348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2" customFormat="1" ht="15.75" thickBot="1" x14ac:dyDescent="0.3">
      <c r="A57" s="115"/>
      <c r="B57" s="115"/>
      <c r="C57" s="115"/>
      <c r="D57" s="115"/>
      <c r="E57" s="63" t="s">
        <v>351</v>
      </c>
      <c r="F57" s="47">
        <f>F56/F55</f>
        <v>0.90909090909090906</v>
      </c>
      <c r="G57" s="48" t="s">
        <v>359</v>
      </c>
      <c r="H57" s="44"/>
      <c r="I57" s="60"/>
      <c r="J57" s="100"/>
      <c r="K57" s="100"/>
      <c r="L57" s="61"/>
      <c r="M57" s="60"/>
      <c r="N57" s="60"/>
      <c r="O57" s="60"/>
      <c r="P57" s="60"/>
      <c r="Q57" s="100"/>
      <c r="R57" s="60"/>
      <c r="S57" s="60"/>
      <c r="T57" s="60"/>
      <c r="U57" s="100"/>
      <c r="W57" s="45"/>
      <c r="Z57" s="46"/>
    </row>
    <row r="58" spans="1:30" x14ac:dyDescent="0.25">
      <c r="A58" s="115" t="s">
        <v>394</v>
      </c>
      <c r="B58" s="115"/>
      <c r="C58" s="115"/>
      <c r="D58" s="115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327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352</v>
      </c>
      <c r="F60" s="47">
        <f>F59/F56</f>
        <v>1</v>
      </c>
      <c r="G60" s="48" t="s">
        <v>360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234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15"/>
      <c r="B61" s="115"/>
      <c r="C61" s="115"/>
      <c r="D61" s="115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15" t="s">
        <v>19</v>
      </c>
      <c r="B62" s="115"/>
      <c r="C62" s="115"/>
      <c r="D62" s="115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233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15"/>
      <c r="B65" s="115"/>
      <c r="C65" s="115"/>
      <c r="D65" s="115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15" t="s">
        <v>209</v>
      </c>
      <c r="B66" s="115"/>
      <c r="C66" s="115"/>
      <c r="D66" s="115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305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15" t="s">
        <v>230</v>
      </c>
      <c r="B73" s="115"/>
      <c r="C73" s="115"/>
      <c r="D73" s="115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231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232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210</v>
      </c>
    </row>
    <row r="77" spans="1:30" ht="15.75" x14ac:dyDescent="0.25">
      <c r="A77" s="116" t="s">
        <v>24</v>
      </c>
      <c r="B77" s="116"/>
      <c r="C77" s="116"/>
      <c r="D77" s="116"/>
      <c r="E77" s="57" t="s">
        <v>126</v>
      </c>
      <c r="F77" s="100" t="s">
        <v>91</v>
      </c>
      <c r="G77" s="100"/>
    </row>
    <row r="78" spans="1:30" ht="24" x14ac:dyDescent="0.2">
      <c r="A78" s="116" t="s">
        <v>25</v>
      </c>
      <c r="B78" s="116"/>
      <c r="C78" s="116"/>
      <c r="D78" s="116"/>
      <c r="E78" s="39" t="s">
        <v>53</v>
      </c>
      <c r="F78" s="87">
        <v>11</v>
      </c>
      <c r="I78" s="67" t="s">
        <v>434</v>
      </c>
      <c r="J78" s="68" t="s">
        <v>435</v>
      </c>
      <c r="K78" s="68" t="s">
        <v>17</v>
      </c>
      <c r="L78" s="69" t="s">
        <v>438</v>
      </c>
      <c r="M78" s="67" t="s">
        <v>141</v>
      </c>
      <c r="N78" s="67" t="s">
        <v>142</v>
      </c>
      <c r="O78" s="67" t="s">
        <v>436</v>
      </c>
      <c r="P78" s="67" t="s">
        <v>437</v>
      </c>
      <c r="Q78" s="68" t="s">
        <v>353</v>
      </c>
      <c r="R78" s="67" t="s">
        <v>354</v>
      </c>
      <c r="S78" s="67" t="s">
        <v>355</v>
      </c>
      <c r="T78" s="67" t="s">
        <v>356</v>
      </c>
      <c r="U78" s="68" t="s">
        <v>22</v>
      </c>
      <c r="V78" s="68" t="s">
        <v>202</v>
      </c>
      <c r="W78" s="70" t="s">
        <v>353</v>
      </c>
      <c r="X78" s="68" t="s">
        <v>200</v>
      </c>
      <c r="Y78" s="68" t="s">
        <v>201</v>
      </c>
      <c r="Z78" s="68" t="s">
        <v>302</v>
      </c>
      <c r="AA78" s="68" t="s">
        <v>203</v>
      </c>
      <c r="AB78" s="70" t="s">
        <v>353</v>
      </c>
      <c r="AC78" s="68" t="s">
        <v>204</v>
      </c>
      <c r="AD78" s="68" t="s">
        <v>205</v>
      </c>
    </row>
    <row r="79" spans="1:30" ht="13.5" thickBot="1" x14ac:dyDescent="0.3">
      <c r="A79" s="117" t="str">
        <f>_xlfn.CONCAT(F79," servings")</f>
        <v>10 servings</v>
      </c>
      <c r="B79" s="117"/>
      <c r="C79" s="117"/>
      <c r="D79" s="117"/>
      <c r="E79" s="63" t="s">
        <v>348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2" customFormat="1" ht="15.75" thickBot="1" x14ac:dyDescent="0.3">
      <c r="A80" s="115"/>
      <c r="B80" s="115"/>
      <c r="C80" s="115"/>
      <c r="D80" s="115"/>
      <c r="E80" s="63" t="s">
        <v>351</v>
      </c>
      <c r="F80" s="47">
        <f>F79/F78</f>
        <v>0.90909090909090906</v>
      </c>
      <c r="G80" s="48" t="s">
        <v>361</v>
      </c>
      <c r="I80" s="60"/>
      <c r="J80" s="100"/>
      <c r="K80" s="100"/>
      <c r="L80" s="61"/>
      <c r="M80" s="60"/>
      <c r="N80" s="60"/>
      <c r="O80" s="60"/>
      <c r="P80" s="60"/>
      <c r="Q80" s="100"/>
      <c r="R80" s="60"/>
      <c r="S80" s="60"/>
      <c r="T80" s="60"/>
      <c r="U80" s="100"/>
      <c r="W80" s="45"/>
      <c r="Z80" s="46"/>
    </row>
    <row r="81" spans="1:30" x14ac:dyDescent="0.25">
      <c r="A81" s="115" t="s">
        <v>18</v>
      </c>
      <c r="B81" s="115"/>
      <c r="C81" s="115"/>
      <c r="D81" s="115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327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93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234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15"/>
      <c r="B83" s="115"/>
      <c r="C83" s="115"/>
      <c r="D83" s="115"/>
      <c r="E83" s="63" t="s">
        <v>352</v>
      </c>
      <c r="F83" s="47">
        <f>F82/F79</f>
        <v>1</v>
      </c>
      <c r="G83" s="48" t="s">
        <v>362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15" t="s">
        <v>211</v>
      </c>
      <c r="B84" s="115"/>
      <c r="C84" s="115"/>
      <c r="D84" s="115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97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96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15"/>
      <c r="B88" s="115"/>
      <c r="C88" s="115"/>
      <c r="D88" s="115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15" t="s">
        <v>212</v>
      </c>
      <c r="B89" s="115"/>
      <c r="C89" s="115"/>
      <c r="D89" s="115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99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305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100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101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85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216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15"/>
      <c r="B96" s="115"/>
      <c r="C96" s="115"/>
      <c r="D96" s="115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15" t="s">
        <v>213</v>
      </c>
      <c r="B97" s="115"/>
      <c r="C97" s="115"/>
      <c r="D97" s="115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15"/>
      <c r="B98" s="115"/>
      <c r="C98" s="115"/>
      <c r="D98" s="115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15" t="s">
        <v>214</v>
      </c>
      <c r="B99" s="115"/>
      <c r="C99" s="115"/>
      <c r="D99" s="115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215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15"/>
      <c r="B101" s="115"/>
      <c r="C101" s="115"/>
      <c r="D101" s="115"/>
      <c r="I101" s="44"/>
      <c r="M101" s="41"/>
      <c r="N101" s="41"/>
      <c r="O101" s="41"/>
      <c r="P101" s="41"/>
    </row>
    <row r="102" spans="1:30" x14ac:dyDescent="0.25">
      <c r="A102" s="115" t="s">
        <v>217</v>
      </c>
      <c r="B102" s="115"/>
      <c r="C102" s="115"/>
      <c r="D102" s="115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103</v>
      </c>
      <c r="I103" s="44"/>
      <c r="M103" s="41"/>
      <c r="N103" s="41"/>
      <c r="O103" s="41"/>
      <c r="P103" s="41"/>
    </row>
    <row r="104" spans="1:30" ht="15.75" x14ac:dyDescent="0.25">
      <c r="A104" s="116" t="s">
        <v>26</v>
      </c>
      <c r="B104" s="116"/>
      <c r="C104" s="116"/>
      <c r="D104" s="116"/>
      <c r="E104" s="40" t="s">
        <v>132</v>
      </c>
      <c r="F104" s="101" t="s">
        <v>74</v>
      </c>
      <c r="G104" s="101"/>
      <c r="I104" s="44"/>
    </row>
    <row r="105" spans="1:30" ht="24" x14ac:dyDescent="0.2">
      <c r="A105" s="116" t="s">
        <v>263</v>
      </c>
      <c r="B105" s="116"/>
      <c r="C105" s="116"/>
      <c r="D105" s="116"/>
      <c r="E105" s="39" t="s">
        <v>53</v>
      </c>
      <c r="F105" s="87">
        <v>21</v>
      </c>
      <c r="G105" s="44"/>
      <c r="H105" s="44"/>
      <c r="I105" s="67" t="s">
        <v>434</v>
      </c>
      <c r="J105" s="68" t="s">
        <v>435</v>
      </c>
      <c r="K105" s="68" t="s">
        <v>17</v>
      </c>
      <c r="L105" s="69" t="s">
        <v>438</v>
      </c>
      <c r="M105" s="67" t="s">
        <v>141</v>
      </c>
      <c r="N105" s="67" t="s">
        <v>142</v>
      </c>
      <c r="O105" s="67" t="s">
        <v>436</v>
      </c>
      <c r="P105" s="67" t="s">
        <v>437</v>
      </c>
      <c r="Q105" s="68" t="s">
        <v>353</v>
      </c>
      <c r="R105" s="67" t="s">
        <v>354</v>
      </c>
      <c r="S105" s="67" t="s">
        <v>355</v>
      </c>
      <c r="T105" s="67" t="s">
        <v>356</v>
      </c>
      <c r="U105" s="68" t="s">
        <v>22</v>
      </c>
      <c r="V105" s="68" t="s">
        <v>202</v>
      </c>
      <c r="W105" s="70" t="s">
        <v>353</v>
      </c>
      <c r="X105" s="68" t="s">
        <v>200</v>
      </c>
      <c r="Y105" s="68" t="s">
        <v>201</v>
      </c>
      <c r="Z105" s="68" t="s">
        <v>302</v>
      </c>
      <c r="AA105" s="68" t="s">
        <v>203</v>
      </c>
      <c r="AB105" s="70" t="s">
        <v>353</v>
      </c>
      <c r="AC105" s="68" t="s">
        <v>204</v>
      </c>
      <c r="AD105" s="68" t="s">
        <v>205</v>
      </c>
    </row>
    <row r="106" spans="1:30" ht="13.5" thickBot="1" x14ac:dyDescent="0.3">
      <c r="A106" s="117" t="str">
        <f>_xlfn.CONCAT(F106," servings")</f>
        <v>10 servings</v>
      </c>
      <c r="B106" s="117"/>
      <c r="C106" s="117"/>
      <c r="D106" s="117"/>
      <c r="E106" s="63" t="s">
        <v>348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2" customFormat="1" ht="15.75" thickBot="1" x14ac:dyDescent="0.3">
      <c r="A107" s="115"/>
      <c r="B107" s="115"/>
      <c r="C107" s="115"/>
      <c r="D107" s="115"/>
      <c r="E107" s="63" t="s">
        <v>351</v>
      </c>
      <c r="F107" s="47">
        <f>F106/F105</f>
        <v>0.47619047619047616</v>
      </c>
      <c r="G107" s="48" t="s">
        <v>363</v>
      </c>
      <c r="H107" s="50"/>
      <c r="I107" s="60"/>
      <c r="J107" s="100"/>
      <c r="K107" s="100"/>
      <c r="L107" s="61"/>
      <c r="M107" s="60"/>
      <c r="N107" s="60"/>
      <c r="O107" s="60"/>
      <c r="P107" s="60"/>
      <c r="Q107" s="44"/>
      <c r="R107" s="44"/>
      <c r="S107" s="44"/>
      <c r="T107" s="44"/>
      <c r="U107" s="100"/>
      <c r="W107" s="45"/>
      <c r="Z107" s="46"/>
    </row>
    <row r="108" spans="1:30" x14ac:dyDescent="0.25">
      <c r="A108" s="115" t="s">
        <v>242</v>
      </c>
      <c r="B108" s="115"/>
      <c r="C108" s="115"/>
      <c r="D108" s="115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5" si="153">Q109</f>
        <v>3.5</v>
      </c>
      <c r="C109" s="36" t="str">
        <f t="shared" ref="C109:C140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327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5" si="155">INDEX(itemGPerQty, MATCH(K109, itemNames, 0))</f>
        <v>0.80800000000000005</v>
      </c>
      <c r="N109" s="44">
        <f t="shared" ref="N109:N135" si="156">INDEX(itemMlPerQty, MATCH(K109, itemNames, 0))</f>
        <v>0.946353</v>
      </c>
      <c r="O109" s="44">
        <f t="shared" ref="O109:O135" si="157">IF(J109 = "", I109 * M109, IF(ISNA(CONVERT(I109, J109, "kg")), CONVERT(I109, J109, "l") * IF(N109 &lt;&gt; 0, M109 / N109, 0), CONVERT(I109, J109, "kg")))</f>
        <v>1.5149999135523426</v>
      </c>
      <c r="P109" s="44">
        <f t="shared" ref="P109:P135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218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15"/>
      <c r="B110" s="115"/>
      <c r="C110" s="115"/>
      <c r="D110" s="115"/>
      <c r="E110" s="63" t="s">
        <v>352</v>
      </c>
      <c r="F110" s="47">
        <f>F109/F106</f>
        <v>1</v>
      </c>
      <c r="G110" s="48" t="s">
        <v>364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15" t="s">
        <v>238</v>
      </c>
      <c r="B111" s="115"/>
      <c r="C111" s="115"/>
      <c r="D111" s="115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235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305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15"/>
      <c r="B115" s="115"/>
      <c r="C115" s="115"/>
      <c r="D115" s="115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15" t="s">
        <v>237</v>
      </c>
      <c r="B116" s="115"/>
      <c r="C116" s="115"/>
      <c r="D116" s="115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446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220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187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15"/>
      <c r="B119" s="115"/>
      <c r="C119" s="115"/>
      <c r="D119" s="115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15" t="s">
        <v>219</v>
      </c>
      <c r="B120" s="115"/>
      <c r="C120" s="115"/>
      <c r="D120" s="115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49">
        <f t="shared" si="153"/>
        <v>1.5</v>
      </c>
      <c r="C123" s="36" t="str">
        <f t="shared" si="154"/>
        <v>tbs</v>
      </c>
      <c r="D123" s="37" t="str">
        <f>_xlfn.CONCAT(K123, U123)</f>
        <v>minced fresh ginger</v>
      </c>
      <c r="I123" s="59">
        <v>3</v>
      </c>
      <c r="J123" s="52" t="s">
        <v>15</v>
      </c>
      <c r="K123" s="52" t="s">
        <v>221</v>
      </c>
      <c r="L123" s="53" t="s">
        <v>15</v>
      </c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4.4360294343749995E-2</v>
      </c>
      <c r="Q123" s="44">
        <f>MROUND(IF(AND(J123 = "", L123 = ""), I123 * recipe08DayScale, IF(ISNA(CONVERT(O123, "kg", L123)), CONVERT(P123 * recipe08DayScale, "l", L123), CONVERT(O123 * recipe08DayScale, "kg", L123))), roundTo)</f>
        <v>1.5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2.2180147171874998E-2</v>
      </c>
      <c r="T123" s="44">
        <f>recipe08TotScale * IF(AND(R123 = 0, S123 = 0, J123 = "", L123 = ""), Q123, 0)</f>
        <v>0</v>
      </c>
      <c r="V123" s="41" t="b">
        <f>INDEX(itemPrepMethods, MATCH(K123, itemNames, 0))="chop"</f>
        <v>1</v>
      </c>
      <c r="W123" s="54">
        <f>IF(V123, Q123, "")</f>
        <v>1.5</v>
      </c>
      <c r="X123" s="55" t="str">
        <f>IF(V123, IF(L123 = "", "", L123), "")</f>
        <v>tbs</v>
      </c>
      <c r="Y123" s="55" t="str">
        <f>IF(V123, K123, "")</f>
        <v>minced fresh ginger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115"/>
      <c r="B124" s="115"/>
      <c r="C124" s="115"/>
      <c r="D124" s="115"/>
      <c r="I124" s="41"/>
      <c r="L124" s="41"/>
      <c r="W124" s="71"/>
      <c r="X124" s="71"/>
      <c r="Y124" s="71"/>
      <c r="Z124" s="71"/>
      <c r="AA124" s="64"/>
      <c r="AB124" s="71"/>
      <c r="AC124" s="71"/>
      <c r="AD124" s="71"/>
    </row>
    <row r="125" spans="1:30" x14ac:dyDescent="0.25">
      <c r="A125" s="115" t="s">
        <v>222</v>
      </c>
      <c r="B125" s="115"/>
      <c r="C125" s="115"/>
      <c r="D125" s="115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37" t="s">
        <v>21</v>
      </c>
      <c r="D126" s="37" t="str">
        <f>_xlfn.CONCAT(K126, U126)</f>
        <v>bring to boil over high heat then cover and reduce heat</v>
      </c>
      <c r="I126" s="41"/>
      <c r="L126" s="41"/>
      <c r="U126" s="41" t="s">
        <v>223</v>
      </c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simmer for 20 minutes or until lentils have dissolved into a thick soup porridge</v>
      </c>
      <c r="I127" s="41"/>
      <c r="L127" s="41"/>
      <c r="U127" s="41" t="s">
        <v>224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add more water if needed and set aside</v>
      </c>
      <c r="I128" s="41"/>
      <c r="L128" s="41"/>
      <c r="U128" s="41" t="s">
        <v>225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115"/>
      <c r="B129" s="115"/>
      <c r="C129" s="115"/>
      <c r="D129" s="115"/>
      <c r="I129" s="41"/>
      <c r="L129" s="41"/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15" t="s">
        <v>236</v>
      </c>
      <c r="B130" s="115"/>
      <c r="C130" s="115"/>
      <c r="D130" s="115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37" t="s">
        <v>21</v>
      </c>
      <c r="B131" s="49">
        <f t="shared" si="153"/>
        <v>0.25</v>
      </c>
      <c r="C131" s="36" t="str">
        <f t="shared" si="154"/>
        <v>cup</v>
      </c>
      <c r="D131" s="37" t="str">
        <f>_xlfn.CONCAT(K131, U131)</f>
        <v>oil</v>
      </c>
      <c r="I131" s="59">
        <v>0.5</v>
      </c>
      <c r="J131" s="52" t="s">
        <v>16</v>
      </c>
      <c r="K131" s="52" t="s">
        <v>46</v>
      </c>
      <c r="L131" s="53" t="s">
        <v>16</v>
      </c>
      <c r="M131" s="44">
        <f t="shared" si="155"/>
        <v>0</v>
      </c>
      <c r="N131" s="44">
        <f t="shared" si="156"/>
        <v>0</v>
      </c>
      <c r="O131" s="44">
        <f t="shared" si="157"/>
        <v>0</v>
      </c>
      <c r="P131" s="44">
        <f t="shared" si="158"/>
        <v>0.11829411825</v>
      </c>
      <c r="Q131" s="44">
        <f>MROUND(IF(AND(J131 = "", L131 = ""), I131 * recipe08DayScale, IF(ISNA(CONVERT(O131, "kg", L131)), CONVERT(P131 * recipe08DayScale, "l", L131), CONVERT(O131 * recipe08DayScale, "kg", L131))), roundTo)</f>
        <v>0.25</v>
      </c>
      <c r="R131" s="44">
        <f>recipe08TotScale * IF(L131 = "", Q131 * M131, IF(ISNA(CONVERT(Q131, L131, "kg")), CONVERT(Q131, L131, "l") * IF(N131 &lt;&gt; 0, M131 / N131, 0), CONVERT(Q131, L131, "kg")))</f>
        <v>0</v>
      </c>
      <c r="S131" s="44">
        <f>recipe08TotScale * IF(R131 = 0, IF(L131 = "", Q131 * N131, IF(ISNA(CONVERT(Q131, L131, "l")), CONVERT(Q131, L131, "kg") * IF(M131 &lt;&gt; 0, N131 / M131, 0), CONVERT(Q131, L131, "l"))), 0)</f>
        <v>5.9147059124999998E-2</v>
      </c>
      <c r="T131" s="44">
        <f>recipe08TotScale * IF(AND(R131 = 0, S131 = 0, J131 = "", L131 = ""), Q131, 0)</f>
        <v>0</v>
      </c>
      <c r="V131" s="41" t="b">
        <f>INDEX(itemPrepMethods, MATCH(K131, itemNames, 0))="chop"</f>
        <v>0</v>
      </c>
      <c r="W131" s="54" t="str">
        <f>IF(V131, Q131, "")</f>
        <v/>
      </c>
      <c r="X131" s="55" t="str">
        <f>IF(V131, IF(L131 = "", "", L131), "")</f>
        <v/>
      </c>
      <c r="Y131" s="55" t="str">
        <f>IF(V131, K131, "")</f>
        <v/>
      </c>
      <c r="Z131" s="56"/>
      <c r="AA131" s="41" t="b">
        <f>INDEX(itemPrepMethods, MATCH(K131, itemNames, 0))="soak"</f>
        <v>0</v>
      </c>
      <c r="AB131" s="55" t="str">
        <f>IF(AA131, Q131, "")</f>
        <v/>
      </c>
      <c r="AC131" s="55" t="str">
        <f>IF(AA131, IF(L131 = "", "", L131), "")</f>
        <v/>
      </c>
      <c r="AD131" s="55" t="str">
        <f>IF(AA131, K131, "")</f>
        <v/>
      </c>
    </row>
    <row r="132" spans="1:30" x14ac:dyDescent="0.25">
      <c r="A132" s="115"/>
      <c r="B132" s="115"/>
      <c r="C132" s="115"/>
      <c r="D132" s="115"/>
      <c r="I132" s="41"/>
      <c r="L132" s="41"/>
      <c r="W132" s="71"/>
      <c r="X132" s="71"/>
      <c r="Y132" s="71"/>
      <c r="Z132" s="71"/>
      <c r="AA132" s="64"/>
      <c r="AB132" s="71"/>
      <c r="AC132" s="71"/>
      <c r="AD132" s="71"/>
    </row>
    <row r="133" spans="1:30" x14ac:dyDescent="0.25">
      <c r="A133" s="115" t="s">
        <v>274</v>
      </c>
      <c r="B133" s="115"/>
      <c r="C133" s="115"/>
      <c r="D133" s="115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37" t="s">
        <v>21</v>
      </c>
      <c r="B134" s="49">
        <f t="shared" si="153"/>
        <v>3.5</v>
      </c>
      <c r="C134" s="36" t="str">
        <f t="shared" si="154"/>
        <v>tbs</v>
      </c>
      <c r="D134" s="37" t="str">
        <f>_xlfn.CONCAT(K134, U134)</f>
        <v>cumin seeds</v>
      </c>
      <c r="I134" s="59">
        <v>7.5</v>
      </c>
      <c r="J134" s="52" t="s">
        <v>15</v>
      </c>
      <c r="K134" s="52" t="s">
        <v>49</v>
      </c>
      <c r="L134" s="53" t="s">
        <v>15</v>
      </c>
      <c r="M134" s="44">
        <f t="shared" si="155"/>
        <v>1.0999999999999999E-2</v>
      </c>
      <c r="N134" s="44">
        <f t="shared" si="156"/>
        <v>2.2180100000000001E-2</v>
      </c>
      <c r="O134" s="44">
        <f t="shared" si="157"/>
        <v>5.5000116972111261E-2</v>
      </c>
      <c r="P134" s="44">
        <f t="shared" si="158"/>
        <v>0.110900735859375</v>
      </c>
      <c r="Q134" s="44">
        <f>MROUND(IF(AND(J134 = "", L134 = ""), I134 * recipe08DayScale, IF(ISNA(CONVERT(O134, "kg", L134)), CONVERT(P134 * recipe08DayScale, "l", L134), CONVERT(O134 * recipe08DayScale, "kg", L134))), roundTo)</f>
        <v>3.5</v>
      </c>
      <c r="R134" s="44">
        <f>recipe08TotScale * IF(L134 = "", Q134 * M134, IF(ISNA(CONVERT(Q134, L134, "kg")), CONVERT(Q134, L134, "l") * IF(N134 &lt;&gt; 0, M134 / N134, 0), CONVERT(Q134, L134, "kg")))</f>
        <v>2.5666721253651919E-2</v>
      </c>
      <c r="S134" s="44">
        <f>recipe08TotScale * IF(R134 = 0, IF(L134 = "", Q134 * N134, IF(ISNA(CONVERT(Q134, L134, "l")), CONVERT(Q134, L134, "kg") * IF(M134 &lt;&gt; 0, N134 / M134, 0), CONVERT(Q134, L134, "l"))), 0)</f>
        <v>0</v>
      </c>
      <c r="T134" s="44">
        <f>recipe08TotScale * IF(AND(R134 = 0, S134 = 0, J134 = "", L134 = ""), Q134, 0)</f>
        <v>0</v>
      </c>
      <c r="V134" s="41" t="b">
        <f>INDEX(itemPrepMethods, MATCH(K134, itemNames, 0))="chop"</f>
        <v>0</v>
      </c>
      <c r="W134" s="54" t="str">
        <f>IF(V134, Q134, "")</f>
        <v/>
      </c>
      <c r="X134" s="55" t="str">
        <f>IF(V134, IF(L134 = "", "", L134), "")</f>
        <v/>
      </c>
      <c r="Y134" s="55" t="str">
        <f>IF(V134, K134, "")</f>
        <v/>
      </c>
      <c r="Z134" s="56"/>
      <c r="AA134" s="41" t="b">
        <f>INDEX(itemPrepMethods, MATCH(K134, itemNames, 0))="soak"</f>
        <v>0</v>
      </c>
      <c r="AB134" s="55" t="str">
        <f>IF(AA134, Q134, "")</f>
        <v/>
      </c>
      <c r="AC134" s="55" t="str">
        <f>IF(AA134, IF(L134 = "", "", L134), "")</f>
        <v/>
      </c>
      <c r="AD134" s="55" t="str">
        <f>IF(AA134, K134, "")</f>
        <v/>
      </c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black mustard seeds</v>
      </c>
      <c r="I135" s="59">
        <v>7.5</v>
      </c>
      <c r="J135" s="52" t="s">
        <v>15</v>
      </c>
      <c r="K135" s="52" t="s">
        <v>48</v>
      </c>
      <c r="L135" s="53" t="s">
        <v>15</v>
      </c>
      <c r="M135" s="44">
        <f t="shared" si="155"/>
        <v>1.6E-2</v>
      </c>
      <c r="N135" s="44">
        <f t="shared" si="156"/>
        <v>2.2180100000000001E-2</v>
      </c>
      <c r="O135" s="44">
        <f t="shared" si="157"/>
        <v>8.0000170141252741E-2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3.7333412732584614E-2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115"/>
      <c r="B136" s="115"/>
      <c r="C136" s="115"/>
      <c r="D136" s="115"/>
      <c r="I136" s="41"/>
      <c r="L136" s="41"/>
      <c r="W136" s="71"/>
      <c r="X136" s="71"/>
      <c r="Y136" s="71"/>
      <c r="Z136" s="71"/>
      <c r="AA136" s="64"/>
      <c r="AB136" s="71"/>
      <c r="AC136" s="71"/>
      <c r="AD136" s="71"/>
    </row>
    <row r="137" spans="1:30" x14ac:dyDescent="0.25">
      <c r="A137" s="115" t="s">
        <v>226</v>
      </c>
      <c r="B137" s="115"/>
      <c r="C137" s="115"/>
      <c r="D137" s="115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C138" s="37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A139" s="115" t="s">
        <v>227</v>
      </c>
      <c r="B139" s="115"/>
      <c r="C139" s="115"/>
      <c r="D139" s="115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37" t="s">
        <v>21</v>
      </c>
      <c r="B140" s="49"/>
      <c r="C140" s="36" t="str">
        <f t="shared" si="154"/>
        <v/>
      </c>
      <c r="D140" s="37" t="str">
        <f>_xlfn.CONCAT(K140, U140)</f>
        <v>sprigs fresh corriander, if available</v>
      </c>
      <c r="I140" s="60"/>
      <c r="J140" s="57"/>
      <c r="K140" s="52" t="s">
        <v>82</v>
      </c>
      <c r="L140" s="57"/>
      <c r="M140" s="57"/>
      <c r="N140" s="57"/>
      <c r="O140" s="57"/>
      <c r="P140" s="57"/>
      <c r="U140" s="41" t="s">
        <v>228</v>
      </c>
      <c r="V140" s="41" t="b">
        <f>INDEX(itemPrepMethods, MATCH(K140, itemNames, 0))="chop"</f>
        <v>0</v>
      </c>
      <c r="W140" s="54" t="str">
        <f>IF(V140, Q140, "")</f>
        <v/>
      </c>
      <c r="X140" s="55" t="str">
        <f>IF(V140, IF(L140 = "", "", L140), "")</f>
        <v/>
      </c>
      <c r="Y140" s="55" t="str">
        <f>IF(V140, K140, "")</f>
        <v/>
      </c>
      <c r="Z140" s="56"/>
      <c r="AA140" s="41" t="b">
        <f>INDEX(itemPrepMethods, MATCH(K140, itemNames, 0))="soak"</f>
        <v>0</v>
      </c>
      <c r="AB140" s="55" t="str">
        <f>IF(AA140, Q140, "")</f>
        <v/>
      </c>
      <c r="AC140" s="55" t="str">
        <f>IF(AA140, IF(L140 = "", "", L140), "")</f>
        <v/>
      </c>
      <c r="AD140" s="55" t="str">
        <f>IF(AA140, K140, "")</f>
        <v/>
      </c>
    </row>
    <row r="141" spans="1:30" ht="15.75" x14ac:dyDescent="0.25">
      <c r="A141" s="116" t="s">
        <v>27</v>
      </c>
      <c r="B141" s="116"/>
      <c r="C141" s="116"/>
      <c r="D141" s="116"/>
      <c r="E141" s="40" t="s">
        <v>127</v>
      </c>
      <c r="F141" s="100" t="s">
        <v>81</v>
      </c>
      <c r="G141" s="100"/>
      <c r="H141" s="44"/>
    </row>
    <row r="142" spans="1:30" ht="24" x14ac:dyDescent="0.2">
      <c r="A142" s="116" t="s">
        <v>28</v>
      </c>
      <c r="B142" s="116"/>
      <c r="C142" s="116"/>
      <c r="D142" s="116"/>
      <c r="E142" s="39" t="s">
        <v>53</v>
      </c>
      <c r="F142" s="87">
        <v>21</v>
      </c>
      <c r="G142" s="44"/>
      <c r="H142" s="44"/>
      <c r="I142" s="67" t="s">
        <v>434</v>
      </c>
      <c r="J142" s="68" t="s">
        <v>435</v>
      </c>
      <c r="K142" s="68" t="s">
        <v>17</v>
      </c>
      <c r="L142" s="69" t="s">
        <v>438</v>
      </c>
      <c r="M142" s="67" t="s">
        <v>141</v>
      </c>
      <c r="N142" s="67" t="s">
        <v>142</v>
      </c>
      <c r="O142" s="67" t="s">
        <v>436</v>
      </c>
      <c r="P142" s="67" t="s">
        <v>437</v>
      </c>
      <c r="Q142" s="68" t="s">
        <v>353</v>
      </c>
      <c r="R142" s="67" t="s">
        <v>354</v>
      </c>
      <c r="S142" s="67" t="s">
        <v>355</v>
      </c>
      <c r="T142" s="67" t="s">
        <v>356</v>
      </c>
      <c r="U142" s="68" t="s">
        <v>22</v>
      </c>
      <c r="V142" s="68" t="s">
        <v>202</v>
      </c>
      <c r="W142" s="70" t="s">
        <v>353</v>
      </c>
      <c r="X142" s="68" t="s">
        <v>200</v>
      </c>
      <c r="Y142" s="68" t="s">
        <v>201</v>
      </c>
      <c r="Z142" s="68" t="s">
        <v>302</v>
      </c>
      <c r="AA142" s="68" t="s">
        <v>203</v>
      </c>
      <c r="AB142" s="70" t="s">
        <v>353</v>
      </c>
      <c r="AC142" s="68" t="s">
        <v>204</v>
      </c>
      <c r="AD142" s="68" t="s">
        <v>205</v>
      </c>
    </row>
    <row r="143" spans="1:30" ht="13.5" thickBot="1" x14ac:dyDescent="0.3">
      <c r="A143" s="117" t="str">
        <f>_xlfn.CONCAT(F143," servings")</f>
        <v>10 servings</v>
      </c>
      <c r="B143" s="117"/>
      <c r="C143" s="117"/>
      <c r="D143" s="117"/>
      <c r="E143" s="63" t="s">
        <v>348</v>
      </c>
      <c r="F143" s="87">
        <f>suDiCount</f>
        <v>10</v>
      </c>
      <c r="G143" s="44"/>
      <c r="I143" s="41"/>
      <c r="L143" s="41"/>
      <c r="W143" s="64"/>
      <c r="X143" s="64"/>
      <c r="Y143" s="64"/>
      <c r="Z143" s="64"/>
      <c r="AA143" s="64"/>
      <c r="AB143" s="64"/>
      <c r="AC143" s="64"/>
      <c r="AD143" s="64"/>
    </row>
    <row r="144" spans="1:30" s="102" customFormat="1" ht="15.75" thickBot="1" x14ac:dyDescent="0.3">
      <c r="A144" s="115"/>
      <c r="B144" s="115"/>
      <c r="C144" s="115"/>
      <c r="D144" s="115"/>
      <c r="E144" s="63" t="s">
        <v>351</v>
      </c>
      <c r="F144" s="47">
        <f>F143/F142</f>
        <v>0.47619047619047616</v>
      </c>
      <c r="G144" s="48" t="s">
        <v>365</v>
      </c>
      <c r="M144" s="44"/>
      <c r="N144" s="44"/>
      <c r="O144" s="44"/>
      <c r="P144" s="44"/>
      <c r="Q144" s="44"/>
      <c r="R144" s="44"/>
      <c r="S144" s="44"/>
      <c r="T144" s="44"/>
    </row>
    <row r="145" spans="1:30" x14ac:dyDescent="0.25">
      <c r="A145" s="115" t="s">
        <v>229</v>
      </c>
      <c r="B145" s="115"/>
      <c r="C145" s="115"/>
      <c r="D145" s="115"/>
      <c r="E145" s="64"/>
      <c r="F145" s="64"/>
      <c r="G145" s="64"/>
      <c r="I145" s="41"/>
      <c r="L145" s="41"/>
      <c r="W145" s="64"/>
      <c r="X145" s="64"/>
      <c r="Y145" s="64"/>
      <c r="Z145" s="64"/>
      <c r="AA145" s="64"/>
      <c r="AB145" s="64"/>
      <c r="AC145" s="64"/>
      <c r="AD145" s="64"/>
    </row>
    <row r="146" spans="1:30" ht="15.75" thickBot="1" x14ac:dyDescent="0.3">
      <c r="A146" s="37" t="s">
        <v>21</v>
      </c>
      <c r="B146" s="49">
        <f t="shared" ref="B146:B155" si="159">Q146</f>
        <v>0.5</v>
      </c>
      <c r="C146" s="36" t="str">
        <f t="shared" ref="C146:C158" si="160">IF(L146="","",L146)</f>
        <v>cup</v>
      </c>
      <c r="D146" s="37" t="str">
        <f>_xlfn.CONCAT(K146, U146)</f>
        <v>oil</v>
      </c>
      <c r="E146" s="63" t="s">
        <v>327</v>
      </c>
      <c r="F146" s="87">
        <f>suDiCount</f>
        <v>10</v>
      </c>
      <c r="G146" s="64"/>
      <c r="I146" s="51">
        <v>1.25</v>
      </c>
      <c r="J146" s="52" t="s">
        <v>16</v>
      </c>
      <c r="K146" s="52" t="s">
        <v>46</v>
      </c>
      <c r="L146" s="53" t="s">
        <v>16</v>
      </c>
      <c r="M146" s="44">
        <f t="shared" ref="M146:M155" si="161">INDEX(itemGPerQty, MATCH(K146, itemNames, 0))</f>
        <v>0</v>
      </c>
      <c r="N146" s="44">
        <f t="shared" ref="N146:N155" si="162">INDEX(itemMlPerQty, MATCH(K146, itemNames, 0))</f>
        <v>0</v>
      </c>
      <c r="O146" s="44">
        <f t="shared" ref="O146:O155" si="163">IF(J146 = "", I146 * M146, IF(ISNA(CONVERT(I146, J146, "kg")), CONVERT(I146, J146, "l") * IF(N146 &lt;&gt; 0, M146 / N146, 0), CONVERT(I146, J146, "kg")))</f>
        <v>0</v>
      </c>
      <c r="P146" s="44">
        <f t="shared" ref="P146:P155" si="164">IF(J146 = "", I146 * N146, IF(ISNA(CONVERT(I146, J146, "l")), CONVERT(I146, J146, "kg") * IF(M146 &lt;&gt; 0, N146 / M146, 0), CONVERT(I146, J146, "l")))</f>
        <v>0.29573529562500001</v>
      </c>
      <c r="Q146" s="44">
        <f>MROUND(IF(AND(J146 = "", L146 = ""), I146 * recipe03DayScale, IF(ISNA(CONVERT(O146, "kg", L146)), CONVERT(P146 * recipe03DayScale, "l", L146), CONVERT(O146 * recipe03DayScale, "kg", L146))), roundTo)</f>
        <v>0.5</v>
      </c>
      <c r="R146" s="44">
        <f>recipe03TotScale * IF(L146 = "", Q146 * M146, IF(ISNA(CONVERT(Q146, L146, "kg")), CONVERT(Q146, L146, "l") * IF(N146 &lt;&gt; 0, M146 / N146, 0), CONVERT(Q146, L146, "kg")))</f>
        <v>0</v>
      </c>
      <c r="S146" s="44">
        <f>recipe03TotScale * IF(R146 = 0, IF(L146 = "", Q146 * N146, IF(ISNA(CONVERT(Q146, L146, "l")), CONVERT(Q146, L146, "kg") * IF(M146 &lt;&gt; 0, N146 / M146, 0), CONVERT(Q146, L146, "l"))), 0)</f>
        <v>0.11829411825</v>
      </c>
      <c r="T146" s="44">
        <f>recipe03TotScale * IF(AND(R146 = 0, S146 = 0, J146 = "", L146 = ""), Q146, 0)</f>
        <v>0</v>
      </c>
      <c r="V146" s="41" t="b">
        <f>INDEX(itemPrepMethods, MATCH(K146, itemNames, 0))="chop"</f>
        <v>0</v>
      </c>
      <c r="W146" s="54" t="str">
        <f>IF(V146, Q146, "")</f>
        <v/>
      </c>
      <c r="X146" s="55" t="str">
        <f>IF(V146, IF(L146 = "", "", L146), "")</f>
        <v/>
      </c>
      <c r="Y146" s="55" t="str">
        <f>IF(V146, K146, "")</f>
        <v/>
      </c>
      <c r="Z146" s="56"/>
      <c r="AA146" s="41" t="b">
        <f>INDEX(itemPrepMethods, MATCH(K146, itemNames, 0))="soak"</f>
        <v>0</v>
      </c>
      <c r="AB146" s="55" t="str">
        <f>IF(AA146, Q146, "")</f>
        <v/>
      </c>
      <c r="AC146" s="55" t="str">
        <f>IF(AA146, IF(L146 = "", "", L146), "")</f>
        <v/>
      </c>
      <c r="AD146" s="55" t="str">
        <f>IF(AA146, K146, "")</f>
        <v/>
      </c>
    </row>
    <row r="147" spans="1:30" ht="15.75" thickBot="1" x14ac:dyDescent="0.3">
      <c r="A147" s="37" t="s">
        <v>21</v>
      </c>
      <c r="B147" s="49">
        <f t="shared" si="159"/>
        <v>7.25</v>
      </c>
      <c r="C147" s="36" t="str">
        <f t="shared" si="160"/>
        <v/>
      </c>
      <c r="D147" s="37" t="str">
        <f>_xlfn.CONCAT(K147, U147)</f>
        <v>diced carrots</v>
      </c>
      <c r="E147" s="63" t="s">
        <v>352</v>
      </c>
      <c r="F147" s="47">
        <f>F146/F143</f>
        <v>1</v>
      </c>
      <c r="G147" s="48" t="s">
        <v>366</v>
      </c>
      <c r="I147" s="51">
        <v>15</v>
      </c>
      <c r="J147" s="52"/>
      <c r="K147" s="52" t="s">
        <v>96</v>
      </c>
      <c r="L147" s="53"/>
      <c r="M147" s="44">
        <f t="shared" si="161"/>
        <v>0</v>
      </c>
      <c r="N147" s="44">
        <f t="shared" si="162"/>
        <v>0</v>
      </c>
      <c r="O147" s="44">
        <f t="shared" si="163"/>
        <v>0</v>
      </c>
      <c r="P147" s="44">
        <f t="shared" si="164"/>
        <v>0</v>
      </c>
      <c r="Q147" s="44">
        <f>MROUND(IF(AND(J147 = "", L147 = ""), I147 * recipe03DayScale, IF(ISNA(CONVERT(O147, "kg", L147)), CONVERT(P147 * recipe03DayScale, "l", L147), CONVERT(O147 * recipe03DayScale, "kg", L147))), roundTo)</f>
        <v>7.25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</v>
      </c>
      <c r="T147" s="44">
        <f>recipe03TotScale * IF(AND(R147 = 0, S147 = 0, J147 = "", L147 = ""), Q147, 0)</f>
        <v>7.25</v>
      </c>
      <c r="V147" s="41" t="b">
        <f>INDEX(itemPrepMethods, MATCH(K147, itemNames, 0))="chop"</f>
        <v>1</v>
      </c>
      <c r="W147" s="54">
        <f>IF(V147, Q147, "")</f>
        <v>7.25</v>
      </c>
      <c r="X147" s="55" t="str">
        <f>IF(V147, IF(L147 = "", "", L147), "")</f>
        <v/>
      </c>
      <c r="Y147" s="55" t="str">
        <f>IF(V147, K147, "")</f>
        <v>diced carrots</v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x14ac:dyDescent="0.25">
      <c r="A148" s="37" t="s">
        <v>21</v>
      </c>
      <c r="B148" s="49">
        <f t="shared" si="159"/>
        <v>2.75</v>
      </c>
      <c r="C148" s="36" t="str">
        <f t="shared" si="160"/>
        <v/>
      </c>
      <c r="D148" s="37" t="str">
        <f>_xlfn.CONCAT(K148, U148)</f>
        <v>diced celery stalks</v>
      </c>
      <c r="I148" s="51">
        <v>6</v>
      </c>
      <c r="J148" s="52"/>
      <c r="K148" s="52" t="s">
        <v>97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2.75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2.75</v>
      </c>
      <c r="V148" s="41" t="b">
        <f>INDEX(itemPrepMethods, MATCH(K148, itemNames, 0))="chop"</f>
        <v>1</v>
      </c>
      <c r="W148" s="54">
        <f>IF(V148, Q148, "")</f>
        <v>2.75</v>
      </c>
      <c r="X148" s="55" t="str">
        <f>IF(V148, IF(L148 = "", "", L148), "")</f>
        <v/>
      </c>
      <c r="Y148" s="55" t="str">
        <f>IF(V148, K148, "")</f>
        <v>diced celery stalks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115"/>
      <c r="B149" s="115"/>
      <c r="C149" s="115"/>
      <c r="D149" s="115"/>
      <c r="I149" s="41"/>
      <c r="L149" s="41"/>
      <c r="W149" s="71"/>
      <c r="X149" s="71"/>
      <c r="Y149" s="71"/>
      <c r="Z149" s="71"/>
      <c r="AA149" s="64"/>
      <c r="AB149" s="71"/>
      <c r="AC149" s="71"/>
      <c r="AD149" s="71"/>
    </row>
    <row r="150" spans="1:30" x14ac:dyDescent="0.25">
      <c r="A150" s="115" t="s">
        <v>117</v>
      </c>
      <c r="B150" s="115"/>
      <c r="C150" s="115"/>
      <c r="D150" s="115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37" t="s">
        <v>21</v>
      </c>
      <c r="B151" s="49">
        <f>Q151</f>
        <v>2.5</v>
      </c>
      <c r="C151" s="36" t="str">
        <f>IF(L151="","",L151)</f>
        <v/>
      </c>
      <c r="D151" s="37" t="str">
        <f>_xlfn.CONCAT(K151, U151)</f>
        <v>tinned chopped tomatoes</v>
      </c>
      <c r="I151" s="51">
        <v>5</v>
      </c>
      <c r="J151" s="52"/>
      <c r="K151" s="52" t="s">
        <v>446</v>
      </c>
      <c r="L151" s="53"/>
      <c r="M151" s="44">
        <f>INDEX(itemGPerQty, MATCH(K151, itemNames, 0))</f>
        <v>0</v>
      </c>
      <c r="N151" s="44">
        <f>INDEX(itemMlPerQty, MATCH(K151, itemNames, 0))</f>
        <v>0</v>
      </c>
      <c r="O151" s="44">
        <f>IF(J151 = "", I151 * M151, IF(ISNA(CONVERT(I151, J151, "kg")), CONVERT(I151, J151, "l") * IF(N151 &lt;&gt; 0, M151 / N151, 0), CONVERT(I151, J151, "kg")))</f>
        <v>0</v>
      </c>
      <c r="P151" s="44">
        <f>IF(J151 = "", I151 * N151, IF(ISNA(CONVERT(I151, J151, "l")), CONVERT(I151, J151, "kg") * IF(M151 &lt;&gt; 0, N151 / M151, 0), CONVERT(I151, J151, "l")))</f>
        <v>0</v>
      </c>
      <c r="Q151" s="44">
        <f>MROUND(IF(AND(J151 = "", L151 = ""), I151 * recipe03DayScale, IF(ISNA(CONVERT(O151, "kg", L151)), CONVERT(P151 * recipe03DayScale, "l", L151), CONVERT(O151 * recipe03DayScale, "kg", L151))), roundTo)</f>
        <v>2.5</v>
      </c>
      <c r="R151" s="44">
        <f>recipe03TotScale * IF(L151 = "", Q151 * M151, IF(ISNA(CONVERT(Q151, L151, "kg")), CONVERT(Q151, L151, "l") * IF(N151 &lt;&gt; 0, M151 / N151, 0), CONVERT(Q151, L151, "kg")))</f>
        <v>0</v>
      </c>
      <c r="S151" s="44">
        <f>recipe03TotScale * IF(R151 = 0, IF(L151 = "", Q151 * N151, IF(ISNA(CONVERT(Q151, L151, "l")), CONVERT(Q151, L151, "kg") * IF(M151 &lt;&gt; 0, N151 / M151, 0), CONVERT(Q151, L151, "l"))), 0)</f>
        <v>0</v>
      </c>
      <c r="T151" s="44">
        <f>recipe03TotScale * IF(AND(R151 = 0, S151 = 0, J151 = "", L151 = ""), Q151, 0)</f>
        <v>2.5</v>
      </c>
      <c r="V151" s="41" t="b">
        <f>INDEX(itemPrepMethods, MATCH(K151, itemNames, 0))="chop"</f>
        <v>0</v>
      </c>
      <c r="W151" s="54" t="str">
        <f>IF(V151, Q151, "")</f>
        <v/>
      </c>
      <c r="X151" s="55" t="str">
        <f>IF(V151, IF(L151 = "", "", L151), "")</f>
        <v/>
      </c>
      <c r="Y151" s="55" t="str">
        <f>IF(V151, K151, "")</f>
        <v/>
      </c>
      <c r="Z151" s="56"/>
      <c r="AA151" s="41" t="b">
        <f>INDEX(itemPrepMethods, MATCH(K151, itemNames, 0))="soak"</f>
        <v>0</v>
      </c>
      <c r="AB151" s="55" t="str">
        <f>IF(AA151, Q151, "")</f>
        <v/>
      </c>
      <c r="AC151" s="55" t="str">
        <f>IF(AA151, IF(L151 = "", "", L151), "")</f>
        <v/>
      </c>
      <c r="AD151" s="55" t="str">
        <f>IF(AA151, K151, "")</f>
        <v/>
      </c>
    </row>
    <row r="152" spans="1:30" x14ac:dyDescent="0.25">
      <c r="A152" s="37" t="s">
        <v>21</v>
      </c>
      <c r="B152" s="49">
        <f>Q152</f>
        <v>10</v>
      </c>
      <c r="C152" s="36" t="str">
        <f>IF(L152="","",L152)</f>
        <v>cup</v>
      </c>
      <c r="D152" s="37" t="str">
        <f>_xlfn.CONCAT(K152, U152)</f>
        <v>vegetable stock</v>
      </c>
      <c r="I152" s="51">
        <v>5</v>
      </c>
      <c r="J152" s="52" t="s">
        <v>54</v>
      </c>
      <c r="K152" s="52" t="s">
        <v>55</v>
      </c>
      <c r="L152" s="53" t="s">
        <v>16</v>
      </c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5</v>
      </c>
      <c r="Q152" s="44">
        <f>MROUND(IF(AND(J152 = "", L152 = ""), I152 * recipe03DayScale, IF(ISNA(CONVERT(O152, "kg", L152)), CONVERT(P152 * recipe03DayScale, "l", L152), CONVERT(O152 * recipe03DayScale, "kg", L152))), roundTo)</f>
        <v>10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2.365882365</v>
      </c>
      <c r="T152" s="44">
        <f>recipe03TotScale * IF(AND(R152 = 0, S152 = 0, J152 = "", L152 = ""), Q152, 0)</f>
        <v>0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 t="shared" si="159"/>
        <v>2.5</v>
      </c>
      <c r="C153" s="36" t="str">
        <f t="shared" si="160"/>
        <v/>
      </c>
      <c r="D153" s="37" t="str">
        <f>_xlfn.CONCAT(K153, U153)</f>
        <v>sprigs fresh rosemary</v>
      </c>
      <c r="I153" s="51">
        <v>5</v>
      </c>
      <c r="J153" s="52"/>
      <c r="K153" s="52" t="s">
        <v>83</v>
      </c>
      <c r="L153" s="53"/>
      <c r="M153" s="44">
        <f t="shared" si="161"/>
        <v>0</v>
      </c>
      <c r="N153" s="44">
        <f t="shared" si="162"/>
        <v>0</v>
      </c>
      <c r="O153" s="44">
        <f t="shared" si="163"/>
        <v>0</v>
      </c>
      <c r="P153" s="44">
        <f t="shared" si="164"/>
        <v>0</v>
      </c>
      <c r="Q153" s="44">
        <f>MROUND(IF(AND(J153 = "", L153 = ""), I153 * recipe03DayScale, IF(ISNA(CONVERT(O153, "kg", L153)), CONVERT(P153 * recipe03DayScale, "l", L153), CONVERT(O153 * recipe03DayScale, "kg", L153))), roundTo)</f>
        <v>2.5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0</v>
      </c>
      <c r="T153" s="44">
        <f>recipe03TotScale * IF(AND(R153 = 0, S153 = 0, J153 = "", L153 = ""), Q153, 0)</f>
        <v>2.5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thyme</v>
      </c>
      <c r="I154" s="51">
        <v>5</v>
      </c>
      <c r="J154" s="52"/>
      <c r="K154" s="52" t="s">
        <v>84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bay leaves</v>
      </c>
      <c r="I155" s="51">
        <v>5</v>
      </c>
      <c r="J155" s="52"/>
      <c r="K155" s="52" t="s">
        <v>85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115"/>
      <c r="B156" s="115"/>
      <c r="C156" s="115"/>
      <c r="D156" s="115"/>
      <c r="I156" s="44"/>
      <c r="L156" s="41"/>
      <c r="M156" s="41"/>
      <c r="N156" s="41"/>
      <c r="O156" s="41"/>
      <c r="P156" s="41"/>
      <c r="W156" s="71"/>
      <c r="X156" s="71"/>
      <c r="Y156" s="71"/>
      <c r="Z156" s="71"/>
      <c r="AA156" s="64"/>
      <c r="AB156" s="71"/>
      <c r="AC156" s="71"/>
      <c r="AD156" s="71"/>
    </row>
    <row r="157" spans="1:30" x14ac:dyDescent="0.25">
      <c r="A157" s="115" t="s">
        <v>239</v>
      </c>
      <c r="B157" s="115"/>
      <c r="C157" s="115"/>
      <c r="D157" s="115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37" t="s">
        <v>21</v>
      </c>
      <c r="B158" s="58">
        <f>Q158</f>
        <v>0</v>
      </c>
      <c r="C158" s="88" t="str">
        <f t="shared" si="160"/>
        <v>cup</v>
      </c>
      <c r="D158" s="99" t="str">
        <f>_xlfn.CONCAT(K158, U158)</f>
        <v>thinly sliced silverbeet</v>
      </c>
      <c r="I158" s="51">
        <v>1.5</v>
      </c>
      <c r="J158" s="52" t="s">
        <v>12</v>
      </c>
      <c r="K158" s="52" t="s">
        <v>89</v>
      </c>
      <c r="L158" s="53" t="s">
        <v>16</v>
      </c>
      <c r="M158" s="44">
        <f>INDEX(itemGPerQty, MATCH(K158, itemNames, 0))</f>
        <v>0</v>
      </c>
      <c r="N158" s="44">
        <f>INDEX(itemMlPerQty, MATCH(K158, itemNames, 0))</f>
        <v>0</v>
      </c>
      <c r="O158" s="44">
        <f>IF(J158 = "", I158 * M158, IF(ISNA(CONVERT(I158, J158, "kg")), CONVERT(I158, J158, "l") * IF(N158 &lt;&gt; 0, M158 / N158, 0), CONVERT(I158, J158, "kg")))</f>
        <v>1.5</v>
      </c>
      <c r="P158" s="44">
        <f>IF(J158 = "", I158 * N158, IF(ISNA(CONVERT(I158, J158, "l")), CONVERT(I158, J158, "kg") * IF(M158 &lt;&gt; 0, N158 / M158, 0), CONVERT(I158, J158, "l")))</f>
        <v>0</v>
      </c>
      <c r="Q158" s="44">
        <f>MROUND(IF(AND(J158 = "", L158 = ""), I158 * recipe03DayScale, IF(ISNA(CONVERT(O158, "kg", L158)), CONVERT(P158 * recipe03DayScale, "l", L158), CONVERT(O158 * recipe03DayScale, "kg", L158))), roundTo)</f>
        <v>0</v>
      </c>
      <c r="R158" s="44">
        <f>recipe03TotScale * IF(L158 = "", Q158 * M158, IF(ISNA(CONVERT(Q158, L158, "kg")), CONVERT(Q158, L158, "l") * IF(N158 &lt;&gt; 0, M158 / N158, 0), CONVERT(Q158, L158, "kg")))</f>
        <v>0</v>
      </c>
      <c r="S158" s="44">
        <f>recipe03TotScale * IF(R158 = 0, IF(L158 = "", Q158 * N158, IF(ISNA(CONVERT(Q158, L158, "l")), CONVERT(Q158, L158, "kg") * IF(M158 &lt;&gt; 0, N158 / M158, 0), CONVERT(Q158, L158, "l"))), 0)</f>
        <v>0</v>
      </c>
      <c r="T158" s="44">
        <f>recipe03TotScale * IF(AND(R158 = 0, S158 = 0, J158 = "", L158 = ""), Q158, 0)</f>
        <v>0</v>
      </c>
      <c r="V158" s="41" t="b">
        <f>INDEX(itemPrepMethods, MATCH(K158, itemNames, 0))="chop"</f>
        <v>1</v>
      </c>
      <c r="W158" s="54">
        <f>IF(V158, Q158, "")</f>
        <v>0</v>
      </c>
      <c r="X158" s="55" t="str">
        <f>IF(V158, IF(L158 = "", "", L158), "")</f>
        <v>cup</v>
      </c>
      <c r="Y158" s="55" t="str">
        <f>IF(V158, K158, "")</f>
        <v>thinly sliced silverbeet</v>
      </c>
      <c r="Z158" s="56"/>
      <c r="AA158" s="41" t="b">
        <f>INDEX(itemPrepMethods, MATCH(K158, itemNames, 0))="soak"</f>
        <v>0</v>
      </c>
      <c r="AB158" s="55" t="str">
        <f>IF(AA158, Q158, "")</f>
        <v/>
      </c>
      <c r="AC158" s="55" t="str">
        <f>IF(AA158, IF(L158 = "", "", L158), "")</f>
        <v/>
      </c>
      <c r="AD158" s="55" t="str">
        <f>IF(AA158, K158, "")</f>
        <v/>
      </c>
    </row>
    <row r="159" spans="1:30" x14ac:dyDescent="0.25">
      <c r="A159" s="115"/>
      <c r="B159" s="115"/>
      <c r="C159" s="115"/>
      <c r="D159" s="115"/>
      <c r="I159" s="44"/>
      <c r="L159" s="41"/>
      <c r="M159" s="41"/>
      <c r="N159" s="41"/>
      <c r="O159" s="41"/>
      <c r="P159" s="41"/>
      <c r="W159" s="71"/>
      <c r="X159" s="71"/>
      <c r="Y159" s="71"/>
      <c r="Z159" s="71"/>
      <c r="AA159" s="64"/>
      <c r="AB159" s="71"/>
      <c r="AC159" s="71"/>
      <c r="AD159" s="71"/>
    </row>
    <row r="160" spans="1:30" x14ac:dyDescent="0.25">
      <c r="A160" s="115" t="s">
        <v>240</v>
      </c>
      <c r="B160" s="115"/>
      <c r="C160" s="115"/>
      <c r="D160" s="115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15"/>
      <c r="B161" s="115"/>
      <c r="C161" s="115"/>
      <c r="D161" s="115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15" t="s">
        <v>256</v>
      </c>
      <c r="B162" s="115"/>
      <c r="C162" s="115"/>
      <c r="D162" s="115"/>
      <c r="I162" s="44"/>
      <c r="L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37" t="s">
        <v>21</v>
      </c>
      <c r="B163" s="49"/>
      <c r="C163" s="36" t="str">
        <f>IF(L163="","",L163)</f>
        <v/>
      </c>
      <c r="D163" s="37" t="str">
        <f>_xlfn.CONCAT(K163, U163)</f>
        <v>salt, to taste</v>
      </c>
      <c r="I163" s="44"/>
      <c r="K163" s="52" t="s">
        <v>11</v>
      </c>
      <c r="L163" s="41"/>
      <c r="M163" s="41"/>
      <c r="N163" s="41"/>
      <c r="O163" s="41"/>
      <c r="P163" s="41"/>
      <c r="U163" s="41" t="s">
        <v>206</v>
      </c>
      <c r="V163" s="41" t="b">
        <f>INDEX(itemPrepMethods, MATCH(K163, itemNames, 0))="chop"</f>
        <v>0</v>
      </c>
      <c r="W163" s="54" t="str">
        <f>IF(V163, Q163, "")</f>
        <v/>
      </c>
      <c r="X163" s="55" t="str">
        <f>IF(V163, IF(L163 = "", "", L163), "")</f>
        <v/>
      </c>
      <c r="Y163" s="55" t="str">
        <f>IF(V163, K163, "")</f>
        <v/>
      </c>
      <c r="Z163" s="56"/>
      <c r="AA163" s="41" t="b">
        <f>INDEX(itemPrepMethods, MATCH(K163, itemNames, 0))="soak"</f>
        <v>0</v>
      </c>
      <c r="AB163" s="55" t="str">
        <f>IF(AA163, Q163, "")</f>
        <v/>
      </c>
      <c r="AC163" s="55" t="str">
        <f>IF(AA163, IF(L163 = "", "", L163), "")</f>
        <v/>
      </c>
      <c r="AD163" s="55" t="str">
        <f>IF(AA163, K163, "")</f>
        <v/>
      </c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ground black pepper, to taste</v>
      </c>
      <c r="I164" s="44"/>
      <c r="K164" s="52" t="s">
        <v>76</v>
      </c>
      <c r="L164" s="41"/>
      <c r="M164" s="41"/>
      <c r="N164" s="41"/>
      <c r="O164" s="41"/>
      <c r="P164" s="41"/>
      <c r="U164" s="41" t="s">
        <v>206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ht="15.75" x14ac:dyDescent="0.25">
      <c r="A165" s="116" t="s">
        <v>30</v>
      </c>
      <c r="B165" s="116"/>
      <c r="C165" s="116"/>
      <c r="D165" s="116"/>
      <c r="E165" s="40" t="s">
        <v>134</v>
      </c>
      <c r="F165" s="100" t="s">
        <v>162</v>
      </c>
      <c r="G165" s="100"/>
    </row>
    <row r="166" spans="1:30" ht="24" x14ac:dyDescent="0.2">
      <c r="A166" s="116" t="s">
        <v>42</v>
      </c>
      <c r="B166" s="116"/>
      <c r="C166" s="116"/>
      <c r="D166" s="116"/>
      <c r="E166" s="39" t="s">
        <v>53</v>
      </c>
      <c r="F166" s="87">
        <v>16</v>
      </c>
      <c r="G166" s="44"/>
      <c r="I166" s="67" t="s">
        <v>434</v>
      </c>
      <c r="J166" s="68" t="s">
        <v>435</v>
      </c>
      <c r="K166" s="68" t="s">
        <v>17</v>
      </c>
      <c r="L166" s="69" t="s">
        <v>438</v>
      </c>
      <c r="M166" s="67" t="s">
        <v>141</v>
      </c>
      <c r="N166" s="67" t="s">
        <v>142</v>
      </c>
      <c r="O166" s="67" t="s">
        <v>436</v>
      </c>
      <c r="P166" s="67" t="s">
        <v>437</v>
      </c>
      <c r="Q166" s="68" t="s">
        <v>353</v>
      </c>
      <c r="R166" s="67" t="s">
        <v>354</v>
      </c>
      <c r="S166" s="67" t="s">
        <v>355</v>
      </c>
      <c r="T166" s="67" t="s">
        <v>356</v>
      </c>
      <c r="U166" s="68" t="s">
        <v>22</v>
      </c>
      <c r="V166" s="68" t="s">
        <v>202</v>
      </c>
      <c r="W166" s="70" t="s">
        <v>353</v>
      </c>
      <c r="X166" s="68" t="s">
        <v>200</v>
      </c>
      <c r="Y166" s="68" t="s">
        <v>201</v>
      </c>
      <c r="Z166" s="68" t="s">
        <v>302</v>
      </c>
      <c r="AA166" s="68" t="s">
        <v>203</v>
      </c>
      <c r="AB166" s="70" t="s">
        <v>353</v>
      </c>
      <c r="AC166" s="68" t="s">
        <v>204</v>
      </c>
      <c r="AD166" s="68" t="s">
        <v>205</v>
      </c>
    </row>
    <row r="167" spans="1:30" ht="13.5" thickBot="1" x14ac:dyDescent="0.3">
      <c r="A167" s="117" t="str">
        <f>_xlfn.CONCAT(F167," servings")</f>
        <v>10 servings</v>
      </c>
      <c r="B167" s="117"/>
      <c r="C167" s="117"/>
      <c r="D167" s="117"/>
      <c r="E167" s="63" t="s">
        <v>348</v>
      </c>
      <c r="F167" s="87">
        <f>thLuCount</f>
        <v>10</v>
      </c>
      <c r="G167" s="44"/>
      <c r="I167" s="44"/>
    </row>
    <row r="168" spans="1:30" s="102" customFormat="1" ht="15.75" thickBot="1" x14ac:dyDescent="0.3">
      <c r="A168" s="115"/>
      <c r="B168" s="115"/>
      <c r="C168" s="115"/>
      <c r="D168" s="115"/>
      <c r="E168" s="63" t="s">
        <v>351</v>
      </c>
      <c r="F168" s="47">
        <f>F167/F166</f>
        <v>0.625</v>
      </c>
      <c r="G168" s="48" t="s">
        <v>379</v>
      </c>
      <c r="I168" s="44"/>
      <c r="L168" s="43"/>
      <c r="M168" s="44"/>
      <c r="N168" s="44"/>
      <c r="O168" s="44"/>
      <c r="P168" s="44"/>
      <c r="Q168" s="44"/>
      <c r="R168" s="44"/>
      <c r="S168" s="44"/>
      <c r="T168" s="44"/>
      <c r="W168" s="45"/>
      <c r="Z168" s="46"/>
    </row>
    <row r="169" spans="1:30" x14ac:dyDescent="0.25">
      <c r="A169" s="115" t="s">
        <v>164</v>
      </c>
      <c r="B169" s="115"/>
      <c r="C169" s="115"/>
      <c r="D169" s="115"/>
      <c r="E169" s="64"/>
      <c r="F169" s="64"/>
      <c r="G169" s="64"/>
      <c r="I169" s="44"/>
    </row>
    <row r="170" spans="1:30" ht="15.75" thickBot="1" x14ac:dyDescent="0.3">
      <c r="A170" s="37" t="s">
        <v>21</v>
      </c>
      <c r="B170" s="49"/>
      <c r="C170" s="36" t="str">
        <f t="shared" ref="C170" si="165">IF(L170="","",L170)</f>
        <v/>
      </c>
      <c r="D170" s="37" t="str">
        <f>_xlfn.CONCAT(K170, U170)</f>
        <v>oil</v>
      </c>
      <c r="E170" s="63" t="s">
        <v>327</v>
      </c>
      <c r="F170" s="87">
        <f>thLuCount</f>
        <v>10</v>
      </c>
      <c r="G170" s="64"/>
      <c r="I170" s="44"/>
      <c r="K170" s="52" t="s">
        <v>46</v>
      </c>
      <c r="L170" s="41"/>
      <c r="M170" s="41"/>
      <c r="N170" s="41"/>
      <c r="O170" s="41"/>
      <c r="P170" s="41"/>
      <c r="Q170" s="41"/>
      <c r="T170" s="41"/>
      <c r="V170" s="41" t="b">
        <f>INDEX(itemPrepMethods, MATCH(K170, itemNames, 0))="chop"</f>
        <v>0</v>
      </c>
      <c r="W170" s="54" t="str">
        <f>IF(V170, Q170, "")</f>
        <v/>
      </c>
      <c r="X170" s="55" t="str">
        <f>IF(V170, IF(L170 = "", "", L170), "")</f>
        <v/>
      </c>
      <c r="Y170" s="55" t="str">
        <f>IF(V170, K170, "")</f>
        <v/>
      </c>
      <c r="Z170" s="56"/>
      <c r="AA170" s="41" t="b">
        <f>INDEX(itemPrepMethods, MATCH(K170, itemNames, 0))="soak"</f>
        <v>0</v>
      </c>
      <c r="AB170" s="55" t="str">
        <f>IF(AA170, Q170, "")</f>
        <v/>
      </c>
      <c r="AC170" s="55" t="str">
        <f>IF(AA170, IF(L170 = "", "", L170), "")</f>
        <v/>
      </c>
      <c r="AD170" s="55" t="str">
        <f>IF(AA170, K170, "")</f>
        <v/>
      </c>
    </row>
    <row r="171" spans="1:30" ht="36.75" thickBot="1" x14ac:dyDescent="0.3">
      <c r="A171" s="37" t="s">
        <v>21</v>
      </c>
      <c r="B171" s="49">
        <f t="shared" ref="B171" si="166">Q171</f>
        <v>500</v>
      </c>
      <c r="C171" s="36" t="str">
        <f t="shared" ref="C171" si="167">IF(L171="","",L171)</f>
        <v>g</v>
      </c>
      <c r="D171" s="37" t="str">
        <f>_xlfn.CONCAT(K171, U171)</f>
        <v>blocks tofu, cut into cubes</v>
      </c>
      <c r="E171" s="63" t="s">
        <v>352</v>
      </c>
      <c r="F171" s="47">
        <f>F170/F167</f>
        <v>1</v>
      </c>
      <c r="G171" s="48" t="s">
        <v>380</v>
      </c>
      <c r="I171" s="59">
        <v>800</v>
      </c>
      <c r="J171" s="52" t="s">
        <v>0</v>
      </c>
      <c r="K171" s="52" t="s">
        <v>260</v>
      </c>
      <c r="L171" s="53" t="s">
        <v>0</v>
      </c>
      <c r="M171" s="44">
        <f>INDEX(itemGPerQty, MATCH(K171, itemNames, 0))</f>
        <v>0</v>
      </c>
      <c r="N171" s="44">
        <f>INDEX(itemMlPerQty, MATCH(K171, itemNames, 0))</f>
        <v>0</v>
      </c>
      <c r="O171" s="44">
        <f t="shared" ref="O171:O172" si="168">IF(J171 = "", I171 * M171, IF(ISNA(CONVERT(I171, J171, "kg")), CONVERT(I171, J171, "l") * IF(N171 &lt;&gt; 0, M171 / N171, 0), CONVERT(I171, J171, "kg")))</f>
        <v>0.8</v>
      </c>
      <c r="P171" s="44">
        <f t="shared" ref="P171:P172" si="169">IF(J171 = "", I171 * N171, IF(ISNA(CONVERT(I171, J171, "l")), CONVERT(I171, J171, "kg") * IF(M171 &lt;&gt; 0, N171 / M171, 0), CONVERT(I171, J171, "l")))</f>
        <v>0</v>
      </c>
      <c r="Q171" s="44">
        <f>MROUND(IF(AND(J171 = "", L171 = ""), I171 * recipe10DayScale, IF(ISNA(CONVERT(O171, "kg", L171)), CONVERT(P171 * recipe10DayScale, "l", L171), CONVERT(O171 * recipe10DayScale, "kg", L171))), roundTo)</f>
        <v>500</v>
      </c>
      <c r="R171" s="44">
        <f>recipe10TotScale * IF(L171 = "", Q171 * M171, IF(ISNA(CONVERT(Q171, L171, "kg")), CONVERT(Q171, L171, "l") * IF(N171 &lt;&gt; 0, M171 / N171, 0), CONVERT(Q171, L171, "kg")))</f>
        <v>0.5</v>
      </c>
      <c r="S171" s="44">
        <f>recipe10TotScale * IF(R171 = 0, IF(L171 = "", Q171 * N171, IF(ISNA(CONVERT(Q171, L171, "l")), CONVERT(Q171, L171, "kg") * IF(M171 &lt;&gt; 0, N171 / M171, 0), CONVERT(Q171, L171, "l"))), 0)</f>
        <v>0</v>
      </c>
      <c r="T171" s="44">
        <f>recipe10TotScale * IF(AND(R171 = 0, S171 = 0, J171 = "", L171 = ""), Q171, 0)</f>
        <v>0</v>
      </c>
      <c r="V171" s="41" t="b">
        <f>INDEX(itemPrepMethods, MATCH(K171, itemNames, 0))="chop"</f>
        <v>1</v>
      </c>
      <c r="W171" s="54">
        <f>IF(V171, Q171, "")</f>
        <v>500</v>
      </c>
      <c r="X171" s="55" t="str">
        <f>IF(V171, IF(L171 = "", "", L171), "")</f>
        <v>g</v>
      </c>
      <c r="Y171" s="55" t="str">
        <f>IF(V171, K171, "")</f>
        <v>blocks tofu, cut into cubes</v>
      </c>
      <c r="Z171" s="56" t="s">
        <v>262</v>
      </c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x14ac:dyDescent="0.25">
      <c r="A172" s="37" t="s">
        <v>21</v>
      </c>
      <c r="B172" s="49">
        <f t="shared" ref="B172" si="170">Q172</f>
        <v>3</v>
      </c>
      <c r="C172" s="36" t="str">
        <f t="shared" ref="C172" si="171">IF(L172="","",L172)</f>
        <v>tbs</v>
      </c>
      <c r="D172" s="37" t="str">
        <f>_xlfn.CONCAT(K172, U172)</f>
        <v>tamari</v>
      </c>
      <c r="I172" s="59">
        <v>0.3</v>
      </c>
      <c r="J172" s="52" t="s">
        <v>16</v>
      </c>
      <c r="K172" s="52" t="s">
        <v>163</v>
      </c>
      <c r="L172" s="53" t="s">
        <v>15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si="168"/>
        <v>0</v>
      </c>
      <c r="P172" s="44">
        <f t="shared" si="169"/>
        <v>7.0976470949999995E-2</v>
      </c>
      <c r="Q172" s="44">
        <f>MROUND(IF(AND(J172 = "", L172 = ""), I172 * recipe10DayScale, IF(ISNA(CONVERT(O172, "kg", L172)), CONVERT(P172 * recipe10DayScale, "l", L172), CONVERT(O172 * recipe10DayScale, "kg", L172))), roundTo)</f>
        <v>3</v>
      </c>
      <c r="R172" s="44">
        <f>recipe10TotScale * IF(L172 = "", Q172 * M172, IF(ISNA(CONVERT(Q172, L172, "kg")), CONVERT(Q172, L172, "l") * IF(N172 &lt;&gt; 0, M172 / N172, 0), CONVERT(Q172, L172, "kg")))</f>
        <v>0</v>
      </c>
      <c r="S172" s="44">
        <f>recipe10TotScale * IF(R172 = 0, IF(L172 = "", Q172 * N172, IF(ISNA(CONVERT(Q172, L172, "l")), CONVERT(Q172, L172, "kg") * IF(M172 &lt;&gt; 0, N172 / M172, 0), CONVERT(Q172, L172, "l"))), 0)</f>
        <v>4.4360294343749995E-2</v>
      </c>
      <c r="T172" s="44">
        <f>recipe10TotScale * IF(AND(R172 = 0, S172 = 0, J172 = "", L172 = ""), Q172, 0)</f>
        <v>0</v>
      </c>
      <c r="V172" s="41" t="b">
        <f>INDEX(itemPrepMethods, MATCH(K172, itemNames, 0))="chop"</f>
        <v>0</v>
      </c>
      <c r="W172" s="54" t="str">
        <f>IF(V172, Q172, "")</f>
        <v/>
      </c>
      <c r="X172" s="55" t="str">
        <f>IF(V172, IF(L172 = "", "", L172), "")</f>
        <v/>
      </c>
      <c r="Y172" s="55" t="str">
        <f>IF(V172, K172, "")</f>
        <v/>
      </c>
      <c r="Z172" s="56"/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115"/>
      <c r="B173" s="115"/>
      <c r="C173" s="115"/>
      <c r="D173" s="115"/>
      <c r="I173" s="44"/>
      <c r="L173" s="41"/>
      <c r="M173" s="41"/>
      <c r="N173" s="41"/>
      <c r="W173" s="71"/>
      <c r="X173" s="72"/>
      <c r="Y173" s="72"/>
      <c r="Z173" s="73"/>
      <c r="AA173" s="64"/>
      <c r="AB173" s="71"/>
      <c r="AC173" s="71"/>
      <c r="AD173" s="71"/>
    </row>
    <row r="174" spans="1:30" x14ac:dyDescent="0.25">
      <c r="A174" s="115" t="s">
        <v>174</v>
      </c>
      <c r="B174" s="115"/>
      <c r="C174" s="115"/>
      <c r="D174" s="115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37" t="s">
        <v>21</v>
      </c>
      <c r="B175" s="49">
        <f t="shared" ref="B175" si="172">Q175</f>
        <v>6.25</v>
      </c>
      <c r="C175" s="36" t="str">
        <f t="shared" ref="C175" si="173">IF(L175="","",L175)</f>
        <v>tbs</v>
      </c>
      <c r="D175" s="37" t="str">
        <f>_xlfn.CONCAT(K175, U175)</f>
        <v>sesame oil</v>
      </c>
      <c r="I175" s="59">
        <v>10</v>
      </c>
      <c r="J175" s="52" t="s">
        <v>15</v>
      </c>
      <c r="K175" s="52" t="s">
        <v>165</v>
      </c>
      <c r="L175" s="53" t="s">
        <v>15</v>
      </c>
      <c r="M175" s="44">
        <f>INDEX(itemGPerQty, MATCH(K175, itemNames, 0))</f>
        <v>0</v>
      </c>
      <c r="N175" s="44">
        <f>INDEX(itemMlPerQty, MATCH(K175, itemNames, 0))</f>
        <v>0</v>
      </c>
      <c r="O175" s="44">
        <f t="shared" ref="O175:O179" si="174">IF(J175 = "", I175 * M175, IF(ISNA(CONVERT(I175, J175, "kg")), CONVERT(I175, J175, "l") * IF(N175 &lt;&gt; 0, M175 / N175, 0), CONVERT(I175, J175, "kg")))</f>
        <v>0</v>
      </c>
      <c r="P175" s="44">
        <f t="shared" ref="P175:P179" si="175">IF(J175 = "", I175 * N175, IF(ISNA(CONVERT(I175, J175, "l")), CONVERT(I175, J175, "kg") * IF(M175 &lt;&gt; 0, N175 / M175, 0), CONVERT(I175, J175, "l")))</f>
        <v>0.1478676478125</v>
      </c>
      <c r="Q175" s="44">
        <f>MROUND(IF(AND(J175 = "", L175 = ""), I175 * recipe10DayScale, IF(ISNA(CONVERT(O175, "kg", L175)), CONVERT(P175 * recipe10DayScale, "l", L175), CONVERT(O175 * recipe10DayScale, "kg", L175))), roundTo)</f>
        <v>6.25</v>
      </c>
      <c r="R175" s="44">
        <f>recipe10TotScale * IF(L175 = "", Q175 * M175, IF(ISNA(CONVERT(Q175, L175, "kg")), CONVERT(Q175, L175, "l") * IF(N175 &lt;&gt; 0, M175 / N175, 0), CONVERT(Q175, L175, "kg")))</f>
        <v>0</v>
      </c>
      <c r="S175" s="44">
        <f>recipe10TotScale * IF(R175 = 0, IF(L175 = "", Q175 * N175, IF(ISNA(CONVERT(Q175, L175, "l")), CONVERT(Q175, L175, "kg") * IF(M175 &lt;&gt; 0, N175 / M175, 0), CONVERT(Q175, L175, "l"))), 0)</f>
        <v>9.2417279882812495E-2</v>
      </c>
      <c r="T175" s="44">
        <f>recipe10TotScale * IF(AND(R175 = 0, S175 = 0, J175 = "", L175 = ""), Q175, 0)</f>
        <v>0</v>
      </c>
      <c r="V175" s="41" t="b">
        <f>INDEX(itemPrepMethods, MATCH(K175, itemNames, 0))="chop"</f>
        <v>0</v>
      </c>
      <c r="W175" s="54" t="str">
        <f>IF(V175, Q175, "")</f>
        <v/>
      </c>
      <c r="X175" s="55" t="str">
        <f>IF(V175, IF(L175 = "", "", L175), "")</f>
        <v/>
      </c>
      <c r="Y175" s="55" t="str">
        <f>IF(V175, K175, "")</f>
        <v/>
      </c>
      <c r="Z175" s="56"/>
      <c r="AA175" s="41" t="b">
        <f>INDEX(itemPrepMethods, MATCH(K175, itemNames, 0))="soak"</f>
        <v>0</v>
      </c>
      <c r="AB175" s="55" t="str">
        <f>IF(AA175, Q175, "")</f>
        <v/>
      </c>
      <c r="AC175" s="55" t="str">
        <f>IF(AA175, IF(L175 = "", "", L175), "")</f>
        <v/>
      </c>
      <c r="AD175" s="55" t="str">
        <f>IF(AA175, K175, "")</f>
        <v/>
      </c>
    </row>
    <row r="176" spans="1:30" x14ac:dyDescent="0.25">
      <c r="A176" s="37" t="s">
        <v>21</v>
      </c>
      <c r="B176" s="49">
        <f t="shared" ref="B176:B177" si="176">Q176</f>
        <v>2</v>
      </c>
      <c r="C176" s="36" t="str">
        <f t="shared" ref="C176:C177" si="177">IF(L176="","",L176)</f>
        <v>tbs</v>
      </c>
      <c r="D176" s="37" t="str">
        <f>_xlfn.CONCAT(K176, U176)</f>
        <v>thai green curry</v>
      </c>
      <c r="I176" s="59">
        <v>3</v>
      </c>
      <c r="J176" s="52" t="s">
        <v>15</v>
      </c>
      <c r="K176" s="52" t="s">
        <v>166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si="174"/>
        <v>0</v>
      </c>
      <c r="P176" s="44">
        <f t="shared" si="175"/>
        <v>4.4360294343749995E-2</v>
      </c>
      <c r="Q176" s="44">
        <f>MROUND(IF(AND(J176 = "", L176 = ""), I176 * recipe10DayScale, IF(ISNA(CONVERT(O176, "kg", L176)), CONVERT(P176 * recipe10DayScale, "l", L176), CONVERT(O176 * recipe10DayScale, "kg", L176))), roundTo)</f>
        <v>2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2.9573529562499999E-2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si="176"/>
        <v>2.5</v>
      </c>
      <c r="C177" s="36" t="str">
        <f t="shared" si="177"/>
        <v/>
      </c>
      <c r="D177" s="37" t="str">
        <f>_xlfn.CONCAT(K177, U177)</f>
        <v>chopped onions</v>
      </c>
      <c r="I177" s="59">
        <v>4</v>
      </c>
      <c r="J177" s="52"/>
      <c r="K177" s="52" t="s">
        <v>6</v>
      </c>
      <c r="L177" s="53"/>
      <c r="M177" s="44">
        <f>INDEX(itemGPerQty, MATCH(K177, itemNames, 0))</f>
        <v>0.185</v>
      </c>
      <c r="N177" s="44">
        <f>INDEX(itemMlPerQty, MATCH(K177, itemNames, 0))</f>
        <v>0.3</v>
      </c>
      <c r="O177" s="44">
        <f t="shared" si="174"/>
        <v>0.74</v>
      </c>
      <c r="P177" s="44">
        <f t="shared" si="175"/>
        <v>1.2</v>
      </c>
      <c r="Q177" s="44">
        <f>MROUND(IF(AND(J177 = "", L177 = ""), I177 * recipe10DayScale, IF(ISNA(CONVERT(O177, "kg", L177)), CONVERT(P177 * recipe10DayScale, "l", L177), CONVERT(O177 * recipe10DayScale, "kg", L177))), roundTo)</f>
        <v>2.5</v>
      </c>
      <c r="R177" s="44">
        <f>recipe10TotScale * IF(L177 = "", Q177 * M177, IF(ISNA(CONVERT(Q177, L177, "kg")), CONVERT(Q177, L177, "l") * IF(N177 &lt;&gt; 0, M177 / N177, 0), CONVERT(Q177, L177, "kg")))</f>
        <v>0.46250000000000002</v>
      </c>
      <c r="S177" s="44">
        <f>recipe10TotScale * IF(R177 = 0, IF(L177 = "", Q177 * N177, IF(ISNA(CONVERT(Q177, L177, "l")), CONVERT(Q177, L177, "kg") * IF(M177 &lt;&gt; 0, N177 / M177, 0), CONVERT(Q177, L177, "l"))), 0)</f>
        <v>0</v>
      </c>
      <c r="T177" s="44">
        <f>recipe10TotScale * IF(AND(R177 = 0, S177 = 0, J177 = "", L177 = ""), Q177, 0)</f>
        <v>0</v>
      </c>
      <c r="V177" s="41" t="b">
        <f>INDEX(itemPrepMethods, MATCH(K177, itemNames, 0))="chop"</f>
        <v>1</v>
      </c>
      <c r="W177" s="54">
        <f>IF(V177, Q177, "")</f>
        <v>2.5</v>
      </c>
      <c r="X177" s="55" t="str">
        <f>IF(V177, IF(L177 = "", "", L177), "")</f>
        <v/>
      </c>
      <c r="Y177" s="55" t="str">
        <f>IF(V177, K177, "")</f>
        <v>chopped onions</v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ref="B178" si="178">Q178</f>
        <v>3.25</v>
      </c>
      <c r="C178" s="36" t="str">
        <f t="shared" ref="C178" si="179">IF(L178="","",L178)</f>
        <v>tbs</v>
      </c>
      <c r="D178" s="37" t="str">
        <f>_xlfn.CONCAT(K178, U178)</f>
        <v>minced fresh ginger</v>
      </c>
      <c r="I178" s="59">
        <v>5</v>
      </c>
      <c r="J178" s="52" t="s">
        <v>15</v>
      </c>
      <c r="K178" s="52" t="s">
        <v>221</v>
      </c>
      <c r="L178" s="53" t="s">
        <v>15</v>
      </c>
      <c r="M178" s="44">
        <f>INDEX(itemGPerQty, MATCH(K178, itemNames, 0))</f>
        <v>0</v>
      </c>
      <c r="N178" s="44">
        <f>INDEX(itemMlPerQty, MATCH(K178, itemNames, 0))</f>
        <v>0</v>
      </c>
      <c r="O178" s="44">
        <f t="shared" si="174"/>
        <v>0</v>
      </c>
      <c r="P178" s="44">
        <f t="shared" si="175"/>
        <v>7.3933823906250001E-2</v>
      </c>
      <c r="Q178" s="44">
        <f>MROUND(IF(AND(J178 = "", L178 = ""), I178 * recipe10DayScale, IF(ISNA(CONVERT(O178, "kg", L178)), CONVERT(P178 * recipe10DayScale, "l", L178), CONVERT(O178 * recipe10DayScale, "kg", L178))), roundTo)</f>
        <v>3.25</v>
      </c>
      <c r="R178" s="44">
        <f>recipe10TotScale * IF(L178 = "", Q178 * M178, IF(ISNA(CONVERT(Q178, L178, "kg")), CONVERT(Q178, L178, "l") * IF(N178 &lt;&gt; 0, M178 / N178, 0), CONVERT(Q178, L178, "kg")))</f>
        <v>0</v>
      </c>
      <c r="S178" s="44">
        <f>recipe10TotScale * IF(R178 = 0, IF(L178 = "", Q178 * N178, IF(ISNA(CONVERT(Q178, L178, "l")), CONVERT(Q178, L178, "kg") * IF(M178 &lt;&gt; 0, N178 / M178, 0), CONVERT(Q178, L178, "l"))), 0)</f>
        <v>4.8056985539062499E-2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3.25</v>
      </c>
      <c r="X178" s="55" t="str">
        <f>IF(V178, IF(L178 = "", "", L178), "")</f>
        <v>tbs</v>
      </c>
      <c r="Y178" s="55" t="str">
        <f>IF(V178, K178, "")</f>
        <v>minced fresh ginger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80">Q179</f>
        <v>0.75</v>
      </c>
      <c r="C179" s="36" t="str">
        <f t="shared" ref="C179" si="181">IF(L179="","",L179)</f>
        <v/>
      </c>
      <c r="D179" s="37" t="str">
        <f>_xlfn.CONCAT(K179, U179)</f>
        <v>chopped cauliflowers</v>
      </c>
      <c r="I179" s="59">
        <v>1</v>
      </c>
      <c r="J179" s="52"/>
      <c r="K179" s="52" t="s">
        <v>159</v>
      </c>
      <c r="L179" s="53"/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0</v>
      </c>
      <c r="Q179" s="44">
        <f>MROUND(IF(AND(J179 = "", L179 = ""), I179 * recipe10DayScale, IF(ISNA(CONVERT(O179, "kg", L179)), CONVERT(P179 * recipe10DayScale, "l", L179), CONVERT(O179 * recipe10DayScale, "kg", L179))), roundTo)</f>
        <v>0.75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0</v>
      </c>
      <c r="T179" s="44">
        <f>recipe10TotScale * IF(AND(R179 = 0, S179 = 0, J179 = "", L179 = ""), Q179, 0)</f>
        <v>0.75</v>
      </c>
      <c r="V179" s="41" t="b">
        <f>INDEX(itemPrepMethods, MATCH(K179, itemNames, 0))="chop"</f>
        <v>1</v>
      </c>
      <c r="W179" s="54">
        <f>IF(V179, Q179, "")</f>
        <v>0.75</v>
      </c>
      <c r="X179" s="55" t="str">
        <f>IF(V179, IF(L179 = "", "", L179), "")</f>
        <v/>
      </c>
      <c r="Y179" s="55" t="str">
        <f>IF(V179, K179, "")</f>
        <v>chopped cauliflowers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115"/>
      <c r="B180" s="115"/>
      <c r="C180" s="115"/>
      <c r="D180" s="115"/>
      <c r="I180" s="44"/>
      <c r="L180" s="41"/>
      <c r="M180" s="41"/>
      <c r="N180" s="41"/>
      <c r="W180" s="71"/>
      <c r="X180" s="72"/>
      <c r="Y180" s="72"/>
      <c r="Z180" s="73"/>
      <c r="AA180" s="64"/>
      <c r="AB180" s="71"/>
      <c r="AC180" s="71"/>
      <c r="AD180" s="71"/>
    </row>
    <row r="181" spans="1:30" x14ac:dyDescent="0.25">
      <c r="A181" s="115" t="s">
        <v>175</v>
      </c>
      <c r="B181" s="115"/>
      <c r="C181" s="115"/>
      <c r="D181" s="115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37" t="s">
        <v>21</v>
      </c>
      <c r="B182" s="49">
        <f t="shared" ref="B182:B183" si="182">Q182</f>
        <v>0.25</v>
      </c>
      <c r="C182" s="36" t="str">
        <f t="shared" ref="C182:C183" si="183">IF(L182="","",L182)</f>
        <v>l</v>
      </c>
      <c r="D182" s="37" t="str">
        <f>_xlfn.CONCAT(K182, U182)</f>
        <v>water</v>
      </c>
      <c r="I182" s="59">
        <v>0.5</v>
      </c>
      <c r="J182" s="52" t="s">
        <v>54</v>
      </c>
      <c r="K182" s="52" t="s">
        <v>47</v>
      </c>
      <c r="L182" s="53" t="s">
        <v>54</v>
      </c>
      <c r="M182" s="44">
        <f>INDEX(itemGPerQty, MATCH(K182, itemNames, 0))</f>
        <v>1</v>
      </c>
      <c r="N182" s="44">
        <f>INDEX(itemMlPerQty, MATCH(K182, itemNames, 0))</f>
        <v>1</v>
      </c>
      <c r="O182" s="44">
        <f t="shared" ref="O182:O186" si="184">IF(J182 = "", I182 * M182, IF(ISNA(CONVERT(I182, J182, "kg")), CONVERT(I182, J182, "l") * IF(N182 &lt;&gt; 0, M182 / N182, 0), CONVERT(I182, J182, "kg")))</f>
        <v>0.5</v>
      </c>
      <c r="P182" s="44">
        <f t="shared" ref="P182:P186" si="185">IF(J182 = "", I182 * N182, IF(ISNA(CONVERT(I182, J182, "l")), CONVERT(I182, J182, "kg") * IF(M182 &lt;&gt; 0, N182 / M182, 0), CONVERT(I182, J182, "l")))</f>
        <v>0.5</v>
      </c>
      <c r="Q182" s="44">
        <f>MROUND(IF(AND(J182 = "", L182 = ""), I182 * recipe10DayScale, IF(ISNA(CONVERT(O182, "kg", L182)), CONVERT(P182 * recipe10DayScale, "l", L182), CONVERT(O182 * recipe10DayScale, "kg", L182))), roundTo)</f>
        <v>0.25</v>
      </c>
      <c r="R182" s="44">
        <f>recipe10TotScale * IF(L182 = "", Q182 * M182, IF(ISNA(CONVERT(Q182, L182, "kg")), CONVERT(Q182, L182, "l") * IF(N182 &lt;&gt; 0, M182 / N182, 0), CONVERT(Q182, L182, "kg")))</f>
        <v>0.25</v>
      </c>
      <c r="S182" s="44">
        <f>recipe10TotScale * IF(R182 = 0, IF(L182 = "", Q182 * N182, IF(ISNA(CONVERT(Q182, L182, "l")), CONVERT(Q182, L182, "kg") * IF(M182 &lt;&gt; 0, N182 / M182, 0), CONVERT(Q182, L182, "l"))), 0)</f>
        <v>0</v>
      </c>
      <c r="T182" s="44">
        <f>recipe10TotScale * IF(AND(R182 = 0, S182 = 0, J182 = "", L182 = ""), Q182, 0)</f>
        <v>0</v>
      </c>
      <c r="V182" s="41" t="b">
        <f>INDEX(itemPrepMethods, MATCH(K182, itemNames, 0))="chop"</f>
        <v>0</v>
      </c>
      <c r="W182" s="54" t="str">
        <f>IF(V182, Q182, "")</f>
        <v/>
      </c>
      <c r="X182" s="55" t="str">
        <f>IF(V182, IF(L182 = "", "", L182), "")</f>
        <v/>
      </c>
      <c r="Y182" s="55" t="str">
        <f>IF(V182, K182, "")</f>
        <v/>
      </c>
      <c r="Z182" s="56"/>
      <c r="AA182" s="41" t="b">
        <f>INDEX(itemPrepMethods, MATCH(K182, itemNames, 0))="soak"</f>
        <v>0</v>
      </c>
      <c r="AB182" s="55" t="str">
        <f>IF(AA182, Q182, "")</f>
        <v/>
      </c>
      <c r="AC182" s="55" t="str">
        <f>IF(AA182, IF(L182 = "", "", L182), "")</f>
        <v/>
      </c>
      <c r="AD182" s="55" t="str">
        <f>IF(AA182, K182, "")</f>
        <v/>
      </c>
    </row>
    <row r="183" spans="1:30" x14ac:dyDescent="0.25">
      <c r="A183" s="37" t="s">
        <v>21</v>
      </c>
      <c r="B183" s="49">
        <f t="shared" si="182"/>
        <v>1.25</v>
      </c>
      <c r="C183" s="36" t="str">
        <f t="shared" si="183"/>
        <v/>
      </c>
      <c r="D183" s="37" t="str">
        <f>_xlfn.CONCAT(K183, U183)</f>
        <v>chopped broccoli</v>
      </c>
      <c r="I183" s="59">
        <v>1.9</v>
      </c>
      <c r="J183" s="52"/>
      <c r="K183" s="52" t="s">
        <v>114</v>
      </c>
      <c r="L183" s="53"/>
      <c r="M183" s="44">
        <f>INDEX(itemGPerQty, MATCH(K183, itemNames, 0))</f>
        <v>0.313</v>
      </c>
      <c r="N183" s="44">
        <f>INDEX(itemMlPerQty, MATCH(K183, itemNames, 0))</f>
        <v>0</v>
      </c>
      <c r="O183" s="44">
        <f t="shared" si="184"/>
        <v>0.59470000000000001</v>
      </c>
      <c r="P183" s="44">
        <f t="shared" si="185"/>
        <v>0</v>
      </c>
      <c r="Q183" s="44">
        <f>MROUND(IF(AND(J183 = "", L183 = ""), I183 * recipe10DayScale, IF(ISNA(CONVERT(O183, "kg", L183)), CONVERT(P183 * recipe10DayScale, "l", L183), CONVERT(O183 * recipe10DayScale, "kg", L183))), roundTo)</f>
        <v>1.25</v>
      </c>
      <c r="R183" s="44">
        <f>recipe10TotScale * IF(L183 = "", Q183 * M183, IF(ISNA(CONVERT(Q183, L183, "kg")), CONVERT(Q183, L183, "l") * IF(N183 &lt;&gt; 0, M183 / N183, 0), CONVERT(Q183, L183, "kg")))</f>
        <v>0.39124999999999999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1</v>
      </c>
      <c r="W183" s="54">
        <f>IF(V183, Q183, "")</f>
        <v>1.25</v>
      </c>
      <c r="X183" s="55" t="str">
        <f>IF(V183, IF(L183 = "", "", L183), "")</f>
        <v/>
      </c>
      <c r="Y183" s="55" t="str">
        <f>IF(V183, K183, "")</f>
        <v>chopped broccoli</v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ref="B184:B185" si="186">Q184</f>
        <v>2.5</v>
      </c>
      <c r="C184" s="36" t="str">
        <f t="shared" ref="C184:C185" si="187">IF(L184="","",L184)</f>
        <v/>
      </c>
      <c r="D184" s="37" t="str">
        <f>_xlfn.CONCAT(K184, U184)</f>
        <v>chopped yellow capsicums</v>
      </c>
      <c r="I184" s="59">
        <v>4</v>
      </c>
      <c r="J184" s="52"/>
      <c r="K184" s="52" t="s">
        <v>168</v>
      </c>
      <c r="L184" s="53"/>
      <c r="M184" s="44">
        <f>INDEX(itemGPerQty, MATCH(K184, itemNames, 0))</f>
        <v>0.1885</v>
      </c>
      <c r="N184" s="44">
        <f>INDEX(itemMlPerQty, MATCH(K184, itemNames, 0))</f>
        <v>0.25</v>
      </c>
      <c r="O184" s="44">
        <f t="shared" si="184"/>
        <v>0.754</v>
      </c>
      <c r="P184" s="44">
        <f t="shared" si="185"/>
        <v>1</v>
      </c>
      <c r="Q184" s="44">
        <f>MROUND(IF(AND(J184 = "", L184 = ""), I184 * recipe10DayScale, IF(ISNA(CONVERT(O184, "kg", L184)), CONVERT(P184 * recipe10DayScale, "l", L184), CONVERT(O184 * recipe10DayScale, "kg", L184))), roundTo)</f>
        <v>2.5</v>
      </c>
      <c r="R184" s="44">
        <f>recipe10TotScale * IF(L184 = "", Q184 * M184, IF(ISNA(CONVERT(Q184, L184, "kg")), CONVERT(Q184, L184, "l") * IF(N184 &lt;&gt; 0, M184 / N184, 0), CONVERT(Q184, L184, "kg")))</f>
        <v>0.47125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2.5</v>
      </c>
      <c r="X184" s="55" t="str">
        <f>IF(V184, IF(L184 = "", "", L184), "")</f>
        <v/>
      </c>
      <c r="Y184" s="55" t="str">
        <f>IF(V184, K184, "")</f>
        <v>chopped yellow capsicums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si="186"/>
        <v>6.25</v>
      </c>
      <c r="C185" s="36" t="str">
        <f t="shared" si="187"/>
        <v/>
      </c>
      <c r="D185" s="37" t="str">
        <f>_xlfn.CONCAT(K185, U185)</f>
        <v>sliced celery stalks</v>
      </c>
      <c r="I185" s="59">
        <v>10</v>
      </c>
      <c r="J185" s="52"/>
      <c r="K185" s="52" t="s">
        <v>169</v>
      </c>
      <c r="L185" s="53"/>
      <c r="M185" s="44">
        <f>INDEX(itemGPerQty, MATCH(K185, itemNames, 0))</f>
        <v>0</v>
      </c>
      <c r="N185" s="44">
        <f>INDEX(itemMlPerQty, MATCH(K185, itemNames, 0))</f>
        <v>0</v>
      </c>
      <c r="O185" s="44">
        <f t="shared" si="184"/>
        <v>0</v>
      </c>
      <c r="P185" s="44">
        <f t="shared" si="185"/>
        <v>0</v>
      </c>
      <c r="Q185" s="44">
        <f>MROUND(IF(AND(J185 = "", L185 = ""), I185 * recipe10DayScale, IF(ISNA(CONVERT(O185, "kg", L185)), CONVERT(P185 * recipe10DayScale, "l", L185), CONVERT(O185 * recipe10DayScale, "kg", L185))), roundTo)</f>
        <v>6.25</v>
      </c>
      <c r="R185" s="44">
        <f>recipe10TotScale * IF(L185 = "", Q185 * M185, IF(ISNA(CONVERT(Q185, L185, "kg")), CONVERT(Q185, L185, "l") * IF(N185 &lt;&gt; 0, M185 / N185, 0), CONVERT(Q185, L185, "kg")))</f>
        <v>0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6.25</v>
      </c>
      <c r="V185" s="41" t="b">
        <f>INDEX(itemPrepMethods, MATCH(K185, itemNames, 0))="chop"</f>
        <v>1</v>
      </c>
      <c r="W185" s="54">
        <f>IF(V185, Q185, "")</f>
        <v>6.25</v>
      </c>
      <c r="X185" s="55" t="str">
        <f>IF(V185, IF(L185 = "", "", L185), "")</f>
        <v/>
      </c>
      <c r="Y185" s="55" t="str">
        <f>IF(V185, K185, "")</f>
        <v>sliced celery stalks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ref="B186" si="188">Q186</f>
        <v>3.75</v>
      </c>
      <c r="C186" s="36" t="str">
        <f t="shared" ref="C186" si="189">IF(L186="","",L186)</f>
        <v/>
      </c>
      <c r="D186" s="37" t="str">
        <f>_xlfn.CONCAT(K186, U186)</f>
        <v>tinned bamboo</v>
      </c>
      <c r="I186" s="59">
        <v>6</v>
      </c>
      <c r="J186" s="52"/>
      <c r="K186" s="52" t="s">
        <v>443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3.75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3.75</v>
      </c>
      <c r="V186" s="41" t="b">
        <f>INDEX(itemPrepMethods, MATCH(K186, itemNames, 0))="chop"</f>
        <v>0</v>
      </c>
      <c r="W186" s="54" t="str">
        <f>IF(V186, Q186, "")</f>
        <v/>
      </c>
      <c r="X186" s="55" t="str">
        <f>IF(V186, IF(L186 = "", "", L186), "")</f>
        <v/>
      </c>
      <c r="Y186" s="55" t="str">
        <f>IF(V186, K186, "")</f>
        <v/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115"/>
      <c r="B187" s="115"/>
      <c r="C187" s="115"/>
      <c r="D187" s="115"/>
      <c r="I187" s="44"/>
      <c r="L187" s="41"/>
      <c r="M187" s="41"/>
      <c r="N187" s="41"/>
      <c r="W187" s="71"/>
      <c r="X187" s="72"/>
      <c r="Y187" s="72"/>
      <c r="Z187" s="73"/>
      <c r="AA187" s="64"/>
      <c r="AB187" s="71"/>
      <c r="AC187" s="71"/>
      <c r="AD187" s="71"/>
    </row>
    <row r="188" spans="1:30" x14ac:dyDescent="0.25">
      <c r="A188" s="115" t="s">
        <v>153</v>
      </c>
      <c r="B188" s="115"/>
      <c r="C188" s="115"/>
      <c r="D188" s="115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37" t="s">
        <v>21</v>
      </c>
      <c r="B189" s="49">
        <f t="shared" ref="B189" si="190">Q189</f>
        <v>3</v>
      </c>
      <c r="C189" s="36" t="str">
        <f t="shared" ref="C189" si="191">IF(L189="","",L189)</f>
        <v/>
      </c>
      <c r="D189" s="89" t="str">
        <f>_xlfn.CONCAT(K189, U189)</f>
        <v>juiced lemons</v>
      </c>
      <c r="I189" s="59">
        <v>4.75</v>
      </c>
      <c r="J189" s="52"/>
      <c r="K189" s="52" t="s">
        <v>383</v>
      </c>
      <c r="L189" s="53"/>
      <c r="M189" s="44">
        <f>INDEX(itemGPerQty, MATCH(K189, itemNames, 0))</f>
        <v>0</v>
      </c>
      <c r="N189" s="44">
        <f>INDEX(itemMlPerQty, MATCH(K189, itemNames, 0))</f>
        <v>0</v>
      </c>
      <c r="O189" s="44">
        <f t="shared" ref="O189:O191" si="192">IF(J189 = "", I189 * M189, IF(ISNA(CONVERT(I189, J189, "kg")), CONVERT(I189, J189, "l") * IF(N189 &lt;&gt; 0, M189 / N189, 0), CONVERT(I189, J189, "kg")))</f>
        <v>0</v>
      </c>
      <c r="P189" s="44">
        <f t="shared" ref="P189:P191" si="193">IF(J189 = "", I189 * N189, IF(ISNA(CONVERT(I189, J189, "l")), CONVERT(I189, J189, "kg") * IF(M189 &lt;&gt; 0, N189 / M189, 0), CONVERT(I189, J189, "l")))</f>
        <v>0</v>
      </c>
      <c r="Q189" s="44">
        <f>MROUND(IF(AND(J189 = "", L189 = ""), I189 * recipe10DayScale, IF(ISNA(CONVERT(O189, "kg", L189)), CONVERT(P189 * recipe10DayScale, "l", L189), CONVERT(O189 * recipe10DayScale, "kg", L189))), roundTo)</f>
        <v>3</v>
      </c>
      <c r="R189" s="44">
        <f>recipe10TotScale * IF(L189 = "", Q189 * M189, IF(ISNA(CONVERT(Q189, L189, "kg")), CONVERT(Q189, L189, "l") * IF(N189 &lt;&gt; 0, M189 / N189, 0), CONVERT(Q189, L189, "kg")))</f>
        <v>0</v>
      </c>
      <c r="S189" s="44">
        <f>recipe10TotScale * IF(R189 = 0, IF(L189 = "", Q189 * N189, IF(ISNA(CONVERT(Q189, L189, "l")), CONVERT(Q189, L189, "kg") * IF(M189 &lt;&gt; 0, N189 / M189, 0), CONVERT(Q189, L189, "l"))), 0)</f>
        <v>0</v>
      </c>
      <c r="T189" s="44">
        <f>recipe10TotScale * IF(AND(R189 = 0, S189 = 0, J189 = "", L189 = ""), Q189, 0)</f>
        <v>3</v>
      </c>
      <c r="V189" s="41" t="b">
        <f>INDEX(itemPrepMethods, MATCH(K189, itemNames, 0))="chop"</f>
        <v>0</v>
      </c>
      <c r="W189" s="54" t="str">
        <f>IF(V189, Q189, "")</f>
        <v/>
      </c>
      <c r="X189" s="55" t="str">
        <f>IF(V189, IF(L189 = "", "", L189), "")</f>
        <v/>
      </c>
      <c r="Y189" s="55" t="str">
        <f>IF(V189, K189, "")</f>
        <v/>
      </c>
      <c r="Z189" s="56"/>
      <c r="AA189" s="41" t="b">
        <f>INDEX(itemPrepMethods, MATCH(K189, itemNames, 0))="soak"</f>
        <v>0</v>
      </c>
      <c r="AB189" s="55" t="str">
        <f>IF(AA189, Q189, "")</f>
        <v/>
      </c>
      <c r="AC189" s="55" t="str">
        <f>IF(AA189, IF(L189 = "", "", L189), "")</f>
        <v/>
      </c>
      <c r="AD189" s="55" t="str">
        <f>IF(AA189, K189, "")</f>
        <v/>
      </c>
    </row>
    <row r="190" spans="1:30" x14ac:dyDescent="0.25">
      <c r="A190" s="37" t="s">
        <v>21</v>
      </c>
      <c r="B190" s="58">
        <f t="shared" ref="B190" si="194">Q190</f>
        <v>750</v>
      </c>
      <c r="C190" s="88" t="str">
        <f t="shared" ref="C190" si="195">IF(L190="","",L190)</f>
        <v>g</v>
      </c>
      <c r="D190" s="37" t="str">
        <f>_xlfn.CONCAT(K190, U190)</f>
        <v>green beans</v>
      </c>
      <c r="I190" s="59">
        <v>1.2</v>
      </c>
      <c r="J190" s="52" t="s">
        <v>12</v>
      </c>
      <c r="K190" s="52" t="s">
        <v>172</v>
      </c>
      <c r="L190" s="53" t="s">
        <v>0</v>
      </c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si="192"/>
        <v>1.2</v>
      </c>
      <c r="P190" s="44">
        <f t="shared" si="193"/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750</v>
      </c>
      <c r="R190" s="44">
        <f>recipe10TotScale * IF(L190 = "", Q190 * M190, IF(ISNA(CONVERT(Q190, L190, "kg")), CONVERT(Q190, L190, "l") * IF(N190 &lt;&gt; 0, M190 / N190, 0), CONVERT(Q190, L190, "kg")))</f>
        <v>0.75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0</v>
      </c>
      <c r="V190" s="41" t="b">
        <f>INDEX(itemPrepMethods, MATCH(K190, itemNames, 0))="chop"</f>
        <v>0</v>
      </c>
      <c r="W190" s="54" t="str">
        <f>IF(V190, Q190, "")</f>
        <v/>
      </c>
      <c r="X190" s="55" t="str">
        <f>IF(V190, IF(L190 = "", "", L190), "")</f>
        <v/>
      </c>
      <c r="Y190" s="55" t="str">
        <f>IF(V190, K190, "")</f>
        <v/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49">
        <f t="shared" ref="B191" si="196">Q191</f>
        <v>1.25</v>
      </c>
      <c r="C191" s="36" t="str">
        <f t="shared" ref="C191" si="197">IF(L191="","",L191)</f>
        <v/>
      </c>
      <c r="D191" s="37" t="str">
        <f>_xlfn.CONCAT(K191, U191)</f>
        <v>tinned coconut cream</v>
      </c>
      <c r="I191" s="59">
        <v>1.9</v>
      </c>
      <c r="J191" s="52"/>
      <c r="K191" s="52" t="s">
        <v>447</v>
      </c>
      <c r="L191" s="53"/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0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1.25</v>
      </c>
      <c r="R191" s="44">
        <f>recipe10TotScale * IF(L191 = "", Q191 * M191, IF(ISNA(CONVERT(Q191, L191, "kg")), CONVERT(Q191, L191, "l") * IF(N191 &lt;&gt; 0, M191 / N191, 0), CONVERT(Q191, L191, "kg")))</f>
        <v>0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1.25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115"/>
      <c r="B192" s="115"/>
      <c r="C192" s="115"/>
      <c r="D192" s="115"/>
      <c r="I192" s="44"/>
      <c r="L192" s="41"/>
      <c r="M192" s="41"/>
      <c r="N192" s="41"/>
      <c r="W192" s="71"/>
      <c r="X192" s="72"/>
      <c r="Y192" s="72"/>
      <c r="Z192" s="73"/>
      <c r="AA192" s="64"/>
      <c r="AB192" s="71"/>
      <c r="AC192" s="71"/>
      <c r="AD192" s="71"/>
    </row>
    <row r="193" spans="1:30" x14ac:dyDescent="0.25">
      <c r="A193" s="115" t="s">
        <v>292</v>
      </c>
      <c r="B193" s="115"/>
      <c r="C193" s="115"/>
      <c r="D193" s="115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15"/>
      <c r="B194" s="115"/>
      <c r="C194" s="115"/>
      <c r="D194" s="115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15" t="s">
        <v>176</v>
      </c>
      <c r="B195" s="115"/>
      <c r="C195" s="115"/>
      <c r="D195" s="115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37" t="s">
        <v>21</v>
      </c>
      <c r="B196" s="49">
        <f t="shared" ref="B196" si="198">Q196</f>
        <v>2</v>
      </c>
      <c r="C196" s="36" t="str">
        <f t="shared" ref="C196:C198" si="199">IF(L196="","",L196)</f>
        <v>cup</v>
      </c>
      <c r="D196" s="37" t="str">
        <f>_xlfn.CONCAT(K196, U196)</f>
        <v>cashew nuts</v>
      </c>
      <c r="I196" s="59">
        <v>3</v>
      </c>
      <c r="J196" s="52" t="s">
        <v>16</v>
      </c>
      <c r="K196" s="52" t="s">
        <v>177</v>
      </c>
      <c r="L196" s="53" t="s">
        <v>16</v>
      </c>
      <c r="M196" s="44">
        <f>INDEX(itemGPerQty, MATCH(K196, itemNames, 0))</f>
        <v>0</v>
      </c>
      <c r="N196" s="44">
        <f>INDEX(itemMlPerQty, MATCH(K196, itemNames, 0))</f>
        <v>0</v>
      </c>
      <c r="O196" s="44">
        <f>IF(J196 = "", I196 * M196, IF(ISNA(CONVERT(I196, J196, "kg")), CONVERT(I196, J196, "l") * IF(N196 &lt;&gt; 0, M196 / N196, 0), CONVERT(I196, J196, "kg")))</f>
        <v>0</v>
      </c>
      <c r="P196" s="44">
        <f>IF(J196 = "", I196 * N196, IF(ISNA(CONVERT(I196, J196, "l")), CONVERT(I196, J196, "kg") * IF(M196 &lt;&gt; 0, N196 / M196, 0), CONVERT(I196, J196, "l")))</f>
        <v>0.70976470949999992</v>
      </c>
      <c r="Q196" s="44">
        <f>MROUND(IF(AND(J196 = "", L196 = ""), I196 * recipe10DayScale, IF(ISNA(CONVERT(O196, "kg", L196)), CONVERT(P196 * recipe10DayScale, "l", L196), CONVERT(O196 * recipe10DayScale, "kg", L196))), roundTo)</f>
        <v>2</v>
      </c>
      <c r="R196" s="44">
        <f>recipe10TotScale * IF(L196 = "", Q196 * M196, IF(ISNA(CONVERT(Q196, L196, "kg")), CONVERT(Q196, L196, "l") * IF(N196 &lt;&gt; 0, M196 / N196, 0), CONVERT(Q196, L196, "kg")))</f>
        <v>0</v>
      </c>
      <c r="S196" s="44">
        <f>recipe10TotScale * IF(R196 = 0, IF(L196 = "", Q196 * N196, IF(ISNA(CONVERT(Q196, L196, "l")), CONVERT(Q196, L196, "kg") * IF(M196 &lt;&gt; 0, N196 / M196, 0), CONVERT(Q196, L196, "l"))), 0)</f>
        <v>0.47317647299999999</v>
      </c>
      <c r="T196" s="44">
        <f>recipe10TotScale * IF(AND(R196 = 0, S196 = 0, J196 = "", L196 = ""), Q196, 0)</f>
        <v>0</v>
      </c>
      <c r="V196" s="41" t="b">
        <f>INDEX(itemPrepMethods, MATCH(K196, itemNames, 0))="chop"</f>
        <v>0</v>
      </c>
      <c r="W196" s="54" t="str">
        <f>IF(V196, Q196, "")</f>
        <v/>
      </c>
      <c r="X196" s="55" t="str">
        <f>IF(V196, IF(L196 = "", "", L196), "")</f>
        <v/>
      </c>
      <c r="Y196" s="55" t="str">
        <f>IF(V196, K196, "")</f>
        <v/>
      </c>
      <c r="Z196" s="56"/>
      <c r="AA196" s="41" t="b">
        <f>INDEX(itemPrepMethods, MATCH(K196, itemNames, 0))="soak"</f>
        <v>0</v>
      </c>
      <c r="AB196" s="55" t="str">
        <f>IF(AA196, Q196, "")</f>
        <v/>
      </c>
      <c r="AC196" s="55" t="str">
        <f>IF(AA196, IF(L196 = "", "", L196), "")</f>
        <v/>
      </c>
      <c r="AD196" s="55" t="str">
        <f>IF(AA196, K196, "")</f>
        <v/>
      </c>
    </row>
    <row r="197" spans="1:30" x14ac:dyDescent="0.25">
      <c r="A197" s="37" t="s">
        <v>21</v>
      </c>
      <c r="B197" s="49"/>
      <c r="C197" s="36" t="str">
        <f t="shared" si="199"/>
        <v/>
      </c>
      <c r="D197" s="37" t="str">
        <f>_xlfn.CONCAT(K197, U197)</f>
        <v>grilled tofu</v>
      </c>
      <c r="I197" s="44"/>
      <c r="L197" s="41"/>
      <c r="M197" s="41"/>
      <c r="N197" s="41"/>
      <c r="O197" s="41"/>
      <c r="P197" s="41"/>
      <c r="Q197" s="41"/>
      <c r="T197" s="41"/>
      <c r="U197" s="41" t="s">
        <v>121</v>
      </c>
      <c r="V197" s="64"/>
      <c r="W197" s="71"/>
      <c r="X197" s="72"/>
      <c r="Y197" s="72"/>
      <c r="Z197" s="73"/>
      <c r="AA197" s="64"/>
      <c r="AB197" s="71"/>
      <c r="AC197" s="71"/>
      <c r="AD197" s="71"/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sprigs fresh corriander, for garnish</v>
      </c>
      <c r="I198" s="60"/>
      <c r="J198" s="57"/>
      <c r="K198" s="52" t="s">
        <v>82</v>
      </c>
      <c r="L198" s="57"/>
      <c r="M198" s="57"/>
      <c r="N198" s="57"/>
      <c r="O198" s="57"/>
      <c r="P198" s="57"/>
      <c r="U198" s="41" t="s">
        <v>208</v>
      </c>
      <c r="V198" s="41" t="b">
        <f>INDEX(itemPrepMethods, MATCH(K198, itemNames, 0))="chop"</f>
        <v>0</v>
      </c>
      <c r="W198" s="54" t="str">
        <f>IF(V198, Q198, "")</f>
        <v/>
      </c>
      <c r="X198" s="55" t="str">
        <f>IF(V198, IF(L198 = "", "", L198), "")</f>
        <v/>
      </c>
      <c r="Y198" s="55" t="str">
        <f>IF(V198, K198, "")</f>
        <v/>
      </c>
      <c r="Z198" s="56"/>
      <c r="AA198" s="41" t="b">
        <f>INDEX(itemPrepMethods, MATCH(K198, itemNames, 0))="soak"</f>
        <v>0</v>
      </c>
      <c r="AB198" s="55" t="str">
        <f>IF(AA198, Q198, "")</f>
        <v/>
      </c>
      <c r="AC198" s="55" t="str">
        <f>IF(AA198, IF(L198 = "", "", L198), "")</f>
        <v/>
      </c>
      <c r="AD198" s="55" t="str">
        <f>IF(AA198, K198, "")</f>
        <v/>
      </c>
    </row>
    <row r="199" spans="1:30" ht="15.75" x14ac:dyDescent="0.25">
      <c r="A199" s="116" t="s">
        <v>29</v>
      </c>
      <c r="B199" s="116"/>
      <c r="C199" s="116"/>
      <c r="D199" s="116"/>
      <c r="E199" s="40" t="s">
        <v>129</v>
      </c>
      <c r="F199" s="100" t="s">
        <v>78</v>
      </c>
      <c r="G199" s="100"/>
      <c r="H199" s="44"/>
    </row>
    <row r="200" spans="1:30" ht="24" x14ac:dyDescent="0.2">
      <c r="A200" s="116" t="s">
        <v>249</v>
      </c>
      <c r="B200" s="116"/>
      <c r="C200" s="116"/>
      <c r="D200" s="116"/>
      <c r="E200" s="39" t="s">
        <v>53</v>
      </c>
      <c r="F200" s="87">
        <v>15</v>
      </c>
      <c r="G200" s="44"/>
      <c r="H200" s="44"/>
      <c r="I200" s="67" t="s">
        <v>434</v>
      </c>
      <c r="J200" s="68" t="s">
        <v>435</v>
      </c>
      <c r="K200" s="68" t="s">
        <v>17</v>
      </c>
      <c r="L200" s="69" t="s">
        <v>438</v>
      </c>
      <c r="M200" s="67" t="s">
        <v>141</v>
      </c>
      <c r="N200" s="67" t="s">
        <v>142</v>
      </c>
      <c r="O200" s="67" t="s">
        <v>436</v>
      </c>
      <c r="P200" s="67" t="s">
        <v>437</v>
      </c>
      <c r="Q200" s="68" t="s">
        <v>353</v>
      </c>
      <c r="R200" s="67" t="s">
        <v>354</v>
      </c>
      <c r="S200" s="67" t="s">
        <v>355</v>
      </c>
      <c r="T200" s="67" t="s">
        <v>356</v>
      </c>
      <c r="U200" s="68" t="s">
        <v>22</v>
      </c>
      <c r="V200" s="68" t="s">
        <v>202</v>
      </c>
      <c r="W200" s="70" t="s">
        <v>353</v>
      </c>
      <c r="X200" s="68" t="s">
        <v>200</v>
      </c>
      <c r="Y200" s="68" t="s">
        <v>201</v>
      </c>
      <c r="Z200" s="68" t="s">
        <v>302</v>
      </c>
      <c r="AA200" s="68" t="s">
        <v>203</v>
      </c>
      <c r="AB200" s="70" t="s">
        <v>353</v>
      </c>
      <c r="AC200" s="68" t="s">
        <v>204</v>
      </c>
      <c r="AD200" s="68" t="s">
        <v>205</v>
      </c>
    </row>
    <row r="201" spans="1:30" ht="13.5" thickBot="1" x14ac:dyDescent="0.3">
      <c r="A201" s="117" t="str">
        <f>_xlfn.CONCAT(F201," servings")</f>
        <v>10 servings</v>
      </c>
      <c r="B201" s="117"/>
      <c r="C201" s="117"/>
      <c r="D201" s="117"/>
      <c r="E201" s="63" t="s">
        <v>348</v>
      </c>
      <c r="F201" s="87">
        <f>moDiCount</f>
        <v>10</v>
      </c>
      <c r="G201" s="44"/>
      <c r="H201" s="44"/>
      <c r="I201" s="60"/>
      <c r="J201" s="39"/>
      <c r="K201" s="39"/>
      <c r="L201" s="61"/>
      <c r="M201" s="60"/>
      <c r="N201" s="60"/>
      <c r="O201" s="60"/>
      <c r="P201" s="60"/>
      <c r="Q201" s="39"/>
      <c r="R201" s="60"/>
      <c r="S201" s="60"/>
      <c r="T201" s="60"/>
      <c r="U201" s="39"/>
      <c r="V201" s="39"/>
      <c r="W201" s="57"/>
      <c r="X201" s="39"/>
      <c r="Y201" s="39"/>
      <c r="Z201" s="38"/>
      <c r="AA201" s="39"/>
      <c r="AB201" s="39"/>
      <c r="AC201" s="39"/>
      <c r="AD201" s="39"/>
    </row>
    <row r="202" spans="1:30" s="102" customFormat="1" ht="15.75" thickBot="1" x14ac:dyDescent="0.3">
      <c r="A202" s="115"/>
      <c r="B202" s="115"/>
      <c r="C202" s="115"/>
      <c r="D202" s="115"/>
      <c r="E202" s="63" t="s">
        <v>351</v>
      </c>
      <c r="F202" s="47">
        <f>F201/F200</f>
        <v>0.66666666666666663</v>
      </c>
      <c r="G202" s="48" t="s">
        <v>369</v>
      </c>
      <c r="H202" s="44"/>
      <c r="I202" s="60"/>
      <c r="J202" s="100"/>
      <c r="K202" s="100"/>
      <c r="L202" s="61"/>
      <c r="M202" s="60"/>
      <c r="N202" s="60"/>
      <c r="O202" s="60"/>
      <c r="P202" s="60"/>
      <c r="Q202" s="100"/>
      <c r="R202" s="60"/>
      <c r="S202" s="60"/>
      <c r="T202" s="60"/>
      <c r="U202" s="100"/>
      <c r="V202" s="100"/>
      <c r="W202" s="101"/>
      <c r="X202" s="100"/>
      <c r="Y202" s="100"/>
      <c r="Z202" s="38"/>
      <c r="AA202" s="100"/>
      <c r="AB202" s="100"/>
      <c r="AC202" s="100"/>
      <c r="AD202" s="100"/>
    </row>
    <row r="203" spans="1:30" x14ac:dyDescent="0.25">
      <c r="A203" s="115" t="s">
        <v>250</v>
      </c>
      <c r="B203" s="115"/>
      <c r="C203" s="115"/>
      <c r="D203" s="115"/>
      <c r="E203" s="64"/>
      <c r="F203" s="64"/>
      <c r="G203" s="64"/>
      <c r="H203" s="50"/>
      <c r="I203" s="44"/>
    </row>
    <row r="204" spans="1:30" ht="15.75" thickBot="1" x14ac:dyDescent="0.3">
      <c r="A204" s="37" t="s">
        <v>21</v>
      </c>
      <c r="B204" s="49">
        <f>Q204</f>
        <v>3</v>
      </c>
      <c r="C204" s="36" t="str">
        <f>IF(L204="","",L204)</f>
        <v>l</v>
      </c>
      <c r="D204" s="37" t="str">
        <f>_xlfn.CONCAT(K204, U204)</f>
        <v>vegetable stock</v>
      </c>
      <c r="E204" s="63" t="s">
        <v>327</v>
      </c>
      <c r="F204" s="87">
        <f>moDiCount</f>
        <v>10</v>
      </c>
      <c r="G204" s="64"/>
      <c r="I204" s="51">
        <v>4.5</v>
      </c>
      <c r="J204" s="52" t="s">
        <v>54</v>
      </c>
      <c r="K204" s="52" t="s">
        <v>55</v>
      </c>
      <c r="L204" s="53" t="s">
        <v>54</v>
      </c>
      <c r="M204" s="44">
        <f>INDEX(itemGPerQty, MATCH(K204, itemNames, 0))</f>
        <v>0</v>
      </c>
      <c r="N204" s="44">
        <f>INDEX(itemMlPerQty, MATCH(K204, itemNames, 0))</f>
        <v>0</v>
      </c>
      <c r="O204" s="44">
        <f>IF(J204 = "", I204 * M204, IF(ISNA(CONVERT(I204, J204, "kg")), CONVERT(I204, J204, "l") * IF(N204 &lt;&gt; 0, M204 / N204, 0), CONVERT(I204, J204, "kg")))</f>
        <v>0</v>
      </c>
      <c r="P204" s="44">
        <f>IF(J204 = "", I204 * N204, IF(ISNA(CONVERT(I204, J204, "l")), CONVERT(I204, J204, "kg") * IF(M204 &lt;&gt; 0, N204 / M204, 0), CONVERT(I204, J204, "l")))</f>
        <v>4.5</v>
      </c>
      <c r="Q204" s="44">
        <f>MROUND(IF(AND(J204 = "", L204 = ""), I204 * recipe05DayScale, IF(ISNA(CONVERT(O204, "kg", L204)), CONVERT(P204 * recipe05DayScale, "l", L204), CONVERT(O204 * recipe05DayScale, "kg", L204))), roundTo)</f>
        <v>3</v>
      </c>
      <c r="R204" s="44">
        <f>recipe05TotScale * IF(L204 = "", Q204 * M204, IF(ISNA(CONVERT(Q204, L204, "kg")), CONVERT(Q204, L204, "l") * IF(N204 &lt;&gt; 0, M204 / N204, 0), CONVERT(Q204, L204, "kg")))</f>
        <v>0</v>
      </c>
      <c r="S204" s="44">
        <f>recipe05TotScale * IF(R204 = 0, IF(L204 = "", Q204 * N204, IF(ISNA(CONVERT(Q204, L204, "l")), CONVERT(Q204, L204, "kg") * IF(M204 &lt;&gt; 0, N204 / M204, 0), CONVERT(Q204, L204, "l"))), 0)</f>
        <v>3</v>
      </c>
      <c r="T204" s="44">
        <f>recipe05TotScale * IF(AND(R204 = 0, S204 = 0, J204 = "", L204 = ""), Q204, 0)</f>
        <v>0</v>
      </c>
      <c r="V204" s="41" t="b">
        <f>INDEX(itemPrepMethods, MATCH(K204, itemNames, 0))="chop"</f>
        <v>0</v>
      </c>
      <c r="W204" s="54" t="str">
        <f>IF(V204, Q204, "")</f>
        <v/>
      </c>
      <c r="X204" s="55" t="str">
        <f>IF(V204, IF(L204 = "", "", L204), "")</f>
        <v/>
      </c>
      <c r="Y204" s="55" t="str">
        <f>IF(V204, K204, "")</f>
        <v/>
      </c>
      <c r="Z204" s="56"/>
      <c r="AA204" s="41" t="b">
        <f>INDEX(itemPrepMethods, MATCH(K204, itemNames, 0))="soak"</f>
        <v>0</v>
      </c>
      <c r="AB204" s="55" t="str">
        <f>IF(AA204, Q204, "")</f>
        <v/>
      </c>
      <c r="AC204" s="55" t="str">
        <f>IF(AA204, IF(L204 = "", "", L204), "")</f>
        <v/>
      </c>
      <c r="AD204" s="55" t="str">
        <f>IF(AA204, K204, "")</f>
        <v/>
      </c>
    </row>
    <row r="205" spans="1:30" ht="16.5" thickBot="1" x14ac:dyDescent="0.3">
      <c r="A205" s="119"/>
      <c r="B205" s="119"/>
      <c r="C205" s="119"/>
      <c r="D205" s="119"/>
      <c r="E205" s="63" t="s">
        <v>352</v>
      </c>
      <c r="F205" s="47">
        <f>F204/F201</f>
        <v>1</v>
      </c>
      <c r="G205" s="48" t="s">
        <v>370</v>
      </c>
      <c r="H205" s="44"/>
      <c r="I205" s="60"/>
      <c r="J205" s="39"/>
      <c r="K205" s="39"/>
      <c r="L205" s="61"/>
      <c r="M205" s="60"/>
      <c r="N205" s="60"/>
      <c r="O205" s="60"/>
      <c r="P205" s="60"/>
      <c r="Q205" s="39"/>
      <c r="R205" s="60"/>
      <c r="S205" s="60"/>
      <c r="T205" s="60"/>
      <c r="U205" s="39"/>
      <c r="W205" s="71"/>
      <c r="X205" s="71"/>
      <c r="Y205" s="71"/>
      <c r="Z205" s="71"/>
      <c r="AA205" s="64"/>
      <c r="AB205" s="71"/>
      <c r="AC205" s="71"/>
      <c r="AD205" s="71"/>
    </row>
    <row r="206" spans="1:30" x14ac:dyDescent="0.25">
      <c r="A206" s="115" t="s">
        <v>117</v>
      </c>
      <c r="B206" s="115"/>
      <c r="C206" s="115"/>
      <c r="D206" s="115"/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37" t="s">
        <v>21</v>
      </c>
      <c r="B207" s="49">
        <f t="shared" ref="B207:B222" si="200">Q207</f>
        <v>16</v>
      </c>
      <c r="C207" s="36" t="str">
        <f t="shared" ref="C207:C231" si="201">IF(L207="","",L207)</f>
        <v/>
      </c>
      <c r="D207" s="37" t="str">
        <f>_xlfn.CONCAT(K207, U207)</f>
        <v>chopped kumara</v>
      </c>
      <c r="I207" s="51">
        <v>24</v>
      </c>
      <c r="J207" s="52"/>
      <c r="K207" s="52" t="s">
        <v>151</v>
      </c>
      <c r="L207" s="53"/>
      <c r="M207" s="44">
        <f t="shared" ref="M207:M222" si="202">INDEX(itemGPerQty, MATCH(K207, itemNames, 0))</f>
        <v>0.34</v>
      </c>
      <c r="N207" s="44">
        <f t="shared" ref="N207:N222" si="203">INDEX(itemMlPerQty, MATCH(K207, itemNames, 0))</f>
        <v>0</v>
      </c>
      <c r="O207" s="44">
        <f t="shared" ref="O207:O222" si="204">IF(J207 = "", I207 * M207, IF(ISNA(CONVERT(I207, J207, "kg")), CONVERT(I207, J207, "l") * IF(N207 &lt;&gt; 0, M207 / N207, 0), CONVERT(I207, J207, "kg")))</f>
        <v>8.16</v>
      </c>
      <c r="P207" s="44">
        <f t="shared" ref="P207:P222" si="205">IF(J207 = "", I207 * N207, IF(ISNA(CONVERT(I207, J207, "l")), CONVERT(I207, J207, "kg") * IF(M207 &lt;&gt; 0, N207 / M207, 0), CONVERT(I207, J207, "l")))</f>
        <v>0</v>
      </c>
      <c r="Q207" s="44">
        <f>MROUND(IF(AND(J207 = "", L207 = ""), I207 * recipe05DayScale, IF(ISNA(CONVERT(O207, "kg", L207)), CONVERT(P207 * recipe05DayScale, "l", L207), CONVERT(O207 * recipe05DayScale, "kg", L207))), roundTo)</f>
        <v>16</v>
      </c>
      <c r="R207" s="44">
        <f>recipe05TotScale * IF(L207 = "", Q207 * M207, IF(ISNA(CONVERT(Q207, L207, "kg")), CONVERT(Q207, L207, "l") * IF(N207 &lt;&gt; 0, M207 / N207, 0), CONVERT(Q207, L207, "kg")))</f>
        <v>5.44</v>
      </c>
      <c r="S207" s="44">
        <f>recipe05TotScale * IF(R207 = 0, IF(L207 = "", Q207 * N207, IF(ISNA(CONVERT(Q207, L207, "l")), CONVERT(Q207, L207, "kg") * IF(M207 &lt;&gt; 0, N207 / M207, 0), CONVERT(Q207, L207, "l"))), 0)</f>
        <v>0</v>
      </c>
      <c r="T207" s="44">
        <f>recipe05TotScale * IF(AND(R207 = 0, S207 = 0, J207 = "", L207 = ""), Q207, 0)</f>
        <v>0</v>
      </c>
      <c r="V207" s="41" t="b">
        <f>INDEX(itemPrepMethods, MATCH(K207, itemNames, 0))="chop"</f>
        <v>1</v>
      </c>
      <c r="W207" s="54">
        <f>IF(V207, Q207, "")</f>
        <v>16</v>
      </c>
      <c r="X207" s="55" t="str">
        <f>IF(V207, IF(L207 = "", "", L207), "")</f>
        <v/>
      </c>
      <c r="Y207" s="55" t="str">
        <f>IF(V207, K207, "")</f>
        <v>chopped kumara</v>
      </c>
      <c r="Z207" s="56"/>
      <c r="AA207" s="41" t="b">
        <f>INDEX(itemPrepMethods, MATCH(K207, itemNames, 0))="soak"</f>
        <v>0</v>
      </c>
      <c r="AB207" s="55" t="str">
        <f>IF(AA207, Q207, "")</f>
        <v/>
      </c>
      <c r="AC207" s="55" t="str">
        <f>IF(AA207, IF(L207 = "", "", L207), "")</f>
        <v/>
      </c>
      <c r="AD207" s="55" t="str">
        <f>IF(AA207, K207, "")</f>
        <v/>
      </c>
    </row>
    <row r="208" spans="1:30" x14ac:dyDescent="0.25">
      <c r="A208" s="37" t="s">
        <v>21</v>
      </c>
      <c r="B208" s="49">
        <f t="shared" si="200"/>
        <v>8</v>
      </c>
      <c r="C208" s="36" t="str">
        <f t="shared" si="201"/>
        <v/>
      </c>
      <c r="D208" s="37" t="str">
        <f>_xlfn.CONCAT(K208, U208)</f>
        <v>chopped carrots</v>
      </c>
      <c r="I208" s="51">
        <v>12</v>
      </c>
      <c r="J208" s="52"/>
      <c r="K208" s="52" t="s">
        <v>5</v>
      </c>
      <c r="L208" s="53"/>
      <c r="M208" s="44">
        <f t="shared" si="202"/>
        <v>0.14833333333333334</v>
      </c>
      <c r="N208" s="44">
        <f t="shared" si="203"/>
        <v>0.19999999999999998</v>
      </c>
      <c r="O208" s="44">
        <f t="shared" si="204"/>
        <v>1.7800000000000002</v>
      </c>
      <c r="P208" s="44">
        <f t="shared" si="205"/>
        <v>2.4</v>
      </c>
      <c r="Q208" s="44">
        <f>MROUND(IF(AND(J208 = "", L208 = ""), I208 * recipe05DayScale, IF(ISNA(CONVERT(O208, "kg", L208)), CONVERT(P208 * recipe05DayScale, "l", L208), CONVERT(O208 * recipe05DayScale, "kg", L208))), roundTo)</f>
        <v>8</v>
      </c>
      <c r="R208" s="44">
        <f>recipe05TotScale * IF(L208 = "", Q208 * M208, IF(ISNA(CONVERT(Q208, L208, "kg")), CONVERT(Q208, L208, "l") * IF(N208 &lt;&gt; 0, M208 / N208, 0), CONVERT(Q208, L208, "kg")))</f>
        <v>1.1866666666666668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8</v>
      </c>
      <c r="X208" s="55" t="str">
        <f>IF(V208, IF(L208 = "", "", L208), "")</f>
        <v/>
      </c>
      <c r="Y208" s="55" t="str">
        <f>IF(V208, K208, "")</f>
        <v>chopped carrots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/>
      <c r="C209" s="36" t="str">
        <f>IF(L209="","",L209)</f>
        <v/>
      </c>
      <c r="D209" s="37" t="str">
        <f>_xlfn.CONCAT(K209, U209)</f>
        <v>water, ONLY IF REQUIRED to completely cover vegetables</v>
      </c>
      <c r="I209" s="44"/>
      <c r="K209" s="52" t="s">
        <v>47</v>
      </c>
      <c r="L209" s="41"/>
      <c r="M209" s="41"/>
      <c r="N209" s="41"/>
      <c r="O209" s="41"/>
      <c r="P209" s="41"/>
      <c r="U209" s="41" t="s">
        <v>251</v>
      </c>
      <c r="V209" s="41" t="b">
        <f>INDEX(itemPrepMethods, MATCH(K209, itemNames, 0))="chop"</f>
        <v>0</v>
      </c>
      <c r="W209" s="54" t="str">
        <f>IF(V209, Q209, "")</f>
        <v/>
      </c>
      <c r="X209" s="55" t="str">
        <f>IF(V209, IF(L209 = "", "", L209), "")</f>
        <v/>
      </c>
      <c r="Y209" s="55" t="str">
        <f>IF(V209, K209, "")</f>
        <v/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ht="15.75" x14ac:dyDescent="0.25">
      <c r="A210" s="119"/>
      <c r="B210" s="119"/>
      <c r="C210" s="119"/>
      <c r="D210" s="119"/>
      <c r="E210" s="39"/>
      <c r="F210" s="39"/>
      <c r="G210" s="44"/>
      <c r="H210" s="44"/>
      <c r="I210" s="60"/>
      <c r="J210" s="39"/>
      <c r="K210" s="39"/>
      <c r="L210" s="61"/>
      <c r="M210" s="60"/>
      <c r="N210" s="60"/>
      <c r="O210" s="60"/>
      <c r="P210" s="60"/>
      <c r="Q210" s="39"/>
      <c r="R210" s="60"/>
      <c r="S210" s="60"/>
      <c r="T210" s="60"/>
      <c r="U210" s="39"/>
      <c r="W210" s="71"/>
      <c r="X210" s="71"/>
      <c r="Y210" s="71"/>
      <c r="Z210" s="71"/>
      <c r="AA210" s="64"/>
      <c r="AB210" s="71"/>
      <c r="AC210" s="71"/>
      <c r="AD210" s="71"/>
    </row>
    <row r="211" spans="1:30" x14ac:dyDescent="0.25">
      <c r="A211" s="115" t="s">
        <v>252</v>
      </c>
      <c r="B211" s="115"/>
      <c r="C211" s="115"/>
      <c r="D211" s="115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ht="15.75" x14ac:dyDescent="0.25">
      <c r="A212" s="119"/>
      <c r="B212" s="119"/>
      <c r="C212" s="119"/>
      <c r="D212" s="119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x14ac:dyDescent="0.25">
      <c r="A213" s="115" t="s">
        <v>259</v>
      </c>
      <c r="B213" s="115"/>
      <c r="C213" s="115"/>
      <c r="D213" s="115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ht="15.75" x14ac:dyDescent="0.25">
      <c r="A214" s="119"/>
      <c r="B214" s="119"/>
      <c r="C214" s="119"/>
      <c r="D214" s="119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x14ac:dyDescent="0.25">
      <c r="A215" s="115" t="s">
        <v>253</v>
      </c>
      <c r="B215" s="115"/>
      <c r="C215" s="115"/>
      <c r="D215" s="115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37" t="s">
        <v>21</v>
      </c>
      <c r="B216" s="49">
        <f t="shared" si="200"/>
        <v>2</v>
      </c>
      <c r="C216" s="36" t="str">
        <f t="shared" si="201"/>
        <v/>
      </c>
      <c r="D216" s="37" t="str">
        <f>_xlfn.CONCAT(K216, U216)</f>
        <v>tinned creamed corn</v>
      </c>
      <c r="I216" s="51">
        <v>3</v>
      </c>
      <c r="J216" s="52"/>
      <c r="K216" s="52" t="s">
        <v>449</v>
      </c>
      <c r="L216" s="53"/>
      <c r="M216" s="44">
        <f t="shared" si="202"/>
        <v>0</v>
      </c>
      <c r="N216" s="44">
        <f t="shared" si="203"/>
        <v>0</v>
      </c>
      <c r="O216" s="44">
        <f t="shared" si="204"/>
        <v>0</v>
      </c>
      <c r="P216" s="44">
        <f t="shared" si="205"/>
        <v>0</v>
      </c>
      <c r="Q216" s="44">
        <f>MROUND(IF(AND(J216 = "", L216 = ""), I216 * recipe05DayScale, IF(ISNA(CONVERT(O216, "kg", L216)), CONVERT(P216 * recipe05DayScale, "l", L216), CONVERT(O216 * recipe05DayScale, "kg", L216))), roundTo)</f>
        <v>2</v>
      </c>
      <c r="R216" s="44">
        <f>recipe05TotScale * IF(L216 = "", Q216 * M216, IF(ISNA(CONVERT(Q216, L216, "kg")), CONVERT(Q216, L216, "l") * IF(N216 &lt;&gt; 0, M216 / N216, 0), CONVERT(Q216, L216, "kg")))</f>
        <v>0</v>
      </c>
      <c r="S216" s="44">
        <f>recipe05TotScale * IF(R216 = 0, IF(L216 = "", Q216 * N216, IF(ISNA(CONVERT(Q216, L216, "l")), CONVERT(Q216, L216, "kg") * IF(M216 &lt;&gt; 0, N216 / M216, 0), CONVERT(Q216, L216, "l"))), 0)</f>
        <v>0</v>
      </c>
      <c r="T216" s="44">
        <f>recipe05TotScale * IF(AND(R216 = 0, S216 = 0, J216 = "", L216 = ""), Q216, 0)</f>
        <v>2</v>
      </c>
      <c r="V216" s="41" t="b">
        <f>INDEX(itemPrepMethods, MATCH(K216, itemNames, 0))="chop"</f>
        <v>0</v>
      </c>
      <c r="W216" s="54" t="str">
        <f>IF(V216, Q216, "")</f>
        <v/>
      </c>
      <c r="X216" s="55" t="str">
        <f>IF(V216, IF(L216 = "", "", L216), "")</f>
        <v/>
      </c>
      <c r="Y216" s="55" t="str">
        <f>IF(V216, K216, "")</f>
        <v/>
      </c>
      <c r="Z216" s="56"/>
      <c r="AA216" s="41" t="b">
        <f>INDEX(itemPrepMethods, MATCH(K216, itemNames, 0))="soak"</f>
        <v>0</v>
      </c>
      <c r="AB216" s="55" t="str">
        <f>IF(AA216, Q216, "")</f>
        <v/>
      </c>
      <c r="AC216" s="55" t="str">
        <f>IF(AA216, IF(L216 = "", "", L216), "")</f>
        <v/>
      </c>
      <c r="AD216" s="55" t="str">
        <f>IF(AA216, K216, "")</f>
        <v/>
      </c>
    </row>
    <row r="217" spans="1:30" x14ac:dyDescent="0.25">
      <c r="A217" s="37" t="s">
        <v>21</v>
      </c>
      <c r="B217" s="49">
        <f t="shared" si="200"/>
        <v>5.25</v>
      </c>
      <c r="C217" s="36" t="str">
        <f t="shared" si="201"/>
        <v>tbs</v>
      </c>
      <c r="D217" s="37" t="str">
        <f>_xlfn.CONCAT(K217, U217)</f>
        <v>dijon mustard</v>
      </c>
      <c r="I217" s="51">
        <v>8</v>
      </c>
      <c r="J217" s="52" t="s">
        <v>15</v>
      </c>
      <c r="K217" s="52" t="s">
        <v>71</v>
      </c>
      <c r="L217" s="53" t="s">
        <v>15</v>
      </c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0.11829411825</v>
      </c>
      <c r="Q217" s="44">
        <f>MROUND(IF(AND(J217 = "", L217 = ""), I217 * recipe05DayScale, IF(ISNA(CONVERT(O217, "kg", L217)), CONVERT(P217 * recipe05DayScale, "l", L217), CONVERT(O217 * recipe05DayScale, "kg", L217))), roundTo)</f>
        <v>5.25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7.7630515101562492E-2</v>
      </c>
      <c r="T217" s="44">
        <f>recipe05TotScale * IF(AND(R217 = 0, S217 = 0, J217 = "", L217 = ""), Q217, 0)</f>
        <v>0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>Q218</f>
        <v>0.25</v>
      </c>
      <c r="C218" s="36" t="str">
        <f>IF(L218="","",L218)</f>
        <v>cup</v>
      </c>
      <c r="D218" s="37" t="str">
        <f>_xlfn.CONCAT(K218, U218)</f>
        <v>olive oil</v>
      </c>
      <c r="I218" s="51">
        <v>0.33</v>
      </c>
      <c r="J218" s="52" t="s">
        <v>16</v>
      </c>
      <c r="K218" s="52" t="s">
        <v>73</v>
      </c>
      <c r="L218" s="53" t="s">
        <v>16</v>
      </c>
      <c r="M218" s="44">
        <f>INDEX(itemGPerQty, MATCH(K218, itemNames, 0))</f>
        <v>0</v>
      </c>
      <c r="N218" s="44">
        <f>INDEX(itemMlPerQty, MATCH(K218, itemNames, 0))</f>
        <v>0</v>
      </c>
      <c r="O218" s="44">
        <f>IF(J218 = "", I218 * M218, IF(ISNA(CONVERT(I218, J218, "kg")), CONVERT(I218, J218, "l") * IF(N218 &lt;&gt; 0, M218 / N218, 0), CONVERT(I218, J218, "kg")))</f>
        <v>0</v>
      </c>
      <c r="P218" s="44">
        <f>IF(J218 = "", I218 * N218, IF(ISNA(CONVERT(I218, J218, "l")), CONVERT(I218, J218, "kg") * IF(M218 &lt;&gt; 0, N218 / M218, 0), CONVERT(I218, J218, "l")))</f>
        <v>7.8074118045000002E-2</v>
      </c>
      <c r="Q218" s="44">
        <f>MROUND(IF(AND(J218 = "", L218 = ""), I218 * recipe05DayScale, IF(ISNA(CONVERT(O218, "kg", L218)), CONVERT(P218 * recipe05DayScale, "l", L218), CONVERT(O218 * recipe05DayScale, "kg", L218))), roundTo)</f>
        <v>0.25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5.9147059124999998E-2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ht="15.75" x14ac:dyDescent="0.25">
      <c r="A219" s="119"/>
      <c r="B219" s="119"/>
      <c r="C219" s="119"/>
      <c r="D219" s="119"/>
      <c r="E219" s="39"/>
      <c r="F219" s="39"/>
      <c r="G219" s="44"/>
      <c r="H219" s="44"/>
      <c r="I219" s="60"/>
      <c r="J219" s="39"/>
      <c r="K219" s="39"/>
      <c r="L219" s="61"/>
      <c r="M219" s="60"/>
      <c r="N219" s="60"/>
      <c r="O219" s="60"/>
      <c r="P219" s="60"/>
      <c r="Q219" s="39"/>
      <c r="R219" s="60"/>
      <c r="S219" s="60"/>
      <c r="T219" s="60"/>
      <c r="U219" s="39"/>
      <c r="W219" s="71"/>
      <c r="X219" s="71"/>
      <c r="Y219" s="71"/>
      <c r="Z219" s="71"/>
      <c r="AA219" s="64"/>
      <c r="AB219" s="71"/>
      <c r="AC219" s="71"/>
      <c r="AD219" s="71"/>
    </row>
    <row r="220" spans="1:30" x14ac:dyDescent="0.25">
      <c r="A220" s="115" t="s">
        <v>254</v>
      </c>
      <c r="B220" s="115"/>
      <c r="C220" s="115"/>
      <c r="D220" s="115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37" t="s">
        <v>21</v>
      </c>
      <c r="B221" s="49">
        <f>Q221</f>
        <v>4</v>
      </c>
      <c r="C221" s="36" t="str">
        <f>IF(L221="","",L221)</f>
        <v>tsp</v>
      </c>
      <c r="D221" s="37" t="str">
        <f>_xlfn.CONCAT(K221, U221)</f>
        <v>ground cumin</v>
      </c>
      <c r="I221" s="51">
        <v>6</v>
      </c>
      <c r="J221" s="52" t="s">
        <v>13</v>
      </c>
      <c r="K221" s="52" t="s">
        <v>14</v>
      </c>
      <c r="L221" s="53" t="s">
        <v>13</v>
      </c>
      <c r="M221" s="44">
        <f>INDEX(itemGPerQty, MATCH(K221, itemNames, 0))</f>
        <v>1.0999999999999999E-2</v>
      </c>
      <c r="N221" s="44">
        <f>INDEX(itemMlPerQty, MATCH(K221, itemNames, 0))</f>
        <v>2.2180100000000001E-2</v>
      </c>
      <c r="O221" s="44">
        <f>IF(J221 = "", I221 * M221, IF(ISNA(CONVERT(I221, J221, "kg")), CONVERT(I221, J221, "l") * IF(N221 &lt;&gt; 0, M221 / N221, 0), CONVERT(I221, J221, "kg")))</f>
        <v>1.4666697859229668E-2</v>
      </c>
      <c r="P221" s="44">
        <f>IF(J221 = "", I221 * N221, IF(ISNA(CONVERT(I221, J221, "l")), CONVERT(I221, J221, "kg") * IF(M221 &lt;&gt; 0, N221 / M221, 0), CONVERT(I221, J221, "l")))</f>
        <v>2.9573529562499999E-2</v>
      </c>
      <c r="Q221" s="44">
        <f>MROUND(IF(AND(J221 = "", L221 = ""), I221 * recipe05DayScale, IF(ISNA(CONVERT(O221, "kg", L221)), CONVERT(P221 * recipe05DayScale, "l", L221), CONVERT(O221 * recipe05DayScale, "kg", L221))), roundTo)</f>
        <v>4</v>
      </c>
      <c r="R221" s="44">
        <f>recipe05TotScale * IF(L221 = "", Q221 * M221, IF(ISNA(CONVERT(Q221, L221, "kg")), CONVERT(Q221, L221, "l") * IF(N221 &lt;&gt; 0, M221 / N221, 0), CONVERT(Q221, L221, "kg")))</f>
        <v>9.7777985728197785E-3</v>
      </c>
      <c r="S221" s="44">
        <f>recipe05TotScale * IF(R221 = 0, IF(L221 = "", Q221 * N221, IF(ISNA(CONVERT(Q221, L221, "l")), CONVERT(Q221, L221, "kg") * IF(M221 &lt;&gt; 0, N221 / M221, 0), CONVERT(Q221, L221, "l"))), 0)</f>
        <v>0</v>
      </c>
      <c r="T221" s="44">
        <f>recipe05TotScale * IF(AND(R221 = 0, S221 = 0, J221 = "", L221 = ""), Q221, 0)</f>
        <v>0</v>
      </c>
      <c r="V221" s="41" t="b">
        <f>INDEX(itemPrepMethods, MATCH(K221, itemNames, 0))="chop"</f>
        <v>0</v>
      </c>
      <c r="W221" s="54" t="str">
        <f>IF(V221, Q221, "")</f>
        <v/>
      </c>
      <c r="X221" s="55" t="str">
        <f>IF(V221, IF(L221 = "", "", L221), "")</f>
        <v/>
      </c>
      <c r="Y221" s="55" t="str">
        <f>IF(V221, K221, "")</f>
        <v/>
      </c>
      <c r="Z221" s="56"/>
      <c r="AA221" s="41" t="b">
        <f>INDEX(itemPrepMethods, MATCH(K221, itemNames, 0))="soak"</f>
        <v>0</v>
      </c>
      <c r="AB221" s="55" t="str">
        <f>IF(AA221, Q221, "")</f>
        <v/>
      </c>
      <c r="AC221" s="55" t="str">
        <f>IF(AA221, IF(L221 = "", "", L221), "")</f>
        <v/>
      </c>
      <c r="AD221" s="55" t="str">
        <f>IF(AA221, K221, "")</f>
        <v/>
      </c>
    </row>
    <row r="222" spans="1:30" x14ac:dyDescent="0.25">
      <c r="A222" s="37" t="s">
        <v>21</v>
      </c>
      <c r="B222" s="49">
        <f t="shared" si="200"/>
        <v>4</v>
      </c>
      <c r="C222" s="36" t="str">
        <f t="shared" si="201"/>
        <v>tbs</v>
      </c>
      <c r="D222" s="37" t="str">
        <f>_xlfn.CONCAT(K222, U222)</f>
        <v>nutritional yeast</v>
      </c>
      <c r="I222" s="51">
        <v>6</v>
      </c>
      <c r="J222" s="52" t="s">
        <v>15</v>
      </c>
      <c r="K222" s="52" t="s">
        <v>72</v>
      </c>
      <c r="L222" s="53" t="s">
        <v>15</v>
      </c>
      <c r="M222" s="44">
        <f t="shared" si="202"/>
        <v>0</v>
      </c>
      <c r="N222" s="44">
        <f t="shared" si="203"/>
        <v>0</v>
      </c>
      <c r="O222" s="44">
        <f t="shared" si="204"/>
        <v>0</v>
      </c>
      <c r="P222" s="44">
        <f t="shared" si="205"/>
        <v>8.872058868749999E-2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0</v>
      </c>
      <c r="S222" s="44">
        <f>recipe05TotScale * IF(R222 = 0, IF(L222 = "", Q222 * N222, IF(ISNA(CONVERT(Q222, L222, "l")), CONVERT(Q222, L222, "kg") * IF(M222 &lt;&gt; 0, N222 / M222, 0), CONVERT(Q222, L222, "l"))), 0)</f>
        <v>5.9147059124999998E-2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B223" s="49"/>
      <c r="I223" s="41"/>
      <c r="L223" s="41"/>
      <c r="W223" s="71"/>
      <c r="X223" s="71"/>
      <c r="Y223" s="71"/>
      <c r="Z223" s="71"/>
      <c r="AA223" s="64"/>
      <c r="AB223" s="71"/>
      <c r="AC223" s="71"/>
      <c r="AD223" s="71"/>
    </row>
    <row r="224" spans="1:30" x14ac:dyDescent="0.25">
      <c r="A224" s="115" t="s">
        <v>255</v>
      </c>
      <c r="B224" s="115"/>
      <c r="C224" s="115"/>
      <c r="D224" s="115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B225" s="49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A226" s="115" t="s">
        <v>257</v>
      </c>
      <c r="B226" s="115"/>
      <c r="C226" s="115"/>
      <c r="D226" s="115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37" t="s">
        <v>21</v>
      </c>
      <c r="B227" s="49"/>
      <c r="C227" s="36" t="str">
        <f t="shared" ref="C227" si="206">IF(L227="","",L227)</f>
        <v/>
      </c>
      <c r="D227" s="37" t="str">
        <f>_xlfn.CONCAT(K227, U227)</f>
        <v>salt, to taste</v>
      </c>
      <c r="I227" s="44"/>
      <c r="K227" s="52" t="s">
        <v>11</v>
      </c>
      <c r="L227" s="41"/>
      <c r="M227" s="41"/>
      <c r="N227" s="41"/>
      <c r="O227" s="41"/>
      <c r="P227" s="41"/>
      <c r="U227" s="41" t="s">
        <v>206</v>
      </c>
      <c r="V227" s="41" t="b">
        <f>INDEX(itemPrepMethods, MATCH(K227, itemNames, 0))="chop"</f>
        <v>0</v>
      </c>
      <c r="W227" s="54" t="str">
        <f>IF(V227, Q227, "")</f>
        <v/>
      </c>
      <c r="X227" s="55" t="str">
        <f>IF(V227, IF(L227 = "", "", L227), "")</f>
        <v/>
      </c>
      <c r="Y227" s="55" t="str">
        <f>IF(V227, K227, "")</f>
        <v/>
      </c>
      <c r="Z227" s="56"/>
      <c r="AA227" s="41" t="b">
        <f>INDEX(itemPrepMethods, MATCH(K227, itemNames, 0))="soak"</f>
        <v>0</v>
      </c>
      <c r="AB227" s="55" t="str">
        <f>IF(AA227, Q227, "")</f>
        <v/>
      </c>
      <c r="AC227" s="55" t="str">
        <f>IF(AA227, IF(L227 = "", "", L227), "")</f>
        <v/>
      </c>
      <c r="AD227" s="55" t="str">
        <f>IF(AA227, K227, "")</f>
        <v/>
      </c>
    </row>
    <row r="228" spans="1:30" x14ac:dyDescent="0.25">
      <c r="A228" s="37" t="s">
        <v>21</v>
      </c>
      <c r="B228" s="49"/>
      <c r="C228" s="36" t="str">
        <f t="shared" si="201"/>
        <v/>
      </c>
      <c r="D228" s="37" t="str">
        <f>_xlfn.CONCAT(K228, U228)</f>
        <v>ground black pepper, to taste</v>
      </c>
      <c r="I228" s="44"/>
      <c r="K228" s="52" t="s">
        <v>76</v>
      </c>
      <c r="L228" s="41"/>
      <c r="M228" s="41"/>
      <c r="N228" s="41"/>
      <c r="O228" s="41"/>
      <c r="P228" s="41"/>
      <c r="U228" s="41" t="s">
        <v>206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B229" s="49"/>
      <c r="I229" s="41"/>
      <c r="L229" s="41"/>
      <c r="W229" s="71"/>
      <c r="X229" s="71"/>
      <c r="Y229" s="71"/>
      <c r="Z229" s="71"/>
      <c r="AA229" s="64"/>
      <c r="AB229" s="71"/>
      <c r="AC229" s="71"/>
      <c r="AD229" s="71"/>
    </row>
    <row r="230" spans="1:30" x14ac:dyDescent="0.25">
      <c r="A230" s="115" t="s">
        <v>258</v>
      </c>
      <c r="B230" s="115"/>
      <c r="C230" s="115"/>
      <c r="D230" s="115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37" t="s">
        <v>21</v>
      </c>
      <c r="B231" s="49"/>
      <c r="C231" s="36" t="str">
        <f t="shared" si="201"/>
        <v/>
      </c>
      <c r="D231" s="37" t="str">
        <f>_xlfn.CONCAT(K231, U231)</f>
        <v>chopped fresh chives, if available</v>
      </c>
      <c r="I231" s="44"/>
      <c r="K231" s="52" t="s">
        <v>79</v>
      </c>
      <c r="L231" s="41"/>
      <c r="M231" s="41"/>
      <c r="N231" s="41"/>
      <c r="O231" s="41"/>
      <c r="P231" s="41"/>
      <c r="U231" s="41" t="s">
        <v>228</v>
      </c>
      <c r="V231" s="41" t="b">
        <f>INDEX(itemPrepMethods, MATCH(K231, itemNames, 0))="chop"</f>
        <v>1</v>
      </c>
      <c r="W231" s="54">
        <f>IF(V231, Q231, "")</f>
        <v>0</v>
      </c>
      <c r="X231" s="55" t="str">
        <f>IF(V231, IF(L231 = "", "", L231), "")</f>
        <v/>
      </c>
      <c r="Y231" s="55" t="str">
        <f>IF(V231, K231, "")</f>
        <v>chopped fresh chives</v>
      </c>
      <c r="Z231" s="56"/>
      <c r="AA231" s="41" t="b">
        <f>INDEX(itemPrepMethods, MATCH(K231, itemNames, 0))="soak"</f>
        <v>0</v>
      </c>
      <c r="AB231" s="55" t="str">
        <f>IF(AA231, Q231, "")</f>
        <v/>
      </c>
      <c r="AC231" s="55" t="str">
        <f>IF(AA231, IF(L231 = "", "", L231), "")</f>
        <v/>
      </c>
      <c r="AD231" s="55" t="str">
        <f>IF(AA231, K231, "")</f>
        <v/>
      </c>
    </row>
    <row r="232" spans="1:30" ht="15.75" x14ac:dyDescent="0.25">
      <c r="A232" s="116" t="s">
        <v>31</v>
      </c>
      <c r="B232" s="116"/>
      <c r="C232" s="116"/>
      <c r="D232" s="116"/>
      <c r="E232" s="40" t="s">
        <v>130</v>
      </c>
      <c r="F232" s="100" t="s">
        <v>92</v>
      </c>
      <c r="G232" s="100"/>
      <c r="H232" s="44"/>
    </row>
    <row r="233" spans="1:30" ht="24" x14ac:dyDescent="0.2">
      <c r="A233" s="116" t="s">
        <v>39</v>
      </c>
      <c r="B233" s="116"/>
      <c r="C233" s="116"/>
      <c r="D233" s="116"/>
      <c r="E233" s="39" t="s">
        <v>53</v>
      </c>
      <c r="F233" s="87">
        <v>14</v>
      </c>
      <c r="G233" s="44"/>
      <c r="H233" s="44"/>
      <c r="I233" s="67" t="s">
        <v>434</v>
      </c>
      <c r="J233" s="68" t="s">
        <v>435</v>
      </c>
      <c r="K233" s="68" t="s">
        <v>17</v>
      </c>
      <c r="L233" s="69" t="s">
        <v>438</v>
      </c>
      <c r="M233" s="67" t="s">
        <v>141</v>
      </c>
      <c r="N233" s="67" t="s">
        <v>142</v>
      </c>
      <c r="O233" s="67" t="s">
        <v>436</v>
      </c>
      <c r="P233" s="67" t="s">
        <v>437</v>
      </c>
      <c r="Q233" s="68" t="s">
        <v>353</v>
      </c>
      <c r="R233" s="67" t="s">
        <v>354</v>
      </c>
      <c r="S233" s="67" t="s">
        <v>355</v>
      </c>
      <c r="T233" s="67" t="s">
        <v>356</v>
      </c>
      <c r="U233" s="68" t="s">
        <v>22</v>
      </c>
      <c r="V233" s="68" t="s">
        <v>202</v>
      </c>
      <c r="W233" s="70" t="s">
        <v>353</v>
      </c>
      <c r="X233" s="68" t="s">
        <v>200</v>
      </c>
      <c r="Y233" s="68" t="s">
        <v>201</v>
      </c>
      <c r="Z233" s="68" t="s">
        <v>302</v>
      </c>
      <c r="AA233" s="68" t="s">
        <v>203</v>
      </c>
      <c r="AB233" s="70" t="s">
        <v>353</v>
      </c>
      <c r="AC233" s="68" t="s">
        <v>204</v>
      </c>
      <c r="AD233" s="68" t="s">
        <v>205</v>
      </c>
    </row>
    <row r="234" spans="1:30" ht="13.5" thickBot="1" x14ac:dyDescent="0.3">
      <c r="A234" s="117" t="str">
        <f>_xlfn.CONCAT(F234," servings")</f>
        <v>10 servings</v>
      </c>
      <c r="B234" s="117"/>
      <c r="C234" s="117"/>
      <c r="D234" s="117"/>
      <c r="E234" s="63" t="s">
        <v>348</v>
      </c>
      <c r="F234" s="87">
        <f>tuLuCount</f>
        <v>10</v>
      </c>
      <c r="G234" s="44"/>
      <c r="H234" s="44"/>
      <c r="I234" s="60"/>
      <c r="J234" s="39"/>
      <c r="K234" s="39"/>
      <c r="L234" s="61"/>
      <c r="M234" s="60"/>
      <c r="N234" s="60"/>
      <c r="O234" s="60"/>
      <c r="P234" s="60"/>
      <c r="Q234" s="39"/>
      <c r="R234" s="60"/>
      <c r="S234" s="60"/>
      <c r="T234" s="60"/>
      <c r="U234" s="39"/>
    </row>
    <row r="235" spans="1:30" s="102" customFormat="1" ht="15.75" thickBot="1" x14ac:dyDescent="0.3">
      <c r="A235" s="115"/>
      <c r="B235" s="115"/>
      <c r="C235" s="115"/>
      <c r="D235" s="115"/>
      <c r="E235" s="63" t="s">
        <v>351</v>
      </c>
      <c r="F235" s="47">
        <f>F234/F233</f>
        <v>0.7142857142857143</v>
      </c>
      <c r="G235" s="48" t="s">
        <v>371</v>
      </c>
      <c r="H235" s="44"/>
      <c r="I235" s="60"/>
      <c r="J235" s="100"/>
      <c r="K235" s="100"/>
      <c r="L235" s="61"/>
      <c r="M235" s="60"/>
      <c r="N235" s="60"/>
      <c r="O235" s="60"/>
      <c r="P235" s="60"/>
      <c r="Q235" s="100"/>
      <c r="R235" s="60"/>
      <c r="S235" s="60"/>
      <c r="T235" s="60"/>
      <c r="U235" s="100"/>
      <c r="W235" s="45"/>
      <c r="Z235" s="46"/>
    </row>
    <row r="236" spans="1:30" x14ac:dyDescent="0.25">
      <c r="A236" s="115" t="s">
        <v>116</v>
      </c>
      <c r="B236" s="115"/>
      <c r="C236" s="115"/>
      <c r="D236" s="115"/>
      <c r="E236" s="64"/>
      <c r="F236" s="64"/>
      <c r="G236" s="64"/>
      <c r="H236" s="50"/>
      <c r="I236" s="44"/>
    </row>
    <row r="237" spans="1:30" ht="15.75" thickBot="1" x14ac:dyDescent="0.3">
      <c r="A237" s="37" t="s">
        <v>21</v>
      </c>
      <c r="B237" s="49">
        <f t="shared" ref="B237:B238" si="207">Q237</f>
        <v>2.25</v>
      </c>
      <c r="C237" s="36" t="str">
        <f>IF(L237="","",L237)</f>
        <v>cup</v>
      </c>
      <c r="D237" s="37" t="str">
        <f>_xlfn.CONCAT(K237, U237)</f>
        <v>peanut butter</v>
      </c>
      <c r="E237" s="63" t="s">
        <v>327</v>
      </c>
      <c r="F237" s="87">
        <f>tuLuCount</f>
        <v>10</v>
      </c>
      <c r="G237" s="64"/>
      <c r="I237" s="51">
        <v>3</v>
      </c>
      <c r="J237" s="52" t="s">
        <v>16</v>
      </c>
      <c r="K237" s="52" t="s">
        <v>104</v>
      </c>
      <c r="L237" s="53" t="s">
        <v>16</v>
      </c>
      <c r="M237" s="44">
        <f>INDEX(itemGPerQty, MATCH(K237, itemNames, 0))</f>
        <v>0</v>
      </c>
      <c r="N237" s="44">
        <f>INDEX(itemMlPerQty, MATCH(K237, itemNames, 0))</f>
        <v>0</v>
      </c>
      <c r="O237" s="44">
        <f t="shared" ref="O237:O238" si="208">IF(J237 = "", I237 * M237, IF(ISNA(CONVERT(I237, J237, "kg")), CONVERT(I237, J237, "l") * IF(N237 &lt;&gt; 0, M237 / N237, 0), CONVERT(I237, J237, "kg")))</f>
        <v>0</v>
      </c>
      <c r="P237" s="44">
        <f t="shared" ref="P237:P238" si="209">IF(J237 = "", I237 * N237, IF(ISNA(CONVERT(I237, J237, "l")), CONVERT(I237, J237, "kg") * IF(M237 &lt;&gt; 0, N237 / M237, 0), CONVERT(I237, J237, "l")))</f>
        <v>0.70976470949999992</v>
      </c>
      <c r="Q237" s="44">
        <f>MROUND(IF(AND(J237 = "", L237 = ""), I237 * recipe06DayScale, IF(ISNA(CONVERT(O237, "kg", L237)), CONVERT(P237 * recipe06DayScale, "l", L237), CONVERT(O237 * recipe06DayScale, "kg", L237))), roundTo)</f>
        <v>2.25</v>
      </c>
      <c r="R237" s="44">
        <f>recipe06TotScale * IF(L237 = "", Q237 * M237, IF(ISNA(CONVERT(Q237, L237, "kg")), CONVERT(Q237, L237, "l") * IF(N237 &lt;&gt; 0, M237 / N237, 0), CONVERT(Q237, L237, "kg")))</f>
        <v>0</v>
      </c>
      <c r="S237" s="44">
        <f>recipe06TotScale * IF(R237 = 0, IF(L237 = "", Q237 * N237, IF(ISNA(CONVERT(Q237, L237, "l")), CONVERT(Q237, L237, "kg") * IF(M237 &lt;&gt; 0, N237 / M237, 0), CONVERT(Q237, L237, "l"))), 0)</f>
        <v>0.53232353212499994</v>
      </c>
      <c r="T237" s="44">
        <f>recipe06TotScale * IF(AND(R237 = 0, S237 = 0, J237 = "", L237 = ""), Q237, 0)</f>
        <v>0</v>
      </c>
      <c r="V237" s="41" t="b">
        <f>INDEX(itemPrepMethods, MATCH(K237, itemNames, 0))="chop"</f>
        <v>0</v>
      </c>
      <c r="W237" s="54" t="str">
        <f>IF(V237, Q237, "")</f>
        <v/>
      </c>
      <c r="X237" s="55" t="str">
        <f>IF(V237, IF(L237 = "", "", L237), "")</f>
        <v/>
      </c>
      <c r="Y237" s="55" t="str">
        <f>IF(V237, K237, "")</f>
        <v/>
      </c>
      <c r="Z237" s="56"/>
      <c r="AA237" s="41" t="b">
        <f>INDEX(itemPrepMethods, MATCH(K237, itemNames, 0))="soak"</f>
        <v>0</v>
      </c>
      <c r="AB237" s="55" t="str">
        <f>IF(AA237, Q237, "")</f>
        <v/>
      </c>
      <c r="AC237" s="55" t="str">
        <f>IF(AA237, IF(L237 = "", "", L237), "")</f>
        <v/>
      </c>
      <c r="AD237" s="55" t="str">
        <f>IF(AA237, K237, "")</f>
        <v/>
      </c>
    </row>
    <row r="238" spans="1:30" ht="15.75" thickBot="1" x14ac:dyDescent="0.3">
      <c r="A238" s="37" t="s">
        <v>21</v>
      </c>
      <c r="B238" s="49">
        <f t="shared" si="207"/>
        <v>2.75</v>
      </c>
      <c r="C238" s="36" t="str">
        <f>IF(L238="","",L238)</f>
        <v>cup</v>
      </c>
      <c r="D238" s="37" t="str">
        <f>_xlfn.CONCAT(K238, U238)</f>
        <v>hot water</v>
      </c>
      <c r="E238" s="63" t="s">
        <v>352</v>
      </c>
      <c r="F238" s="47">
        <f>F237/F234</f>
        <v>1</v>
      </c>
      <c r="G238" s="48" t="s">
        <v>372</v>
      </c>
      <c r="I238" s="51">
        <v>4</v>
      </c>
      <c r="J238" s="52" t="s">
        <v>16</v>
      </c>
      <c r="K238" s="52" t="s">
        <v>111</v>
      </c>
      <c r="L238" s="53" t="s">
        <v>16</v>
      </c>
      <c r="M238" s="44">
        <f>INDEX(itemGPerQty, MATCH(K238, itemNames, 0))</f>
        <v>1</v>
      </c>
      <c r="N238" s="44">
        <f>INDEX(itemMlPerQty, MATCH(K238, itemNames, 0))</f>
        <v>1</v>
      </c>
      <c r="O238" s="44">
        <f t="shared" si="208"/>
        <v>0.94635294599999997</v>
      </c>
      <c r="P238" s="44">
        <f t="shared" si="209"/>
        <v>0.94635294599999997</v>
      </c>
      <c r="Q238" s="44">
        <f>MROUND(IF(AND(J238 = "", L238 = ""), I238 * recipe06DayScale, IF(ISNA(CONVERT(O238, "kg", L238)), CONVERT(P238 * recipe06DayScale, "l", L238), CONVERT(O238 * recipe06DayScale, "kg", L238))), roundTo)</f>
        <v>2.75</v>
      </c>
      <c r="R238" s="44">
        <f>recipe06TotScale * IF(L238 = "", Q238 * M238, IF(ISNA(CONVERT(Q238, L238, "kg")), CONVERT(Q238, L238, "l") * IF(N238 &lt;&gt; 0, M238 / N238, 0), CONVERT(Q238, L238, "kg")))</f>
        <v>0.65061765037499997</v>
      </c>
      <c r="S238" s="44">
        <f>recipe06TotScale * IF(R238 = 0, IF(L238 = "", Q238 * N238, IF(ISNA(CONVERT(Q238, L238, "l")), CONVERT(Q238, L238, "kg") * IF(M238 &lt;&gt; 0, N238 / M238, 0), CONVERT(Q238, L238, "l"))), 0)</f>
        <v>0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x14ac:dyDescent="0.25">
      <c r="A239" s="115"/>
      <c r="B239" s="115"/>
      <c r="C239" s="115"/>
      <c r="D239" s="115"/>
      <c r="I239" s="44"/>
      <c r="W239" s="71"/>
      <c r="X239" s="71"/>
      <c r="Y239" s="71"/>
      <c r="Z239" s="71"/>
      <c r="AA239" s="64"/>
      <c r="AB239" s="71"/>
      <c r="AC239" s="71"/>
      <c r="AD239" s="71"/>
    </row>
    <row r="240" spans="1:30" x14ac:dyDescent="0.25">
      <c r="A240" s="115" t="s">
        <v>117</v>
      </c>
      <c r="B240" s="115"/>
      <c r="C240" s="115"/>
      <c r="D240" s="115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37" t="s">
        <v>21</v>
      </c>
      <c r="B241" s="49">
        <f t="shared" ref="B241:B242" si="210">Q241</f>
        <v>0.25</v>
      </c>
      <c r="C241" s="36" t="str">
        <f>IF(L241="","",L241)</f>
        <v>cup</v>
      </c>
      <c r="D241" s="37" t="str">
        <f>_xlfn.CONCAT(K241, U241)</f>
        <v>cider vinegar</v>
      </c>
      <c r="I241" s="51">
        <v>0.5</v>
      </c>
      <c r="J241" s="52" t="s">
        <v>16</v>
      </c>
      <c r="K241" s="52" t="s">
        <v>112</v>
      </c>
      <c r="L241" s="53" t="s">
        <v>16</v>
      </c>
      <c r="M241" s="44">
        <f>INDEX(itemGPerQty, MATCH(K241, itemNames, 0))</f>
        <v>0</v>
      </c>
      <c r="N241" s="44">
        <f>INDEX(itemMlPerQty, MATCH(K241, itemNames, 0))</f>
        <v>0</v>
      </c>
      <c r="O241" s="44">
        <f t="shared" ref="O241:O242" si="211">IF(J241 = "", I241 * M241, IF(ISNA(CONVERT(I241, J241, "kg")), CONVERT(I241, J241, "l") * IF(N241 &lt;&gt; 0, M241 / N241, 0), CONVERT(I241, J241, "kg")))</f>
        <v>0</v>
      </c>
      <c r="P241" s="44">
        <f t="shared" ref="P241:P242" si="212">IF(J241 = "", I241 * N241, IF(ISNA(CONVERT(I241, J241, "l")), CONVERT(I241, J241, "kg") * IF(M241 &lt;&gt; 0, N241 / M241, 0), CONVERT(I241, J241, "l")))</f>
        <v>0.11829411825</v>
      </c>
      <c r="Q241" s="44">
        <f>MROUND(IF(AND(J241 = "", L241 = ""), I241 * recipe06DayScale, IF(ISNA(CONVERT(O241, "kg", L241)), CONVERT(P241 * recipe06DayScale, "l", L241), CONVERT(O241 * recipe06DayScale, "kg", L241))), roundTo)</f>
        <v>0.25</v>
      </c>
      <c r="R241" s="44">
        <f>recipe06TotScale * IF(L241 = "", Q241 * M241, IF(ISNA(CONVERT(Q241, L241, "kg")), CONVERT(Q241, L241, "l") * IF(N241 &lt;&gt; 0, M241 / N241, 0), CONVERT(Q241, L241, "kg")))</f>
        <v>0</v>
      </c>
      <c r="S241" s="44">
        <f>recipe06TotScale * IF(R241 = 0, IF(L241 = "", Q241 * N241, IF(ISNA(CONVERT(Q241, L241, "l")), CONVERT(Q241, L241, "kg") * IF(M241 &lt;&gt; 0, N241 / M241, 0), CONVERT(Q241, L241, "l"))), 0)</f>
        <v>5.9147059124999998E-2</v>
      </c>
      <c r="T241" s="44">
        <f>recipe06TotScale * IF(AND(R241 = 0, S241 = 0, J241 = "", L241 = ""), Q241, 0)</f>
        <v>0</v>
      </c>
      <c r="V241" s="41" t="b">
        <f>INDEX(itemPrepMethods, MATCH(K241, itemNames, 0))="chop"</f>
        <v>0</v>
      </c>
      <c r="W241" s="54" t="str">
        <f>IF(V241, Q241, "")</f>
        <v/>
      </c>
      <c r="X241" s="55" t="str">
        <f>IF(V241, IF(L241 = "", "", L241), "")</f>
        <v/>
      </c>
      <c r="Y241" s="55" t="str">
        <f>IF(V241, K241, "")</f>
        <v/>
      </c>
      <c r="Z241" s="56"/>
      <c r="AA241" s="41" t="b">
        <f>INDEX(itemPrepMethods, MATCH(K241, itemNames, 0))="soak"</f>
        <v>0</v>
      </c>
      <c r="AB241" s="55" t="str">
        <f>IF(AA241, Q241, "")</f>
        <v/>
      </c>
      <c r="AC241" s="55" t="str">
        <f>IF(AA241, IF(L241 = "", "", L241), "")</f>
        <v/>
      </c>
      <c r="AD241" s="55" t="str">
        <f>IF(AA241, K241, "")</f>
        <v/>
      </c>
    </row>
    <row r="242" spans="1:30" x14ac:dyDescent="0.25">
      <c r="A242" s="37" t="s">
        <v>21</v>
      </c>
      <c r="B242" s="49">
        <f t="shared" si="210"/>
        <v>0.25</v>
      </c>
      <c r="C242" s="36" t="str">
        <f>IF(L242="","",L242)</f>
        <v>cup</v>
      </c>
      <c r="D242" s="37" t="str">
        <f>_xlfn.CONCAT(K242, U242)</f>
        <v>soy sauce</v>
      </c>
      <c r="I242" s="51">
        <v>0.5</v>
      </c>
      <c r="J242" s="52" t="s">
        <v>16</v>
      </c>
      <c r="K242" s="52" t="s">
        <v>113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si="211"/>
        <v>0</v>
      </c>
      <c r="P242" s="44">
        <f t="shared" si="212"/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115"/>
      <c r="B243" s="115"/>
      <c r="C243" s="115"/>
      <c r="D243" s="115"/>
      <c r="I243" s="44"/>
      <c r="W243" s="71"/>
      <c r="X243" s="71"/>
      <c r="Y243" s="71"/>
      <c r="Z243" s="71"/>
      <c r="AA243" s="64"/>
      <c r="AB243" s="71"/>
      <c r="AC243" s="71"/>
      <c r="AD243" s="71"/>
    </row>
    <row r="244" spans="1:30" x14ac:dyDescent="0.25">
      <c r="A244" s="115" t="s">
        <v>118</v>
      </c>
      <c r="B244" s="115"/>
      <c r="C244" s="115"/>
      <c r="D244" s="115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ht="36" x14ac:dyDescent="0.25">
      <c r="A245" s="37" t="s">
        <v>21</v>
      </c>
      <c r="B245" s="49">
        <f>Q245</f>
        <v>2.25</v>
      </c>
      <c r="C245" s="36" t="str">
        <f>IF(L245="","",L245)</f>
        <v/>
      </c>
      <c r="D245" s="37" t="str">
        <f>_xlfn.CONCAT(K245, U245)</f>
        <v>blocks tofu, cut into cubes</v>
      </c>
      <c r="I245" s="51">
        <v>3</v>
      </c>
      <c r="J245" s="52"/>
      <c r="K245" s="52" t="s">
        <v>260</v>
      </c>
      <c r="L245" s="53"/>
      <c r="M245" s="44">
        <f>INDEX(itemGPerQty, MATCH(K245, itemNames, 0))</f>
        <v>0</v>
      </c>
      <c r="N245" s="44">
        <f>INDEX(itemMlPerQty, MATCH(K245, itemNames, 0))</f>
        <v>0</v>
      </c>
      <c r="O245" s="44">
        <f>IF(J245 = "", I245 * M245, IF(ISNA(CONVERT(I245, J245, "kg")), CONVERT(I245, J245, "l") * IF(N245 &lt;&gt; 0, M245 / N245, 0), CONVERT(I245, J245, "kg")))</f>
        <v>0</v>
      </c>
      <c r="P245" s="44">
        <f>IF(J245 = "", I245 * N245, IF(ISNA(CONVERT(I245, J245, "l")), CONVERT(I245, J245, "kg") * IF(M245 &lt;&gt; 0, N245 / M245, 0), CONVERT(I245, J245, "l")))</f>
        <v>0</v>
      </c>
      <c r="Q245" s="44">
        <f>MROUND(IF(AND(J245 = "", L245 = ""), I245 * recipe06DayScale, IF(ISNA(CONVERT(O245, "kg", L245)), CONVERT(P245 * recipe06DayScale, "l", L245), CONVERT(O245 * recipe06DayScale, "kg", L245))), roundTo)</f>
        <v>2.25</v>
      </c>
      <c r="R245" s="44">
        <f>recipe06TotScale * IF(L245 = "", Q245 * M245, IF(ISNA(CONVERT(Q245, L245, "kg")), CONVERT(Q245, L245, "l") * IF(N245 &lt;&gt; 0, M245 / N245, 0), CONVERT(Q245, L245, "kg")))</f>
        <v>0</v>
      </c>
      <c r="S245" s="44">
        <f>recipe06TotScale * IF(R245 = 0, IF(L245 = "", Q245 * N245, IF(ISNA(CONVERT(Q245, L245, "l")), CONVERT(Q245, L245, "kg") * IF(M245 &lt;&gt; 0, N245 / M245, 0), CONVERT(Q245, L245, "l"))), 0)</f>
        <v>0</v>
      </c>
      <c r="T245" s="44">
        <f>recipe06TotScale * IF(AND(R245 = 0, S245 = 0, J245 = "", L245 = ""), Q245, 0)</f>
        <v>2.25</v>
      </c>
      <c r="V245" s="41" t="b">
        <f>INDEX(itemPrepMethods, MATCH(K245, itemNames, 0))="chop"</f>
        <v>1</v>
      </c>
      <c r="W245" s="54">
        <f>IF(V245, Q245, "")</f>
        <v>2.25</v>
      </c>
      <c r="X245" s="55" t="str">
        <f>IF(V245, IF(L245 = "", "", L245), "")</f>
        <v/>
      </c>
      <c r="Y245" s="55" t="str">
        <f>IF(V245, K245, "")</f>
        <v>blocks tofu, cut into cubes</v>
      </c>
      <c r="Z245" s="56" t="s">
        <v>262</v>
      </c>
      <c r="AA245" s="41" t="b">
        <f>INDEX(itemPrepMethods, MATCH(K245, itemNames, 0))="soak"</f>
        <v>0</v>
      </c>
      <c r="AB245" s="55" t="str">
        <f>IF(AA245, Q245, "")</f>
        <v/>
      </c>
      <c r="AC245" s="55" t="str">
        <f>IF(AA245, IF(L245 = "", "", L245), "")</f>
        <v/>
      </c>
      <c r="AD245" s="55" t="str">
        <f>IF(AA245, K245, "")</f>
        <v/>
      </c>
    </row>
    <row r="246" spans="1:30" x14ac:dyDescent="0.25">
      <c r="A246" s="115"/>
      <c r="B246" s="115"/>
      <c r="C246" s="115"/>
      <c r="D246" s="115"/>
      <c r="I246" s="44"/>
      <c r="W246" s="71"/>
      <c r="X246" s="71"/>
      <c r="Y246" s="71"/>
      <c r="Z246" s="71"/>
      <c r="AA246" s="64"/>
      <c r="AB246" s="71"/>
      <c r="AC246" s="71"/>
      <c r="AD246" s="71"/>
    </row>
    <row r="247" spans="1:30" x14ac:dyDescent="0.25">
      <c r="A247" s="115" t="s">
        <v>119</v>
      </c>
      <c r="B247" s="115"/>
      <c r="C247" s="115"/>
      <c r="D247" s="115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37" t="s">
        <v>21</v>
      </c>
      <c r="B248" s="49">
        <f>Q248</f>
        <v>3.5</v>
      </c>
      <c r="C248" s="36" t="str">
        <f>IF(L248="","",L248)</f>
        <v/>
      </c>
      <c r="D248" s="37" t="str">
        <f>_xlfn.CONCAT(K248, U248)</f>
        <v>garlic cloves. Remove from oil once cooked</v>
      </c>
      <c r="I248" s="51">
        <v>5</v>
      </c>
      <c r="J248" s="52"/>
      <c r="K248" s="52" t="s">
        <v>8</v>
      </c>
      <c r="L248" s="53"/>
      <c r="M248" s="44">
        <f>INDEX(itemGPerQty, MATCH(K248, itemNames, 0))</f>
        <v>0</v>
      </c>
      <c r="N248" s="44">
        <f>INDEX(itemMlPerQty, MATCH(K248, itemNames, 0))</f>
        <v>0</v>
      </c>
      <c r="O248" s="44">
        <f>IF(J248 = "", I248 * M248, IF(ISNA(CONVERT(I248, J248, "kg")), CONVERT(I248, J248, "l") * IF(N248 &lt;&gt; 0, M248 / N248, 0), CONVERT(I248, J248, "kg")))</f>
        <v>0</v>
      </c>
      <c r="P248" s="44">
        <f>IF(J248 = "", I248 * N248, IF(ISNA(CONVERT(I248, J248, "l")), CONVERT(I248, J248, "kg") * IF(M248 &lt;&gt; 0, N248 / M248, 0), CONVERT(I248, J248, "l")))</f>
        <v>0</v>
      </c>
      <c r="Q248" s="44">
        <f>MROUND(IF(AND(J248 = "", L248 = ""), I248 * recipe06DayScale, IF(ISNA(CONVERT(O248, "kg", L248)), CONVERT(P248 * recipe06DayScale, "l", L248), CONVERT(O248 * recipe06DayScale, "kg", L248))), roundTo)</f>
        <v>3.5</v>
      </c>
      <c r="R248" s="44">
        <f>recipe06TotScale * IF(L248 = "", Q248 * M248, IF(ISNA(CONVERT(Q248, L248, "kg")), CONVERT(Q248, L248, "l") * IF(N248 &lt;&gt; 0, M248 / N248, 0), CONVERT(Q248, L248, "kg")))</f>
        <v>0</v>
      </c>
      <c r="S248" s="44">
        <f>recipe06TotScale * IF(R248 = 0, IF(L248 = "", Q248 * N248, IF(ISNA(CONVERT(Q248, L248, "l")), CONVERT(Q248, L248, "kg") * IF(M248 &lt;&gt; 0, N248 / M248, 0), CONVERT(Q248, L248, "l"))), 0)</f>
        <v>0</v>
      </c>
      <c r="T248" s="44">
        <f>recipe06TotScale * IF(AND(R248 = 0, S248 = 0, J248 = "", L248 = ""), Q248, 0)</f>
        <v>3.5</v>
      </c>
      <c r="U248" s="41" t="s">
        <v>233</v>
      </c>
      <c r="V248" s="41" t="b">
        <f>INDEX(itemPrepMethods, MATCH(K248, itemNames, 0))="chop"</f>
        <v>0</v>
      </c>
      <c r="W248" s="54" t="str">
        <f>IF(V248, Q248, "")</f>
        <v/>
      </c>
      <c r="X248" s="55" t="str">
        <f>IF(V248, IF(L248 = "", "", L248), "")</f>
        <v/>
      </c>
      <c r="Y248" s="55" t="str">
        <f>IF(V248, K248, "")</f>
        <v/>
      </c>
      <c r="Z248" s="56"/>
      <c r="AA248" s="41" t="b">
        <f>INDEX(itemPrepMethods, MATCH(K248, itemNames, 0))="soak"</f>
        <v>0</v>
      </c>
      <c r="AB248" s="55" t="str">
        <f>IF(AA248, Q248, "")</f>
        <v/>
      </c>
      <c r="AC248" s="55" t="str">
        <f>IF(AA248, IF(L248 = "", "", L248), "")</f>
        <v/>
      </c>
      <c r="AD248" s="55" t="str">
        <f>IF(AA248, K248, "")</f>
        <v/>
      </c>
    </row>
    <row r="249" spans="1:30" x14ac:dyDescent="0.25">
      <c r="A249" s="37" t="s">
        <v>21</v>
      </c>
      <c r="B249" s="49">
        <f t="shared" ref="B249:B250" si="213">Q249</f>
        <v>2</v>
      </c>
      <c r="C249" s="36" t="str">
        <f>IF(L249="","",L249)</f>
        <v/>
      </c>
      <c r="D249" s="37" t="str">
        <f>_xlfn.CONCAT(K249, U249)</f>
        <v>chopped onions</v>
      </c>
      <c r="I249" s="51">
        <v>2.75</v>
      </c>
      <c r="J249" s="52"/>
      <c r="K249" s="52" t="s">
        <v>6</v>
      </c>
      <c r="L249" s="53"/>
      <c r="M249" s="44">
        <f>INDEX(itemGPerQty, MATCH(K249, itemNames, 0))</f>
        <v>0.185</v>
      </c>
      <c r="N249" s="44">
        <f>INDEX(itemMlPerQty, MATCH(K249, itemNames, 0))</f>
        <v>0.3</v>
      </c>
      <c r="O249" s="44">
        <f t="shared" ref="O249:O250" si="214">IF(J249 = "", I249 * M249, IF(ISNA(CONVERT(I249, J249, "kg")), CONVERT(I249, J249, "l") * IF(N249 &lt;&gt; 0, M249 / N249, 0), CONVERT(I249, J249, "kg")))</f>
        <v>0.50875000000000004</v>
      </c>
      <c r="P249" s="44">
        <f t="shared" ref="P249:P250" si="215">IF(J249 = "", I249 * N249, IF(ISNA(CONVERT(I249, J249, "l")), CONVERT(I249, J249, "kg") * IF(M249 &lt;&gt; 0, N249 / M249, 0), CONVERT(I249, J249, "l")))</f>
        <v>0.82499999999999996</v>
      </c>
      <c r="Q249" s="44">
        <f>MROUND(IF(AND(J249 = "", L249 = ""), I249 * recipe06DayScale, IF(ISNA(CONVERT(O249, "kg", L249)), CONVERT(P249 * recipe06DayScale, "l", L249), CONVERT(O249 * recipe06DayScale, "kg", L249))), roundTo)</f>
        <v>2</v>
      </c>
      <c r="R249" s="44">
        <f>recipe06TotScale * IF(L249 = "", Q249 * M249, IF(ISNA(CONVERT(Q249, L249, "kg")), CONVERT(Q249, L249, "l") * IF(N249 &lt;&gt; 0, M249 / N249, 0), CONVERT(Q249, L249, "kg")))</f>
        <v>0.37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0</v>
      </c>
      <c r="V249" s="41" t="b">
        <f>INDEX(itemPrepMethods, MATCH(K249, itemNames, 0))="chop"</f>
        <v>1</v>
      </c>
      <c r="W249" s="54">
        <f>IF(V249, Q249, "")</f>
        <v>2</v>
      </c>
      <c r="X249" s="55" t="str">
        <f>IF(V249, IF(L249 = "", "", L249), "")</f>
        <v/>
      </c>
      <c r="Y249" s="55" t="str">
        <f>IF(V249, K249, "")</f>
        <v>chopped onions</v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si="213"/>
        <v>0.25</v>
      </c>
      <c r="C250" s="36" t="str">
        <f>IF(L250="","",L250)</f>
        <v>cup</v>
      </c>
      <c r="D250" s="37" t="str">
        <f>_xlfn.CONCAT(K250, U250)</f>
        <v>minced fresh ginger</v>
      </c>
      <c r="I250" s="51">
        <v>0.5</v>
      </c>
      <c r="J250" s="52" t="s">
        <v>16</v>
      </c>
      <c r="K250" s="52" t="s">
        <v>221</v>
      </c>
      <c r="L250" s="53" t="s">
        <v>16</v>
      </c>
      <c r="M250" s="44">
        <f>INDEX(itemGPerQty, MATCH(K250, itemNames, 0))</f>
        <v>0</v>
      </c>
      <c r="N250" s="44">
        <f>INDEX(itemMlPerQty, MATCH(K250, itemNames, 0))</f>
        <v>0</v>
      </c>
      <c r="O250" s="44">
        <f t="shared" si="214"/>
        <v>0</v>
      </c>
      <c r="P250" s="44">
        <f t="shared" si="215"/>
        <v>0.11829411825</v>
      </c>
      <c r="Q250" s="44">
        <f>MROUND(IF(AND(J250 = "", L250 = ""), I250 * recipe06DayScale, IF(ISNA(CONVERT(O250, "kg", L250)), CONVERT(P250 * recipe06DayScale, "l", L250), CONVERT(O250 * recipe06DayScale, "kg", L250))), roundTo)</f>
        <v>0.25</v>
      </c>
      <c r="R250" s="44">
        <f>recipe06TotScale * IF(L250 = "", Q250 * M250, IF(ISNA(CONVERT(Q250, L250, "kg")), CONVERT(Q250, L250, "l") * IF(N250 &lt;&gt; 0, M250 / N250, 0), CONVERT(Q250, L250, "kg")))</f>
        <v>0</v>
      </c>
      <c r="S250" s="44">
        <f>recipe06TotScale * IF(R250 = 0, IF(L250 = "", Q250 * N250, IF(ISNA(CONVERT(Q250, L250, "l")), CONVERT(Q250, L250, "kg") * IF(M250 &lt;&gt; 0, N250 / M250, 0), CONVERT(Q250, L250, "l"))), 0)</f>
        <v>5.9147059124999998E-2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0.25</v>
      </c>
      <c r="X250" s="55" t="str">
        <f>IF(V250, IF(L250 = "", "", L250), "")</f>
        <v>cup</v>
      </c>
      <c r="Y250" s="55" t="str">
        <f>IF(V250, K250, "")</f>
        <v>minced fresh ginger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115"/>
      <c r="B251" s="115"/>
      <c r="C251" s="115"/>
      <c r="D251" s="115"/>
      <c r="I251" s="44"/>
      <c r="W251" s="71"/>
      <c r="X251" s="71"/>
      <c r="Y251" s="71"/>
      <c r="Z251" s="71"/>
      <c r="AA251" s="64"/>
      <c r="AB251" s="71"/>
      <c r="AC251" s="71"/>
      <c r="AD251" s="71"/>
    </row>
    <row r="252" spans="1:30" x14ac:dyDescent="0.25">
      <c r="A252" s="115" t="s">
        <v>120</v>
      </c>
      <c r="B252" s="115"/>
      <c r="C252" s="115"/>
      <c r="D252" s="115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37" t="s">
        <v>21</v>
      </c>
      <c r="B253" s="49">
        <f t="shared" ref="B253:B256" si="216">Q253</f>
        <v>2.25</v>
      </c>
      <c r="C253" s="36" t="str">
        <f>IF(L253="","",L253)</f>
        <v/>
      </c>
      <c r="D253" s="37" t="str">
        <f t="shared" ref="D253:D258" si="217">_xlfn.CONCAT(K253, U253)</f>
        <v>chopped broccoli</v>
      </c>
      <c r="I253" s="51">
        <v>3</v>
      </c>
      <c r="J253" s="52"/>
      <c r="K253" s="52" t="s">
        <v>114</v>
      </c>
      <c r="L253" s="53"/>
      <c r="M253" s="44">
        <f>INDEX(itemGPerQty, MATCH(K253, itemNames, 0))</f>
        <v>0.313</v>
      </c>
      <c r="N253" s="44">
        <f>INDEX(itemMlPerQty, MATCH(K253, itemNames, 0))</f>
        <v>0</v>
      </c>
      <c r="O253" s="44">
        <f t="shared" ref="O253:O256" si="218">IF(J253 = "", I253 * M253, IF(ISNA(CONVERT(I253, J253, "kg")), CONVERT(I253, J253, "l") * IF(N253 &lt;&gt; 0, M253 / N253, 0), CONVERT(I253, J253, "kg")))</f>
        <v>0.93900000000000006</v>
      </c>
      <c r="P253" s="44">
        <f t="shared" ref="P253:P256" si="219">IF(J253 = "", I253 * N253, IF(ISNA(CONVERT(I253, J253, "l")), CONVERT(I253, J253, "kg") * IF(M253 &lt;&gt; 0, N253 / M253, 0), CONVERT(I253, J253, "l")))</f>
        <v>0</v>
      </c>
      <c r="Q253" s="44">
        <f>MROUND(IF(AND(J253 = "", L253 = ""), I253 * recipe06DayScale, IF(ISNA(CONVERT(O253, "kg", L253)), CONVERT(P253 * recipe06DayScale, "l", L253), CONVERT(O253 * recipe06DayScale, "kg", L253))), roundTo)</f>
        <v>2.25</v>
      </c>
      <c r="R253" s="44">
        <f>recipe06TotScale * IF(L253 = "", Q253 * M253, IF(ISNA(CONVERT(Q253, L253, "kg")), CONVERT(Q253, L253, "l") * IF(N253 &lt;&gt; 0, M253 / N253, 0), CONVERT(Q253, L253, "kg")))</f>
        <v>0.70425000000000004</v>
      </c>
      <c r="S253" s="44">
        <f>recipe06TotScale * IF(R253 = 0, IF(L253 = "", Q253 * N253, IF(ISNA(CONVERT(Q253, L253, "l")), CONVERT(Q253, L253, "kg") * IF(M253 &lt;&gt; 0, N253 / M253, 0), CONVERT(Q253, L253, "l"))), 0)</f>
        <v>0</v>
      </c>
      <c r="T253" s="44">
        <f>recipe06TotScale * IF(AND(R253 = 0, S253 = 0, J253 = "", L253 = ""), Q253, 0)</f>
        <v>0</v>
      </c>
      <c r="V253" s="41" t="b">
        <f>INDEX(itemPrepMethods, MATCH(K253, itemNames, 0))="chop"</f>
        <v>1</v>
      </c>
      <c r="W253" s="54">
        <f>IF(V253, Q253, "")</f>
        <v>2.25</v>
      </c>
      <c r="X253" s="55" t="str">
        <f>IF(V253, IF(L253 = "", "", L253), "")</f>
        <v/>
      </c>
      <c r="Y253" s="55" t="str">
        <f>IF(V253, K253, "")</f>
        <v>chopped broccoli</v>
      </c>
      <c r="Z253" s="56"/>
      <c r="AA253" s="41" t="b">
        <f>INDEX(itemPrepMethods, MATCH(K253, itemNames, 0))="soak"</f>
        <v>0</v>
      </c>
      <c r="AB253" s="55" t="str">
        <f>IF(AA253, Q253, "")</f>
        <v/>
      </c>
      <c r="AC253" s="55" t="str">
        <f>IF(AA253, IF(L253 = "", "", L253), "")</f>
        <v/>
      </c>
      <c r="AD253" s="55" t="str">
        <f>IF(AA253, K253, "")</f>
        <v/>
      </c>
    </row>
    <row r="254" spans="1:30" x14ac:dyDescent="0.25">
      <c r="A254" s="37" t="s">
        <v>21</v>
      </c>
      <c r="B254" s="49">
        <f t="shared" si="216"/>
        <v>1.5</v>
      </c>
      <c r="C254" s="36" t="str">
        <f>IF(L254="","",L254)</f>
        <v/>
      </c>
      <c r="D254" s="37" t="str">
        <f t="shared" si="217"/>
        <v>chopped cauliflowers</v>
      </c>
      <c r="I254" s="51">
        <v>2</v>
      </c>
      <c r="J254" s="52"/>
      <c r="K254" s="52" t="s">
        <v>159</v>
      </c>
      <c r="L254" s="53"/>
      <c r="M254" s="44">
        <f>INDEX(itemGPerQty, MATCH(K254, itemNames, 0))</f>
        <v>0</v>
      </c>
      <c r="N254" s="44">
        <f>INDEX(itemMlPerQty, MATCH(K254, itemNames, 0))</f>
        <v>0</v>
      </c>
      <c r="O254" s="44">
        <f t="shared" si="218"/>
        <v>0</v>
      </c>
      <c r="P254" s="44">
        <f t="shared" si="219"/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1.5</v>
      </c>
      <c r="R254" s="44">
        <f>recipe06TotScale * IF(L254 = "", Q254 * M254, IF(ISNA(CONVERT(Q254, L254, "kg")), CONVERT(Q254, L254, "l") * IF(N254 &lt;&gt; 0, M254 / N254, 0), CONVERT(Q254, L254, "kg")))</f>
        <v>0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1.5</v>
      </c>
      <c r="V254" s="41" t="b">
        <f>INDEX(itemPrepMethods, MATCH(K254, itemNames, 0))="chop"</f>
        <v>1</v>
      </c>
      <c r="W254" s="54">
        <f>IF(V254, Q254, "")</f>
        <v>1.5</v>
      </c>
      <c r="X254" s="55" t="str">
        <f>IF(V254, IF(L254 = "", "", L254), "")</f>
        <v/>
      </c>
      <c r="Y254" s="55" t="str">
        <f>IF(V254, K254, "")</f>
        <v>chopped cauliflowers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</v>
      </c>
      <c r="C255" s="36" t="str">
        <f>IF(L255="","",L255)</f>
        <v>cup</v>
      </c>
      <c r="D255" s="37" t="str">
        <f t="shared" si="217"/>
        <v>peanuts</v>
      </c>
      <c r="I255" s="51">
        <v>1.5</v>
      </c>
      <c r="J255" s="52" t="s">
        <v>16</v>
      </c>
      <c r="K255" s="52" t="s">
        <v>115</v>
      </c>
      <c r="L255" s="53" t="s">
        <v>16</v>
      </c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0.35488235474999996</v>
      </c>
      <c r="Q255" s="44">
        <f>MROUND(IF(AND(J255 = "", L255 = ""), I255 * recipe06DayScale, IF(ISNA(CONVERT(O255, "kg", L255)), CONVERT(P255 * recipe06DayScale, "l", L255), CONVERT(O255 * recipe06DayScale, "kg", L255))), roundTo)</f>
        <v>1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0.23658823649999999</v>
      </c>
      <c r="T255" s="44">
        <f>recipe06TotScale * IF(AND(R255 = 0, S255 = 0, J255 = "", L255 = ""), Q255, 0)</f>
        <v>0</v>
      </c>
      <c r="V255" s="41" t="b">
        <f>INDEX(itemPrepMethods, MATCH(K255, itemNames, 0))="chop"</f>
        <v>0</v>
      </c>
      <c r="W255" s="54" t="str">
        <f>IF(V255, Q255, "")</f>
        <v/>
      </c>
      <c r="X255" s="55" t="str">
        <f>IF(V255, IF(L255 = "", "", L255), "")</f>
        <v/>
      </c>
      <c r="Y255" s="55" t="str">
        <f>IF(V255, K255, "")</f>
        <v/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2.25</v>
      </c>
      <c r="C256" s="36" t="str">
        <f>IF(L256="","",L256)</f>
        <v>cup</v>
      </c>
      <c r="D256" s="37" t="str">
        <f t="shared" si="217"/>
        <v>tinned coconut milk</v>
      </c>
      <c r="I256" s="51">
        <v>3</v>
      </c>
      <c r="J256" s="52" t="s">
        <v>16</v>
      </c>
      <c r="K256" s="52" t="s">
        <v>448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0.70976470949999992</v>
      </c>
      <c r="Q256" s="44">
        <f>MROUND(IF(AND(J256 = "", L256 = ""), I256 * recipe06DayScale, IF(ISNA(CONVERT(O256, "kg", L256)), CONVERT(P256 * recipe06DayScale, "l", L256), CONVERT(O256 * recipe06DayScale, "kg", L256))), roundTo)</f>
        <v>2.25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0.53232353212499994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D257" s="37" t="str">
        <f t="shared" si="217"/>
        <v>grilled tofu</v>
      </c>
      <c r="I257" s="44"/>
      <c r="U257" s="41" t="s">
        <v>121</v>
      </c>
    </row>
    <row r="258" spans="1:30" x14ac:dyDescent="0.25">
      <c r="A258" s="37" t="s">
        <v>21</v>
      </c>
      <c r="D258" s="37" t="str">
        <f t="shared" si="217"/>
        <v>peanut sauce</v>
      </c>
      <c r="I258" s="44"/>
      <c r="U258" s="41" t="s">
        <v>122</v>
      </c>
    </row>
    <row r="259" spans="1:30" ht="15.75" x14ac:dyDescent="0.25">
      <c r="A259" s="116" t="s">
        <v>32</v>
      </c>
      <c r="B259" s="116"/>
      <c r="C259" s="116"/>
      <c r="D259" s="116"/>
      <c r="E259" s="40" t="s">
        <v>131</v>
      </c>
      <c r="F259" s="100" t="s">
        <v>77</v>
      </c>
      <c r="G259" s="100"/>
      <c r="H259" s="44"/>
    </row>
    <row r="260" spans="1:30" ht="24" x14ac:dyDescent="0.2">
      <c r="A260" s="116" t="s">
        <v>40</v>
      </c>
      <c r="B260" s="116"/>
      <c r="C260" s="116"/>
      <c r="D260" s="116"/>
      <c r="E260" s="39" t="s">
        <v>53</v>
      </c>
      <c r="F260" s="87">
        <v>15</v>
      </c>
      <c r="G260" s="44"/>
      <c r="H260" s="44"/>
      <c r="I260" s="67" t="s">
        <v>434</v>
      </c>
      <c r="J260" s="68" t="s">
        <v>435</v>
      </c>
      <c r="K260" s="68" t="s">
        <v>17</v>
      </c>
      <c r="L260" s="69" t="s">
        <v>438</v>
      </c>
      <c r="M260" s="67" t="s">
        <v>141</v>
      </c>
      <c r="N260" s="67" t="s">
        <v>142</v>
      </c>
      <c r="O260" s="67" t="s">
        <v>436</v>
      </c>
      <c r="P260" s="67" t="s">
        <v>437</v>
      </c>
      <c r="Q260" s="68" t="s">
        <v>353</v>
      </c>
      <c r="R260" s="67" t="s">
        <v>354</v>
      </c>
      <c r="S260" s="67" t="s">
        <v>355</v>
      </c>
      <c r="T260" s="67" t="s">
        <v>356</v>
      </c>
      <c r="U260" s="68" t="s">
        <v>22</v>
      </c>
      <c r="V260" s="68" t="s">
        <v>202</v>
      </c>
      <c r="W260" s="70" t="s">
        <v>353</v>
      </c>
      <c r="X260" s="68" t="s">
        <v>200</v>
      </c>
      <c r="Y260" s="68" t="s">
        <v>201</v>
      </c>
      <c r="Z260" s="68" t="s">
        <v>302</v>
      </c>
      <c r="AA260" s="68" t="s">
        <v>203</v>
      </c>
      <c r="AB260" s="70" t="s">
        <v>353</v>
      </c>
      <c r="AC260" s="68" t="s">
        <v>204</v>
      </c>
      <c r="AD260" s="68" t="s">
        <v>205</v>
      </c>
    </row>
    <row r="261" spans="1:30" ht="13.5" thickBot="1" x14ac:dyDescent="0.3">
      <c r="A261" s="117" t="str">
        <f>_xlfn.CONCAT(F261," servings")</f>
        <v>10 servings</v>
      </c>
      <c r="B261" s="117"/>
      <c r="C261" s="117"/>
      <c r="D261" s="117"/>
      <c r="E261" s="63" t="s">
        <v>348</v>
      </c>
      <c r="F261" s="87">
        <f>tuDiCount</f>
        <v>10</v>
      </c>
      <c r="G261" s="44"/>
      <c r="H261" s="50"/>
    </row>
    <row r="262" spans="1:30" s="102" customFormat="1" ht="15.75" thickBot="1" x14ac:dyDescent="0.3">
      <c r="A262" s="115"/>
      <c r="B262" s="115"/>
      <c r="C262" s="115"/>
      <c r="D262" s="115"/>
      <c r="E262" s="63" t="s">
        <v>351</v>
      </c>
      <c r="F262" s="47">
        <f>F261/F260</f>
        <v>0.66666666666666663</v>
      </c>
      <c r="G262" s="48" t="s">
        <v>373</v>
      </c>
      <c r="H262" s="50"/>
      <c r="I262" s="42"/>
      <c r="L262" s="43"/>
      <c r="M262" s="44"/>
      <c r="N262" s="44"/>
      <c r="O262" s="44"/>
      <c r="P262" s="44"/>
      <c r="Q262" s="44"/>
      <c r="R262" s="44"/>
      <c r="S262" s="44"/>
      <c r="T262" s="44"/>
      <c r="W262" s="45"/>
      <c r="Z262" s="46"/>
    </row>
    <row r="263" spans="1:30" x14ac:dyDescent="0.25">
      <c r="A263" s="115" t="s">
        <v>264</v>
      </c>
      <c r="B263" s="115"/>
      <c r="C263" s="115"/>
      <c r="D263" s="115"/>
      <c r="E263" s="64"/>
      <c r="F263" s="64"/>
      <c r="G263" s="64"/>
      <c r="I263" s="44"/>
      <c r="W263" s="54"/>
      <c r="X263" s="55"/>
      <c r="Y263" s="55"/>
      <c r="Z263" s="56"/>
      <c r="AB263" s="55"/>
      <c r="AC263" s="55"/>
      <c r="AD263" s="55"/>
    </row>
    <row r="264" spans="1:30" ht="15.75" thickBot="1" x14ac:dyDescent="0.3">
      <c r="A264" s="37" t="s">
        <v>21</v>
      </c>
      <c r="B264" s="49">
        <f t="shared" ref="B264:B281" si="220">Q264</f>
        <v>3.25</v>
      </c>
      <c r="C264" s="36" t="str">
        <f t="shared" ref="C264:C281" si="221">IF(L264="","",L264)</f>
        <v>tbs</v>
      </c>
      <c r="D264" s="37" t="str">
        <f>_xlfn.CONCAT(K264, U264)</f>
        <v>minced fresh ginger</v>
      </c>
      <c r="E264" s="63" t="s">
        <v>327</v>
      </c>
      <c r="F264" s="87">
        <f>tuDiCount</f>
        <v>10</v>
      </c>
      <c r="G264" s="64"/>
      <c r="I264" s="51">
        <v>5</v>
      </c>
      <c r="J264" s="52" t="s">
        <v>15</v>
      </c>
      <c r="K264" s="52" t="s">
        <v>221</v>
      </c>
      <c r="L264" s="53" t="s">
        <v>15</v>
      </c>
      <c r="M264" s="44">
        <f t="shared" ref="M264:M281" si="222">INDEX(itemGPerQty, MATCH(K264, itemNames, 0))</f>
        <v>0</v>
      </c>
      <c r="N264" s="44">
        <f t="shared" ref="N264:N281" si="223">INDEX(itemMlPerQty, MATCH(K264, itemNames, 0))</f>
        <v>0</v>
      </c>
      <c r="O264" s="44">
        <f t="shared" ref="O264:O281" si="224">IF(J264 = "", I264 * M264, IF(ISNA(CONVERT(I264, J264, "kg")), CONVERT(I264, J264, "l") * IF(N264 &lt;&gt; 0, M264 / N264, 0), CONVERT(I264, J264, "kg")))</f>
        <v>0</v>
      </c>
      <c r="P264" s="44">
        <f t="shared" ref="P264:P281" si="225">IF(J264 = "", I264 * N264, IF(ISNA(CONVERT(I264, J264, "l")), CONVERT(I264, J264, "kg") * IF(M264 &lt;&gt; 0, N264 / M264, 0), CONVERT(I264, J264, "l")))</f>
        <v>7.3933823906250001E-2</v>
      </c>
      <c r="Q264" s="44">
        <f>MROUND(IF(AND(J264 = "", L264 = ""), I264 * recipe07DayScale, IF(ISNA(CONVERT(O264, "kg", L264)), CONVERT(P264 * recipe07DayScale, "l", L264), CONVERT(O264 * recipe07DayScale, "kg", L264))), roundTo)</f>
        <v>3.25</v>
      </c>
      <c r="R264" s="44">
        <f>recipe07TotScale * IF(L264 = "", Q264 * M264, IF(ISNA(CONVERT(Q264, L264, "kg")), CONVERT(Q264, L264, "l") * IF(N264 &lt;&gt; 0, M264 / N264, 0), CONVERT(Q264, L264, "kg")))</f>
        <v>0</v>
      </c>
      <c r="S264" s="44">
        <f>recipe07TotScale * IF(R264 = 0, IF(L264 = "", Q264 * N264, IF(ISNA(CONVERT(Q264, L264, "l")), CONVERT(Q264, L264, "kg") * IF(M264 &lt;&gt; 0, N264 / M264, 0), CONVERT(Q264, L264, "l"))), 0)</f>
        <v>4.8056985539062499E-2</v>
      </c>
      <c r="T264" s="44">
        <f>recipe07TotScale * IF(AND(R264 = 0, S264 = 0, J264 = "", L264 = ""), Q264, 0)</f>
        <v>0</v>
      </c>
      <c r="V264" s="41" t="b">
        <f>INDEX(itemPrepMethods, MATCH(K264, itemNames, 0))="chop"</f>
        <v>1</v>
      </c>
      <c r="W264" s="54">
        <f>IF(V264, Q264, "")</f>
        <v>3.25</v>
      </c>
      <c r="X264" s="55" t="str">
        <f>IF(V264, IF(L264 = "", "", L264), "")</f>
        <v>tbs</v>
      </c>
      <c r="Y264" s="55" t="str">
        <f>IF(V264, K264, "")</f>
        <v>minced fresh ginger</v>
      </c>
      <c r="Z264" s="56"/>
      <c r="AA264" s="41" t="b">
        <f>INDEX(itemPrepMethods, MATCH(K264, itemNames, 0))="soak"</f>
        <v>0</v>
      </c>
      <c r="AB264" s="55" t="str">
        <f>IF(AA264, Q264, "")</f>
        <v/>
      </c>
      <c r="AC264" s="55" t="str">
        <f>IF(AA264, IF(L264 = "", "", L264), "")</f>
        <v/>
      </c>
      <c r="AD264" s="55" t="str">
        <f>IF(AA264, K264, "")</f>
        <v/>
      </c>
    </row>
    <row r="265" spans="1:30" ht="15.75" thickBot="1" x14ac:dyDescent="0.3">
      <c r="A265" s="37" t="s">
        <v>21</v>
      </c>
      <c r="B265" s="49">
        <f t="shared" si="220"/>
        <v>6.75</v>
      </c>
      <c r="C265" s="36" t="str">
        <f t="shared" si="221"/>
        <v/>
      </c>
      <c r="D265" s="37" t="str">
        <f>_xlfn.CONCAT(K265, U265)</f>
        <v>thinly sliced carrots</v>
      </c>
      <c r="E265" s="63" t="s">
        <v>352</v>
      </c>
      <c r="F265" s="47">
        <f>F264/F261</f>
        <v>1</v>
      </c>
      <c r="G265" s="48" t="s">
        <v>374</v>
      </c>
      <c r="I265" s="51">
        <v>10</v>
      </c>
      <c r="J265" s="52"/>
      <c r="K265" s="52" t="s">
        <v>58</v>
      </c>
      <c r="L265" s="53"/>
      <c r="M265" s="44">
        <f t="shared" si="222"/>
        <v>0</v>
      </c>
      <c r="N265" s="44">
        <f t="shared" si="223"/>
        <v>0</v>
      </c>
      <c r="O265" s="44">
        <f t="shared" si="224"/>
        <v>0</v>
      </c>
      <c r="P265" s="44">
        <f t="shared" si="225"/>
        <v>0</v>
      </c>
      <c r="Q265" s="44">
        <f>MROUND(IF(AND(J265 = "", L265 = ""), I265 * recipe07DayScale, IF(ISNA(CONVERT(O265, "kg", L265)), CONVERT(P265 * recipe07DayScale, "l", L265), CONVERT(O265 * recipe07DayScale, "kg", L265))), roundTo)</f>
        <v>6.75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0</v>
      </c>
      <c r="T265" s="44">
        <f>recipe07TotScale * IF(AND(R265 = 0, S265 = 0, J265 = "", L265 = ""), Q265, 0)</f>
        <v>6.75</v>
      </c>
      <c r="V265" s="41" t="b">
        <f>INDEX(itemPrepMethods, MATCH(K265, itemNames, 0))="chop"</f>
        <v>1</v>
      </c>
      <c r="W265" s="54">
        <f>IF(V265, Q265, "")</f>
        <v>6.75</v>
      </c>
      <c r="X265" s="55" t="str">
        <f>IF(V265, IF(L265 = "", "", L265), "")</f>
        <v/>
      </c>
      <c r="Y265" s="55" t="str">
        <f>IF(V265, K265, "")</f>
        <v>thinly sliced carrots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x14ac:dyDescent="0.25">
      <c r="A266" s="37" t="s">
        <v>21</v>
      </c>
      <c r="B266" s="49">
        <f t="shared" si="220"/>
        <v>3.25</v>
      </c>
      <c r="C266" s="36" t="str">
        <f t="shared" si="221"/>
        <v/>
      </c>
      <c r="D266" s="37" t="str">
        <f>_xlfn.CONCAT(K266, U266)</f>
        <v>thinly sliced celery stalks</v>
      </c>
      <c r="I266" s="51">
        <v>5</v>
      </c>
      <c r="J266" s="52"/>
      <c r="K266" s="52" t="s">
        <v>59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3.25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3.25</v>
      </c>
      <c r="V266" s="41" t="b">
        <f>INDEX(itemPrepMethods, MATCH(K266, itemNames, 0))="chop"</f>
        <v>1</v>
      </c>
      <c r="W266" s="54">
        <f>IF(V266, Q266, "")</f>
        <v>3.25</v>
      </c>
      <c r="X266" s="55" t="str">
        <f>IF(V266, IF(L266 = "", "", L266), "")</f>
        <v/>
      </c>
      <c r="Y266" s="55" t="str">
        <f>IF(V266, K266, "")</f>
        <v>thinly sliced celery stalks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13.25</v>
      </c>
      <c r="C267" s="36" t="str">
        <f t="shared" si="221"/>
        <v/>
      </c>
      <c r="D267" s="37" t="str">
        <f>_xlfn.CONCAT(K267, U267)</f>
        <v>thinly sliced white cabbage leaves</v>
      </c>
      <c r="I267" s="51">
        <v>20</v>
      </c>
      <c r="J267" s="52"/>
      <c r="K267" s="52" t="s">
        <v>98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13.25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13.25</v>
      </c>
      <c r="V267" s="41" t="b">
        <f>INDEX(itemPrepMethods, MATCH(K267, itemNames, 0))="chop"</f>
        <v>1</v>
      </c>
      <c r="W267" s="54">
        <f>IF(V267, Q267, "")</f>
        <v>13.25</v>
      </c>
      <c r="X267" s="55" t="str">
        <f>IF(V267, IF(L267 = "", "", L267), "")</f>
        <v/>
      </c>
      <c r="Y267" s="55" t="str">
        <f>IF(V267, K267, "")</f>
        <v>thinly sliced white cabbage leaves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115"/>
      <c r="B268" s="115"/>
      <c r="C268" s="115"/>
      <c r="D268" s="115"/>
      <c r="I268" s="44"/>
      <c r="W268" s="71"/>
      <c r="X268" s="71"/>
      <c r="Y268" s="71"/>
      <c r="Z268" s="71"/>
      <c r="AB268" s="71"/>
      <c r="AC268" s="71"/>
      <c r="AD268" s="71"/>
    </row>
    <row r="269" spans="1:30" x14ac:dyDescent="0.25">
      <c r="A269" s="115" t="s">
        <v>265</v>
      </c>
      <c r="B269" s="115"/>
      <c r="C269" s="115"/>
      <c r="D269" s="115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37" t="s">
        <v>21</v>
      </c>
      <c r="B270" s="49">
        <f t="shared" si="220"/>
        <v>10</v>
      </c>
      <c r="C270" s="36" t="str">
        <f t="shared" si="221"/>
        <v>cup</v>
      </c>
      <c r="D270" s="37" t="str">
        <f>_xlfn.CONCAT(K270, U270)</f>
        <v>vegetable stock</v>
      </c>
      <c r="I270" s="51">
        <v>3.55</v>
      </c>
      <c r="J270" s="52" t="s">
        <v>54</v>
      </c>
      <c r="K270" s="52" t="s">
        <v>55</v>
      </c>
      <c r="L270" s="53" t="s">
        <v>16</v>
      </c>
      <c r="M270" s="44">
        <f t="shared" si="222"/>
        <v>0</v>
      </c>
      <c r="N270" s="44">
        <f t="shared" si="223"/>
        <v>0</v>
      </c>
      <c r="O270" s="44">
        <f t="shared" si="224"/>
        <v>0</v>
      </c>
      <c r="P270" s="44">
        <f t="shared" si="225"/>
        <v>3.55</v>
      </c>
      <c r="Q270" s="44">
        <f>MROUND(IF(AND(J270 = "", L270 = ""), I270 * recipe07DayScale, IF(ISNA(CONVERT(O270, "kg", L270)), CONVERT(P270 * recipe07DayScale, "l", L270), CONVERT(O270 * recipe07DayScale, "kg", L270))), roundTo)</f>
        <v>10</v>
      </c>
      <c r="R270" s="44">
        <f>recipe07TotScale * IF(L270 = "", Q270 * M270, IF(ISNA(CONVERT(Q270, L270, "kg")), CONVERT(Q270, L270, "l") * IF(N270 &lt;&gt; 0, M270 / N270, 0), CONVERT(Q270, L270, "kg")))</f>
        <v>0</v>
      </c>
      <c r="S270" s="44">
        <f>recipe07TotScale * IF(R270 = 0, IF(L270 = "", Q270 * N270, IF(ISNA(CONVERT(Q270, L270, "l")), CONVERT(Q270, L270, "kg") * IF(M270 &lt;&gt; 0, N270 / M270, 0), CONVERT(Q270, L270, "l"))), 0)</f>
        <v>2.365882365</v>
      </c>
      <c r="T270" s="44">
        <f>recipe07TotScale * IF(AND(R270 = 0, S270 = 0, J270 = "", L270 = ""), Q270, 0)</f>
        <v>0</v>
      </c>
      <c r="V270" s="41" t="b">
        <f>INDEX(itemPrepMethods, MATCH(K270, itemNames, 0))="chop"</f>
        <v>0</v>
      </c>
      <c r="W270" s="54" t="str">
        <f>IF(V270, Q270, "")</f>
        <v/>
      </c>
      <c r="X270" s="55" t="str">
        <f>IF(V270, IF(L270 = "", "", L270), "")</f>
        <v/>
      </c>
      <c r="Y270" s="55" t="str">
        <f>IF(V270, K270, "")</f>
        <v/>
      </c>
      <c r="Z270" s="56"/>
      <c r="AA270" s="41" t="b">
        <f>INDEX(itemPrepMethods, MATCH(K270, itemNames, 0))="soak"</f>
        <v>0</v>
      </c>
      <c r="AB270" s="55" t="str">
        <f>IF(AA270, Q270, "")</f>
        <v/>
      </c>
      <c r="AC270" s="55" t="str">
        <f>IF(AA270, IF(L270 = "", "", L270), "")</f>
        <v/>
      </c>
      <c r="AD270" s="55" t="str">
        <f>IF(AA270, K270, "")</f>
        <v/>
      </c>
    </row>
    <row r="271" spans="1:30" x14ac:dyDescent="0.25">
      <c r="A271" s="115"/>
      <c r="B271" s="115"/>
      <c r="C271" s="115"/>
      <c r="D271" s="115"/>
      <c r="I271" s="44"/>
      <c r="W271" s="71"/>
      <c r="X271" s="71"/>
      <c r="Y271" s="71"/>
      <c r="Z271" s="71"/>
      <c r="AB271" s="71"/>
      <c r="AC271" s="71"/>
      <c r="AD271" s="71"/>
    </row>
    <row r="272" spans="1:30" x14ac:dyDescent="0.25">
      <c r="A272" s="115" t="s">
        <v>266</v>
      </c>
      <c r="B272" s="115"/>
      <c r="C272" s="115"/>
      <c r="D272" s="115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15"/>
      <c r="B273" s="115"/>
      <c r="C273" s="115"/>
      <c r="D273" s="115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15" t="s">
        <v>267</v>
      </c>
      <c r="B274" s="115"/>
      <c r="C274" s="115"/>
      <c r="D274" s="115"/>
      <c r="I274" s="44"/>
      <c r="W274" s="71"/>
      <c r="X274" s="71"/>
      <c r="Y274" s="71"/>
      <c r="Z274" s="71"/>
      <c r="AB274" s="71"/>
      <c r="AC274" s="71"/>
      <c r="AD274" s="71"/>
    </row>
    <row r="275" spans="1:30" x14ac:dyDescent="0.25">
      <c r="A275" s="37" t="s">
        <v>21</v>
      </c>
      <c r="B275" s="49">
        <f t="shared" si="220"/>
        <v>0.75</v>
      </c>
      <c r="C275" s="36" t="str">
        <f t="shared" si="221"/>
        <v>kg</v>
      </c>
      <c r="D275" s="37" t="str">
        <f>_xlfn.CONCAT(K275, U275)</f>
        <v>blocks tofu, cut into small cubes</v>
      </c>
      <c r="I275" s="51">
        <v>1</v>
      </c>
      <c r="J275" s="52" t="s">
        <v>12</v>
      </c>
      <c r="K275" s="52" t="s">
        <v>261</v>
      </c>
      <c r="L275" s="53" t="s">
        <v>12</v>
      </c>
      <c r="M275" s="44">
        <f t="shared" si="222"/>
        <v>0</v>
      </c>
      <c r="N275" s="44">
        <f t="shared" si="223"/>
        <v>0</v>
      </c>
      <c r="O275" s="44">
        <f t="shared" si="224"/>
        <v>1</v>
      </c>
      <c r="P275" s="44">
        <f t="shared" si="225"/>
        <v>0</v>
      </c>
      <c r="Q275" s="44">
        <f>MROUND(IF(AND(J275 = "", L275 = ""), I275 * recipe07DayScale, IF(ISNA(CONVERT(O275, "kg", L275)), CONVERT(P275 * recipe07DayScale, "l", L275), CONVERT(O275 * recipe07DayScale, "kg", L275))), roundTo)</f>
        <v>0.75</v>
      </c>
      <c r="R275" s="44">
        <f>recipe07TotScale * IF(L275 = "", Q275 * M275, IF(ISNA(CONVERT(Q275, L275, "kg")), CONVERT(Q275, L275, "l") * IF(N275 &lt;&gt; 0, M275 / N275, 0), CONVERT(Q275, L275, "kg")))</f>
        <v>0.75</v>
      </c>
      <c r="S275" s="44">
        <f>recipe07TotScale * IF(R275 = 0, IF(L275 = "", Q275 * N275, IF(ISNA(CONVERT(Q275, L275, "l")), CONVERT(Q275, L275, "kg") * IF(M275 &lt;&gt; 0, N275 / M275, 0), CONVERT(Q275, L275, "l"))), 0)</f>
        <v>0</v>
      </c>
      <c r="T275" s="44">
        <f>recipe07TotScale * IF(AND(R275 = 0, S275 = 0, J275 = "", L275 = ""), Q275, 0)</f>
        <v>0</v>
      </c>
      <c r="V275" s="41" t="b">
        <f>INDEX(itemPrepMethods, MATCH(K275, itemNames, 0))="chop"</f>
        <v>1</v>
      </c>
      <c r="W275" s="54">
        <f>IF(V275, Q275, "")</f>
        <v>0.75</v>
      </c>
      <c r="X275" s="55" t="str">
        <f>IF(V275, IF(L275 = "", "", L275), "")</f>
        <v>kg</v>
      </c>
      <c r="Y275" s="55" t="str">
        <f>IF(V275, K275, "")</f>
        <v>blocks tofu, cut into small cubes</v>
      </c>
      <c r="Z275" s="56"/>
      <c r="AA275" s="41" t="b">
        <f>INDEX(itemPrepMethods, MATCH(K275, itemNames, 0))="soak"</f>
        <v>0</v>
      </c>
      <c r="AB275" s="55" t="str">
        <f>IF(AA275, Q275, "")</f>
        <v/>
      </c>
      <c r="AC275" s="55" t="str">
        <f>IF(AA275, IF(L275 = "", "", L275), "")</f>
        <v/>
      </c>
      <c r="AD275" s="55" t="str">
        <f>IF(AA275, K275, "")</f>
        <v/>
      </c>
    </row>
    <row r="276" spans="1:30" x14ac:dyDescent="0.25">
      <c r="B276" s="49"/>
      <c r="I276" s="51"/>
      <c r="J276" s="52"/>
      <c r="K276" s="52"/>
      <c r="L276" s="53"/>
      <c r="W276" s="71"/>
      <c r="X276" s="71"/>
      <c r="Y276" s="71"/>
      <c r="Z276" s="71"/>
      <c r="AB276" s="71"/>
      <c r="AC276" s="71"/>
      <c r="AD276" s="71"/>
    </row>
    <row r="277" spans="1:30" x14ac:dyDescent="0.25">
      <c r="A277" s="115" t="s">
        <v>268</v>
      </c>
      <c r="B277" s="115"/>
      <c r="C277" s="115"/>
      <c r="D277" s="115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37" t="s">
        <v>21</v>
      </c>
      <c r="B278" s="58">
        <f t="shared" si="220"/>
        <v>46.75</v>
      </c>
      <c r="C278" s="88" t="str">
        <f t="shared" si="221"/>
        <v>g</v>
      </c>
      <c r="D278" s="99" t="str">
        <f>_xlfn.CONCAT(K278, U278)</f>
        <v>wakame, then drain and set aside</v>
      </c>
      <c r="I278" s="51">
        <v>70</v>
      </c>
      <c r="J278" s="52" t="s">
        <v>0</v>
      </c>
      <c r="K278" s="52" t="s">
        <v>56</v>
      </c>
      <c r="L278" s="53" t="s">
        <v>0</v>
      </c>
      <c r="M278" s="44">
        <f t="shared" si="222"/>
        <v>0</v>
      </c>
      <c r="N278" s="44">
        <f t="shared" si="223"/>
        <v>0</v>
      </c>
      <c r="O278" s="44">
        <f t="shared" si="224"/>
        <v>7.0000000000000007E-2</v>
      </c>
      <c r="P278" s="44">
        <f t="shared" si="225"/>
        <v>0</v>
      </c>
      <c r="Q278" s="44">
        <f>MROUND(IF(AND(J278 = "", L278 = ""), I278 * recipe07DayScale, IF(ISNA(CONVERT(O278, "kg", L278)), CONVERT(P278 * recipe07DayScale, "l", L278), CONVERT(O278 * recipe07DayScale, "kg", L278))), roundTo)</f>
        <v>46.75</v>
      </c>
      <c r="R278" s="44">
        <f>recipe07TotScale * IF(L278 = "", Q278 * M278, IF(ISNA(CONVERT(Q278, L278, "kg")), CONVERT(Q278, L278, "l") * IF(N278 &lt;&gt; 0, M278 / N278, 0), CONVERT(Q278, L278, "kg")))</f>
        <v>4.675E-2</v>
      </c>
      <c r="S278" s="44">
        <f>recipe07TotScale * IF(R278 = 0, IF(L278 = "", Q278 * N278, IF(ISNA(CONVERT(Q278, L278, "l")), CONVERT(Q278, L278, "kg") * IF(M278 &lt;&gt; 0, N278 / M278, 0), CONVERT(Q278, L278, "l"))), 0)</f>
        <v>0</v>
      </c>
      <c r="T278" s="44">
        <f>recipe07TotScale * IF(AND(R278 = 0, S278 = 0, J278 = "", L278 = ""), Q278, 0)</f>
        <v>0</v>
      </c>
      <c r="U278" s="41" t="s">
        <v>269</v>
      </c>
      <c r="V278" s="41" t="b">
        <f>INDEX(itemPrepMethods, MATCH(K278, itemNames, 0))="chop"</f>
        <v>0</v>
      </c>
      <c r="W278" s="54" t="str">
        <f>IF(V278, Q278, "")</f>
        <v/>
      </c>
      <c r="X278" s="55" t="str">
        <f>IF(V278, IF(L278 = "", "", L278), "")</f>
        <v/>
      </c>
      <c r="Y278" s="55" t="str">
        <f>IF(V278, K278, "")</f>
        <v/>
      </c>
      <c r="Z278" s="56"/>
      <c r="AA278" s="41" t="b">
        <f>INDEX(itemPrepMethods, MATCH(K278, itemNames, 0))="soak"</f>
        <v>0</v>
      </c>
      <c r="AB278" s="55" t="str">
        <f>IF(AA278, Q278, "")</f>
        <v/>
      </c>
      <c r="AC278" s="55" t="str">
        <f>IF(AA278, IF(L278 = "", "", L278), "")</f>
        <v/>
      </c>
      <c r="AD278" s="55" t="str">
        <f>IF(AA278, K278, "")</f>
        <v/>
      </c>
    </row>
    <row r="279" spans="1:30" x14ac:dyDescent="0.25">
      <c r="A279" s="115"/>
      <c r="B279" s="115"/>
      <c r="C279" s="115"/>
      <c r="D279" s="115"/>
      <c r="I279" s="44"/>
      <c r="W279" s="71"/>
      <c r="X279" s="71"/>
      <c r="Y279" s="71"/>
      <c r="Z279" s="71"/>
      <c r="AB279" s="71"/>
      <c r="AC279" s="71"/>
      <c r="AD279" s="71"/>
    </row>
    <row r="280" spans="1:30" x14ac:dyDescent="0.25">
      <c r="A280" s="115" t="s">
        <v>270</v>
      </c>
      <c r="B280" s="115"/>
      <c r="C280" s="115"/>
      <c r="D280" s="115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37" t="s">
        <v>21</v>
      </c>
      <c r="B281" s="49">
        <f t="shared" si="220"/>
        <v>3.25</v>
      </c>
      <c r="C281" s="36" t="str">
        <f t="shared" si="221"/>
        <v>tbs</v>
      </c>
      <c r="D281" s="37" t="str">
        <f>_xlfn.CONCAT(K281, U281)</f>
        <v>miso</v>
      </c>
      <c r="I281" s="51">
        <v>5</v>
      </c>
      <c r="J281" s="52" t="s">
        <v>15</v>
      </c>
      <c r="K281" s="52" t="s">
        <v>57</v>
      </c>
      <c r="L281" s="53" t="s">
        <v>15</v>
      </c>
      <c r="M281" s="44">
        <f t="shared" si="222"/>
        <v>0</v>
      </c>
      <c r="N281" s="44">
        <f t="shared" si="223"/>
        <v>0</v>
      </c>
      <c r="O281" s="44">
        <f t="shared" si="224"/>
        <v>0</v>
      </c>
      <c r="P281" s="44">
        <f t="shared" si="225"/>
        <v>7.3933823906250001E-2</v>
      </c>
      <c r="Q281" s="44">
        <f>MROUND(IF(AND(J281 = "", L281 = ""), I281 * recipe07DayScale, IF(ISNA(CONVERT(O281, "kg", L281)), CONVERT(P281 * recipe07DayScale, "l", L281), CONVERT(O281 * recipe07DayScale, "kg", L281))), roundTo)</f>
        <v>3.25</v>
      </c>
      <c r="R281" s="44">
        <f>recipe07TotScale * IF(L281 = "", Q281 * M281, IF(ISNA(CONVERT(Q281, L281, "kg")), CONVERT(Q281, L281, "l") * IF(N281 &lt;&gt; 0, M281 / N281, 0), CONVERT(Q281, L281, "kg")))</f>
        <v>0</v>
      </c>
      <c r="S281" s="44">
        <f>recipe07TotScale * IF(R281 = 0, IF(L281 = "", Q281 * N281, IF(ISNA(CONVERT(Q281, L281, "l")), CONVERT(Q281, L281, "kg") * IF(M281 &lt;&gt; 0, N281 / M281, 0), CONVERT(Q281, L281, "l"))), 0)</f>
        <v>4.8056985539062499E-2</v>
      </c>
      <c r="T281" s="44">
        <f>recipe07TotScale * IF(AND(R281 = 0, S281 = 0, J281 = "", L281 = ""), Q281, 0)</f>
        <v>0</v>
      </c>
      <c r="V281" s="41" t="b">
        <f>INDEX(itemPrepMethods, MATCH(K281, itemNames, 0))="chop"</f>
        <v>0</v>
      </c>
      <c r="W281" s="54" t="str">
        <f>IF(V281, Q281, "")</f>
        <v/>
      </c>
      <c r="X281" s="55" t="str">
        <f>IF(V281, IF(L281 = "", "", L281), "")</f>
        <v/>
      </c>
      <c r="Y281" s="55" t="str">
        <f>IF(V281, K281, "")</f>
        <v/>
      </c>
      <c r="Z281" s="56"/>
      <c r="AA281" s="41" t="b">
        <f>INDEX(itemPrepMethods, MATCH(K281, itemNames, 0))="soak"</f>
        <v>0</v>
      </c>
      <c r="AB281" s="55" t="str">
        <f>IF(AA281, Q281, "")</f>
        <v/>
      </c>
      <c r="AC281" s="55" t="str">
        <f>IF(AA281, IF(L281 = "", "", L281), "")</f>
        <v/>
      </c>
      <c r="AD281" s="55" t="str">
        <f>IF(AA281, K281, "")</f>
        <v/>
      </c>
    </row>
    <row r="282" spans="1:30" x14ac:dyDescent="0.25">
      <c r="A282" s="115"/>
      <c r="B282" s="115"/>
      <c r="C282" s="115"/>
      <c r="D282" s="115"/>
      <c r="I282" s="44"/>
      <c r="W282" s="64"/>
      <c r="X282" s="64"/>
      <c r="Y282" s="64"/>
      <c r="Z282" s="64"/>
      <c r="AA282" s="64"/>
      <c r="AB282" s="64"/>
      <c r="AC282" s="64"/>
      <c r="AD282" s="64"/>
    </row>
    <row r="283" spans="1:30" x14ac:dyDescent="0.25">
      <c r="A283" s="115" t="s">
        <v>273</v>
      </c>
      <c r="B283" s="115"/>
      <c r="C283" s="115"/>
      <c r="D283" s="115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37" t="s">
        <v>21</v>
      </c>
      <c r="D284" s="37" t="str">
        <f>_xlfn.CONCAT(K284, U284)</f>
        <v>miso broth</v>
      </c>
      <c r="I284" s="44"/>
      <c r="U284" s="43" t="s">
        <v>271</v>
      </c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soaked wakame</v>
      </c>
      <c r="I285" s="44"/>
      <c r="U285" s="43" t="s">
        <v>272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15.75" x14ac:dyDescent="0.25">
      <c r="A286" s="116" t="s">
        <v>33</v>
      </c>
      <c r="B286" s="116"/>
      <c r="C286" s="116"/>
      <c r="D286" s="116"/>
      <c r="E286" s="39" t="s">
        <v>136</v>
      </c>
      <c r="F286" s="102"/>
      <c r="G286" s="102"/>
      <c r="H286" s="44"/>
    </row>
    <row r="287" spans="1:30" ht="24" x14ac:dyDescent="0.2">
      <c r="A287" s="116" t="s">
        <v>275</v>
      </c>
      <c r="B287" s="116"/>
      <c r="C287" s="116"/>
      <c r="D287" s="116"/>
      <c r="E287" s="39" t="s">
        <v>53</v>
      </c>
      <c r="F287" s="87">
        <v>10</v>
      </c>
      <c r="G287" s="44"/>
      <c r="H287" s="44"/>
      <c r="I287" s="67" t="s">
        <v>434</v>
      </c>
      <c r="J287" s="68" t="s">
        <v>435</v>
      </c>
      <c r="K287" s="68" t="s">
        <v>17</v>
      </c>
      <c r="L287" s="69" t="s">
        <v>438</v>
      </c>
      <c r="M287" s="67" t="s">
        <v>141</v>
      </c>
      <c r="N287" s="67" t="s">
        <v>142</v>
      </c>
      <c r="O287" s="67" t="s">
        <v>436</v>
      </c>
      <c r="P287" s="67" t="s">
        <v>437</v>
      </c>
      <c r="Q287" s="68" t="s">
        <v>353</v>
      </c>
      <c r="R287" s="67" t="s">
        <v>354</v>
      </c>
      <c r="S287" s="67" t="s">
        <v>355</v>
      </c>
      <c r="T287" s="67" t="s">
        <v>356</v>
      </c>
      <c r="U287" s="68" t="s">
        <v>22</v>
      </c>
      <c r="V287" s="68" t="s">
        <v>202</v>
      </c>
      <c r="W287" s="70" t="s">
        <v>353</v>
      </c>
      <c r="X287" s="68" t="s">
        <v>200</v>
      </c>
      <c r="Y287" s="68" t="s">
        <v>201</v>
      </c>
      <c r="Z287" s="68" t="s">
        <v>302</v>
      </c>
      <c r="AA287" s="68" t="s">
        <v>203</v>
      </c>
      <c r="AB287" s="70" t="s">
        <v>353</v>
      </c>
      <c r="AC287" s="68" t="s">
        <v>204</v>
      </c>
      <c r="AD287" s="68" t="s">
        <v>205</v>
      </c>
    </row>
    <row r="288" spans="1:30" ht="13.5" thickBot="1" x14ac:dyDescent="0.3">
      <c r="A288" s="117" t="str">
        <f>_xlfn.CONCAT(F288," servings")</f>
        <v>10 servings</v>
      </c>
      <c r="B288" s="117"/>
      <c r="C288" s="117"/>
      <c r="D288" s="117"/>
      <c r="E288" s="63" t="s">
        <v>348</v>
      </c>
      <c r="F288" s="87">
        <f>weLuCount</f>
        <v>10</v>
      </c>
      <c r="G288" s="44"/>
      <c r="H288" s="44"/>
    </row>
    <row r="289" spans="1:30" s="102" customFormat="1" ht="15.75" thickBot="1" x14ac:dyDescent="0.3">
      <c r="A289" s="115"/>
      <c r="B289" s="115"/>
      <c r="C289" s="115"/>
      <c r="D289" s="115"/>
      <c r="E289" s="63" t="s">
        <v>351</v>
      </c>
      <c r="F289" s="47">
        <f>F288/F287</f>
        <v>1</v>
      </c>
      <c r="G289" s="48" t="s">
        <v>375</v>
      </c>
      <c r="H289" s="44"/>
      <c r="I289" s="42"/>
      <c r="L289" s="43"/>
      <c r="M289" s="44"/>
      <c r="N289" s="44"/>
      <c r="O289" s="44"/>
      <c r="P289" s="44"/>
      <c r="Q289" s="44"/>
      <c r="R289" s="44"/>
      <c r="S289" s="44"/>
      <c r="T289" s="44"/>
      <c r="W289" s="45"/>
      <c r="Z289" s="46"/>
    </row>
    <row r="290" spans="1:30" x14ac:dyDescent="0.25">
      <c r="A290" s="121" t="s">
        <v>276</v>
      </c>
      <c r="B290" s="121"/>
      <c r="C290" s="121"/>
      <c r="D290" s="121"/>
      <c r="E290" s="64"/>
      <c r="F290" s="64"/>
      <c r="G290" s="64"/>
      <c r="H290" s="44"/>
    </row>
    <row r="291" spans="1:30" ht="15.75" thickBot="1" x14ac:dyDescent="0.3">
      <c r="A291" s="115"/>
      <c r="B291" s="115"/>
      <c r="C291" s="115"/>
      <c r="D291" s="115"/>
      <c r="E291" s="63" t="s">
        <v>327</v>
      </c>
      <c r="F291" s="87">
        <f>weLuCount</f>
        <v>10</v>
      </c>
      <c r="G291" s="64"/>
      <c r="I291" s="44"/>
      <c r="W291" s="64"/>
      <c r="X291" s="64"/>
      <c r="Y291" s="64"/>
      <c r="Z291" s="64"/>
      <c r="AA291" s="64"/>
      <c r="AB291" s="64"/>
      <c r="AC291" s="64"/>
      <c r="AD291" s="64"/>
    </row>
    <row r="292" spans="1:30" ht="15.75" thickBot="1" x14ac:dyDescent="0.3">
      <c r="A292" s="115" t="s">
        <v>294</v>
      </c>
      <c r="B292" s="115"/>
      <c r="C292" s="115"/>
      <c r="D292" s="115"/>
      <c r="E292" s="63" t="s">
        <v>352</v>
      </c>
      <c r="F292" s="47">
        <f>F291/F288</f>
        <v>1</v>
      </c>
      <c r="G292" s="48" t="s">
        <v>376</v>
      </c>
      <c r="H292" s="44"/>
      <c r="W292" s="64"/>
      <c r="X292" s="64"/>
      <c r="Y292" s="64"/>
      <c r="Z292" s="64"/>
      <c r="AA292" s="64"/>
      <c r="AB292" s="64"/>
      <c r="AC292" s="64"/>
      <c r="AD292" s="64"/>
    </row>
    <row r="293" spans="1:30" x14ac:dyDescent="0.25">
      <c r="A293" s="37" t="s">
        <v>21</v>
      </c>
      <c r="B293" s="49">
        <f t="shared" ref="B293" si="226">Q293</f>
        <v>2</v>
      </c>
      <c r="C293" s="36" t="str">
        <f t="shared" ref="C293" si="227">IF(L293="","",L293)</f>
        <v>cup</v>
      </c>
      <c r="D293" s="37" t="str">
        <f>_xlfn.CONCAT(K293, U293)</f>
        <v>dried brown lentils</v>
      </c>
      <c r="I293" s="51">
        <v>2</v>
      </c>
      <c r="J293" s="52" t="s">
        <v>16</v>
      </c>
      <c r="K293" s="52" t="s">
        <v>277</v>
      </c>
      <c r="L293" s="53" t="s">
        <v>16</v>
      </c>
      <c r="M293" s="44">
        <f t="shared" ref="M293" si="228">INDEX(itemGPerQty, MATCH(K293, itemNames, 0))</f>
        <v>0</v>
      </c>
      <c r="N293" s="44">
        <f t="shared" ref="N293" si="229">INDEX(itemMlPerQty, MATCH(K293, itemNames, 0))</f>
        <v>0</v>
      </c>
      <c r="O293" s="44">
        <f t="shared" ref="O293" si="230">IF(J293 = "", I293 * M293, IF(ISNA(CONVERT(I293, J293, "kg")), CONVERT(I293, J293, "l") * IF(N293 &lt;&gt; 0, M293 / N293, 0), CONVERT(I293, J293, "kg")))</f>
        <v>0</v>
      </c>
      <c r="P293" s="44">
        <f t="shared" ref="P293" si="231">IF(J293 = "", I293 * N293, IF(ISNA(CONVERT(I293, J293, "l")), CONVERT(I293, J293, "kg") * IF(M293 &lt;&gt; 0, N293 / M293, 0), CONVERT(I293, J293, "l")))</f>
        <v>0.47317647299999999</v>
      </c>
      <c r="Q293" s="44">
        <f>MROUND(IF(AND(J293 = "", L293 = ""), I293 * recipe12DayScale, IF(ISNA(CONVERT(O293, "kg", L293)), CONVERT(P293 * recipe12DayScale, "l", L293), CONVERT(O293 * recipe12DayScale, "kg", L293))), roundTo)</f>
        <v>2</v>
      </c>
      <c r="R293" s="44">
        <f>recipe12TotScale * IF(L293 = "", Q293 * M293, IF(ISNA(CONVERT(Q293, L293, "kg")), CONVERT(Q293, L293, "l") * IF(N293 &lt;&gt; 0, M293 / N293, 0), CONVERT(Q293, L293, "kg")))</f>
        <v>0</v>
      </c>
      <c r="S293" s="44">
        <f>recipe12TotScale * IF(R293 = 0, IF(L293 = "", Q293 * N293, IF(ISNA(CONVERT(Q293, L293, "l")), CONVERT(Q293, L293, "kg") * IF(M293 &lt;&gt; 0, N293 / M293, 0), CONVERT(Q293, L293, "l"))), 0)</f>
        <v>0.47317647299999999</v>
      </c>
      <c r="T293" s="44">
        <f>recipe12TotScale * IF(AND(R293 = 0, S293 = 0, J293 = "", L293 = ""), Q293, 0)</f>
        <v>0</v>
      </c>
      <c r="V293" s="41" t="b">
        <f>INDEX(itemPrepMethods, MATCH(K293, itemNames, 0))="chop"</f>
        <v>0</v>
      </c>
      <c r="W293" s="54" t="str">
        <f>IF(V293, Q293, "")</f>
        <v/>
      </c>
      <c r="X293" s="55" t="str">
        <f>IF(V293, IF(L293 = "", "", L293), "")</f>
        <v/>
      </c>
      <c r="Y293" s="55" t="str">
        <f>IF(V293, K293, "")</f>
        <v/>
      </c>
      <c r="Z293" s="56"/>
      <c r="AA293" s="41" t="b">
        <f>INDEX(itemPrepMethods, MATCH(K293, itemNames, 0))="soak"</f>
        <v>0</v>
      </c>
      <c r="AB293" s="55" t="str">
        <f>IF(AA293, Q293, "")</f>
        <v/>
      </c>
      <c r="AC293" s="55" t="str">
        <f>IF(AA293, IF(L293 = "", "", L293), "")</f>
        <v/>
      </c>
      <c r="AD293" s="55" t="str">
        <f>IF(AA293, K293, "")</f>
        <v/>
      </c>
    </row>
    <row r="294" spans="1:30" x14ac:dyDescent="0.25">
      <c r="A294" s="37" t="s">
        <v>21</v>
      </c>
      <c r="B294" s="49">
        <f t="shared" ref="B294" si="232">Q294</f>
        <v>8</v>
      </c>
      <c r="C294" s="36" t="str">
        <f t="shared" ref="C294" si="233">IF(L294="","",L294)</f>
        <v/>
      </c>
      <c r="D294" s="37" t="str">
        <f>_xlfn.CONCAT(K294, U294)</f>
        <v>chopped potatoes</v>
      </c>
      <c r="I294" s="51">
        <v>8</v>
      </c>
      <c r="J294" s="52"/>
      <c r="K294" s="52" t="s">
        <v>4</v>
      </c>
      <c r="L294" s="53"/>
      <c r="M294" s="44">
        <f t="shared" ref="M294" si="234">INDEX(itemGPerQty, MATCH(K294, itemNames, 0))</f>
        <v>0.22500000000000001</v>
      </c>
      <c r="N294" s="44">
        <f t="shared" ref="N294" si="235">INDEX(itemMlPerQty, MATCH(K294, itemNames, 0))</f>
        <v>0.33750000000000002</v>
      </c>
      <c r="O294" s="44">
        <f t="shared" ref="O294" si="236">IF(J294 = "", I294 * M294, IF(ISNA(CONVERT(I294, J294, "kg")), CONVERT(I294, J294, "l") * IF(N294 &lt;&gt; 0, M294 / N294, 0), CONVERT(I294, J294, "kg")))</f>
        <v>1.8</v>
      </c>
      <c r="P294" s="44">
        <f t="shared" ref="P294" si="237">IF(J294 = "", I294 * N294, IF(ISNA(CONVERT(I294, J294, "l")), CONVERT(I294, J294, "kg") * IF(M294 &lt;&gt; 0, N294 / M294, 0), CONVERT(I294, J294, "l")))</f>
        <v>2.7</v>
      </c>
      <c r="Q294" s="44">
        <f>MROUND(IF(AND(J294 = "", L294 = ""), I294 * recipe12DayScale, IF(ISNA(CONVERT(O294, "kg", L294)), CONVERT(P294 * recipe12DayScale, "l", L294), CONVERT(O294 * recipe12DayScale, "kg", L294))), roundTo)</f>
        <v>8</v>
      </c>
      <c r="R294" s="44">
        <f>recipe12TotScale * IF(L294 = "", Q294 * M294, IF(ISNA(CONVERT(Q294, L294, "kg")), CONVERT(Q294, L294, "l") * IF(N294 &lt;&gt; 0, M294 / N294, 0), CONVERT(Q294, L294, "kg")))</f>
        <v>1.8</v>
      </c>
      <c r="S294" s="44">
        <f>recipe12TotScale * IF(R294 = 0, IF(L294 = "", Q294 * N294, IF(ISNA(CONVERT(Q294, L294, "l")), CONVERT(Q294, L294, "kg") * IF(M294 &lt;&gt; 0, N294 / M294, 0), CONVERT(Q294, L294, "l"))), 0)</f>
        <v>0</v>
      </c>
      <c r="T294" s="44">
        <f>recipe12TotScale * IF(AND(R294 = 0, S294 = 0, J294 = "", L294 = ""), Q294, 0)</f>
        <v>0</v>
      </c>
      <c r="V294" s="41" t="b">
        <f>INDEX(itemPrepMethods, MATCH(K294, itemNames, 0))="chop"</f>
        <v>1</v>
      </c>
      <c r="W294" s="54">
        <f>IF(V294, Q294, "")</f>
        <v>8</v>
      </c>
      <c r="X294" s="55" t="str">
        <f>IF(V294, IF(L294 = "", "", L294), "")</f>
        <v/>
      </c>
      <c r="Y294" s="55" t="str">
        <f>IF(V294, K294, "")</f>
        <v>chopped potatoes</v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115"/>
      <c r="B295" s="115"/>
      <c r="C295" s="115"/>
      <c r="D295" s="115"/>
      <c r="I295" s="44"/>
      <c r="W295" s="71"/>
      <c r="X295" s="72"/>
      <c r="Y295" s="72"/>
      <c r="Z295" s="73"/>
      <c r="AA295" s="64"/>
      <c r="AB295" s="71"/>
      <c r="AC295" s="71"/>
      <c r="AD295" s="71"/>
    </row>
    <row r="296" spans="1:30" x14ac:dyDescent="0.25">
      <c r="A296" s="115" t="s">
        <v>278</v>
      </c>
      <c r="B296" s="115"/>
      <c r="C296" s="115"/>
      <c r="D296" s="115"/>
      <c r="E296" s="40"/>
      <c r="F296" s="57"/>
      <c r="G296" s="57"/>
      <c r="H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37" t="s">
        <v>21</v>
      </c>
      <c r="B297" s="49">
        <f t="shared" ref="B297:B298" si="238">Q297</f>
        <v>4</v>
      </c>
      <c r="C297" s="36" t="str">
        <f t="shared" ref="C297:C298" si="239">IF(L297="","",L297)</f>
        <v/>
      </c>
      <c r="D297" s="37" t="str">
        <f>_xlfn.CONCAT(K297, U297)</f>
        <v>diced carrots</v>
      </c>
      <c r="I297" s="51">
        <v>4</v>
      </c>
      <c r="J297" s="52"/>
      <c r="K297" s="52" t="s">
        <v>96</v>
      </c>
      <c r="L297" s="53"/>
      <c r="M297" s="44">
        <f t="shared" ref="M297:M298" si="240">INDEX(itemGPerQty, MATCH(K297, itemNames, 0))</f>
        <v>0</v>
      </c>
      <c r="N297" s="44">
        <f t="shared" ref="N297:N298" si="241">INDEX(itemMlPerQty, MATCH(K297, itemNames, 0))</f>
        <v>0</v>
      </c>
      <c r="O297" s="44">
        <f t="shared" ref="O297:O298" si="242">IF(J297 = "", I297 * M297, IF(ISNA(CONVERT(I297, J297, "kg")), CONVERT(I297, J297, "l") * IF(N297 &lt;&gt; 0, M297 / N297, 0), CONVERT(I297, J297, "kg")))</f>
        <v>0</v>
      </c>
      <c r="P297" s="44">
        <f t="shared" ref="P297:P298" si="243">IF(J297 = "", I297 * N297, IF(ISNA(CONVERT(I297, J297, "l")), CONVERT(I297, J297, "kg") * IF(M297 &lt;&gt; 0, N297 / M297, 0), CONVERT(I297, J297, "l")))</f>
        <v>0</v>
      </c>
      <c r="Q297" s="44">
        <f>MROUND(IF(AND(J297 = "", L297 = ""), I297 * recipe12DayScale, IF(ISNA(CONVERT(O297, "kg", L297)), CONVERT(P297 * recipe12DayScale, "l", L297), CONVERT(O297 * recipe12DayScale, "kg", L297))), roundTo)</f>
        <v>4</v>
      </c>
      <c r="R297" s="44">
        <f>recipe12TotScale * IF(L297 = "", Q297 * M297, IF(ISNA(CONVERT(Q297, L297, "kg")), CONVERT(Q297, L297, "l") * IF(N297 &lt;&gt; 0, M297 / N297, 0), CONVERT(Q297, L297, "kg")))</f>
        <v>0</v>
      </c>
      <c r="S297" s="44">
        <f>recipe12TotScale * IF(R297 = 0, IF(L297 = "", Q297 * N297, IF(ISNA(CONVERT(Q297, L297, "l")), CONVERT(Q297, L297, "kg") * IF(M297 &lt;&gt; 0, N297 / M297, 0), CONVERT(Q297, L297, "l"))), 0)</f>
        <v>0</v>
      </c>
      <c r="T297" s="44">
        <f>recipe12TotScale * IF(AND(R297 = 0, S297 = 0, J297 = "", L297 = ""), Q297, 0)</f>
        <v>4</v>
      </c>
      <c r="V297" s="41" t="b">
        <f>INDEX(itemPrepMethods, MATCH(K297, itemNames, 0))="chop"</f>
        <v>1</v>
      </c>
      <c r="W297" s="54">
        <f>IF(V297, Q297, "")</f>
        <v>4</v>
      </c>
      <c r="X297" s="55" t="str">
        <f>IF(V297, IF(L297 = "", "", L297), "")</f>
        <v/>
      </c>
      <c r="Y297" s="55" t="str">
        <f>IF(V297, K297, "")</f>
        <v>diced carrots</v>
      </c>
      <c r="Z297" s="56"/>
      <c r="AA297" s="41" t="b">
        <f>INDEX(itemPrepMethods, MATCH(K297, itemNames, 0))="soak"</f>
        <v>0</v>
      </c>
      <c r="AB297" s="55" t="str">
        <f>IF(AA297, Q297, "")</f>
        <v/>
      </c>
      <c r="AC297" s="55" t="str">
        <f>IF(AA297, IF(L297 = "", "", L297), "")</f>
        <v/>
      </c>
      <c r="AD297" s="55" t="str">
        <f>IF(AA297, K297, "")</f>
        <v/>
      </c>
    </row>
    <row r="298" spans="1:30" x14ac:dyDescent="0.25">
      <c r="A298" s="37" t="s">
        <v>21</v>
      </c>
      <c r="B298" s="49">
        <f t="shared" si="238"/>
        <v>4</v>
      </c>
      <c r="C298" s="36" t="str">
        <f t="shared" si="239"/>
        <v/>
      </c>
      <c r="D298" s="37" t="str">
        <f>_xlfn.CONCAT(K298, U298)</f>
        <v>diced celery stalks</v>
      </c>
      <c r="I298" s="51">
        <v>4</v>
      </c>
      <c r="J298" s="52"/>
      <c r="K298" s="52" t="s">
        <v>97</v>
      </c>
      <c r="L298" s="53"/>
      <c r="M298" s="44">
        <f t="shared" si="240"/>
        <v>0</v>
      </c>
      <c r="N298" s="44">
        <f t="shared" si="241"/>
        <v>0</v>
      </c>
      <c r="O298" s="44">
        <f t="shared" si="242"/>
        <v>0</v>
      </c>
      <c r="P298" s="44">
        <f t="shared" si="243"/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celery stalks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ref="B299" si="244">Q299</f>
        <v>1</v>
      </c>
      <c r="C299" s="36" t="str">
        <f t="shared" ref="C299" si="245">IF(L299="","",L299)</f>
        <v>tbs</v>
      </c>
      <c r="D299" s="37" t="str">
        <f>_xlfn.CONCAT(K299, U299)</f>
        <v>dried sage</v>
      </c>
      <c r="I299" s="51">
        <v>1</v>
      </c>
      <c r="J299" s="52" t="s">
        <v>15</v>
      </c>
      <c r="K299" s="52" t="s">
        <v>279</v>
      </c>
      <c r="L299" s="53" t="s">
        <v>15</v>
      </c>
      <c r="M299" s="44">
        <f t="shared" ref="M299" si="246">INDEX(itemGPerQty, MATCH(K299, itemNames, 0))</f>
        <v>0</v>
      </c>
      <c r="N299" s="44">
        <f t="shared" ref="N299" si="247">INDEX(itemMlPerQty, MATCH(K299, itemNames, 0))</f>
        <v>0</v>
      </c>
      <c r="O299" s="44">
        <f t="shared" ref="O299" si="248">IF(J299 = "", I299 * M299, IF(ISNA(CONVERT(I299, J299, "kg")), CONVERT(I299, J299, "l") * IF(N299 &lt;&gt; 0, M299 / N299, 0), CONVERT(I299, J299, "kg")))</f>
        <v>0</v>
      </c>
      <c r="P299" s="44">
        <f t="shared" ref="P299" si="249">IF(J299 = "", I299 * N299, IF(ISNA(CONVERT(I299, J299, "l")), CONVERT(I299, J299, "kg") * IF(M299 &lt;&gt; 0, N299 / M299, 0), CONVERT(I299, J299, "l")))</f>
        <v>1.478676478125E-2</v>
      </c>
      <c r="Q299" s="44">
        <f>MROUND(IF(AND(J299 = "", L299 = ""), I299 * recipe12DayScale, IF(ISNA(CONVERT(O299, "kg", L299)), CONVERT(P299 * recipe12DayScale, "l", L299), CONVERT(O299 * recipe12DayScale, "kg", L299))), roundTo)</f>
        <v>1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1.478676478125E-2</v>
      </c>
      <c r="T299" s="44">
        <f>recipe12TotScale * IF(AND(R299 = 0, S299 = 0, J299 = "", L299 = ""), Q299, 0)</f>
        <v>0</v>
      </c>
      <c r="V299" s="41" t="b">
        <f>INDEX(itemPrepMethods, MATCH(K299, itemNames, 0))="chop"</f>
        <v>0</v>
      </c>
      <c r="W299" s="54" t="str">
        <f>IF(V299, Q299, "")</f>
        <v/>
      </c>
      <c r="X299" s="55" t="str">
        <f>IF(V299, IF(L299 = "", "", L299), "")</f>
        <v/>
      </c>
      <c r="Y299" s="55" t="str">
        <f>IF(V299, K299, "")</f>
        <v/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115"/>
      <c r="B300" s="115"/>
      <c r="C300" s="115"/>
      <c r="D300" s="115"/>
      <c r="I300" s="44"/>
      <c r="W300" s="71"/>
      <c r="X300" s="72"/>
      <c r="Y300" s="72"/>
      <c r="Z300" s="73"/>
      <c r="AA300" s="64"/>
      <c r="AB300" s="71"/>
      <c r="AC300" s="71"/>
      <c r="AD300" s="71"/>
    </row>
    <row r="301" spans="1:30" x14ac:dyDescent="0.25">
      <c r="A301" s="115" t="s">
        <v>283</v>
      </c>
      <c r="B301" s="115"/>
      <c r="C301" s="115"/>
      <c r="D301" s="115"/>
      <c r="E301" s="40"/>
      <c r="F301" s="57"/>
      <c r="G301" s="57"/>
      <c r="H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37" t="s">
        <v>21</v>
      </c>
      <c r="B302" s="49">
        <f t="shared" ref="B302" si="250">Q302</f>
        <v>4</v>
      </c>
      <c r="C302" s="36" t="str">
        <f t="shared" ref="C302" si="251">IF(L302="","",L302)</f>
        <v>cup</v>
      </c>
      <c r="D302" s="62" t="str">
        <f>_xlfn.CONCAT(K302, U302)</f>
        <v>tinned pasta sauce</v>
      </c>
      <c r="I302" s="51">
        <v>4</v>
      </c>
      <c r="J302" s="52" t="s">
        <v>16</v>
      </c>
      <c r="K302" s="52" t="s">
        <v>450</v>
      </c>
      <c r="L302" s="53" t="s">
        <v>16</v>
      </c>
      <c r="M302" s="44">
        <f t="shared" ref="M302" si="252">INDEX(itemGPerQty, MATCH(K302, itemNames, 0))</f>
        <v>0</v>
      </c>
      <c r="N302" s="44">
        <f t="shared" ref="N302" si="253">INDEX(itemMlPerQty, MATCH(K302, itemNames, 0))</f>
        <v>0</v>
      </c>
      <c r="O302" s="44">
        <f t="shared" ref="O302" si="254">IF(J302 = "", I302 * M302, IF(ISNA(CONVERT(I302, J302, "kg")), CONVERT(I302, J302, "l") * IF(N302 &lt;&gt; 0, M302 / N302, 0), CONVERT(I302, J302, "kg")))</f>
        <v>0</v>
      </c>
      <c r="P302" s="44">
        <f t="shared" ref="P302" si="255">IF(J302 = "", I302 * N302, IF(ISNA(CONVERT(I302, J302, "l")), CONVERT(I302, J302, "kg") * IF(M302 &lt;&gt; 0, N302 / M302, 0), CONVERT(I302, J302, "l")))</f>
        <v>0.94635294599999997</v>
      </c>
      <c r="Q302" s="44">
        <f>MROUND(IF(AND(J302 = "", L302 = ""), I302 * recipe12DayScale, IF(ISNA(CONVERT(O302, "kg", L302)), CONVERT(P302 * recipe12DayScale, "l", L302), CONVERT(O302 * recipe12DayScale, "kg", L302))), roundTo)</f>
        <v>4</v>
      </c>
      <c r="R302" s="44">
        <f>recipe12TotScale * IF(L302 = "", Q302 * M302, IF(ISNA(CONVERT(Q302, L302, "kg")), CONVERT(Q302, L302, "l") * IF(N302 &lt;&gt; 0, M302 / N302, 0), CONVERT(Q302, L302, "kg")))</f>
        <v>0</v>
      </c>
      <c r="S302" s="44">
        <f>recipe12TotScale * IF(R302 = 0, IF(L302 = "", Q302 * N302, IF(ISNA(CONVERT(Q302, L302, "l")), CONVERT(Q302, L302, "kg") * IF(M302 &lt;&gt; 0, N302 / M302, 0), CONVERT(Q302, L302, "l"))), 0)</f>
        <v>0.94635294599999997</v>
      </c>
      <c r="T302" s="44">
        <f>recipe12TotScale * IF(AND(R302 = 0, S302 = 0, J302 = "", L302 = ""), Q302, 0)</f>
        <v>0</v>
      </c>
      <c r="V302" s="41" t="b">
        <f>INDEX(itemPrepMethods, MATCH(K302, itemNames, 0))="chop"</f>
        <v>0</v>
      </c>
      <c r="W302" s="54" t="str">
        <f>IF(V302, Q302, "")</f>
        <v/>
      </c>
      <c r="X302" s="55" t="str">
        <f>IF(V302, IF(L302 = "", "", L302), "")</f>
        <v/>
      </c>
      <c r="Y302" s="55" t="str">
        <f>IF(V302, K302, "")</f>
        <v/>
      </c>
      <c r="Z302" s="56"/>
      <c r="AA302" s="41" t="b">
        <f>INDEX(itemPrepMethods, MATCH(K302, itemNames, 0))="soak"</f>
        <v>0</v>
      </c>
      <c r="AB302" s="55" t="str">
        <f>IF(AA302, Q302, "")</f>
        <v/>
      </c>
      <c r="AC302" s="55" t="str">
        <f>IF(AA302, IF(L302 = "", "", L302), "")</f>
        <v/>
      </c>
      <c r="AD302" s="55" t="str">
        <f>IF(AA302, K302, "")</f>
        <v/>
      </c>
    </row>
    <row r="303" spans="1:30" x14ac:dyDescent="0.25">
      <c r="A303" s="115"/>
      <c r="B303" s="115"/>
      <c r="C303" s="115"/>
      <c r="D303" s="115"/>
      <c r="I303" s="44"/>
      <c r="W303" s="71"/>
      <c r="X303" s="72"/>
      <c r="Y303" s="72"/>
      <c r="Z303" s="73"/>
      <c r="AA303" s="64"/>
      <c r="AB303" s="71"/>
      <c r="AC303" s="71"/>
      <c r="AD303" s="71"/>
    </row>
    <row r="304" spans="1:30" x14ac:dyDescent="0.25">
      <c r="A304" s="115" t="s">
        <v>280</v>
      </c>
      <c r="B304" s="115"/>
      <c r="C304" s="115"/>
      <c r="D304" s="115"/>
      <c r="E304" s="40"/>
      <c r="F304" s="57"/>
      <c r="G304" s="57"/>
      <c r="H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15"/>
      <c r="B305" s="115"/>
      <c r="C305" s="115"/>
      <c r="D305" s="115"/>
      <c r="I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21" t="s">
        <v>281</v>
      </c>
      <c r="B306" s="121"/>
      <c r="C306" s="121"/>
      <c r="D306" s="121"/>
      <c r="E306" s="40"/>
      <c r="F306" s="57"/>
      <c r="G306" s="57"/>
      <c r="H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15"/>
      <c r="B307" s="115"/>
      <c r="C307" s="115"/>
      <c r="D307" s="115"/>
      <c r="I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15" t="s">
        <v>282</v>
      </c>
      <c r="B308" s="115"/>
      <c r="C308" s="115"/>
      <c r="D308" s="115"/>
      <c r="E308" s="40"/>
      <c r="F308" s="57"/>
      <c r="G308" s="57"/>
      <c r="H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15"/>
      <c r="B309" s="115"/>
      <c r="C309" s="115"/>
      <c r="D309" s="115"/>
      <c r="I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15" t="s">
        <v>102</v>
      </c>
      <c r="B310" s="115"/>
      <c r="C310" s="115"/>
      <c r="D310" s="115"/>
      <c r="E310" s="40"/>
      <c r="F310" s="57"/>
      <c r="G310" s="57"/>
      <c r="H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37" t="s">
        <v>21</v>
      </c>
      <c r="B311" s="49">
        <f t="shared" ref="B311" si="256">Q311</f>
        <v>2</v>
      </c>
      <c r="C311" s="36" t="str">
        <f t="shared" ref="C311" si="257">IF(L311="","",L311)</f>
        <v>tbs</v>
      </c>
      <c r="D311" s="62" t="str">
        <f>_xlfn.CONCAT(K311, U311)</f>
        <v>sweet chili sauce</v>
      </c>
      <c r="I311" s="51">
        <v>2</v>
      </c>
      <c r="J311" s="52" t="s">
        <v>15</v>
      </c>
      <c r="K311" s="52" t="s">
        <v>284</v>
      </c>
      <c r="L311" s="53" t="s">
        <v>15</v>
      </c>
      <c r="M311" s="44">
        <f t="shared" ref="M311" si="258">INDEX(itemGPerQty, MATCH(K311, itemNames, 0))</f>
        <v>0</v>
      </c>
      <c r="N311" s="44">
        <f t="shared" ref="N311" si="259">INDEX(itemMlPerQty, MATCH(K311, itemNames, 0))</f>
        <v>0</v>
      </c>
      <c r="O311" s="44">
        <f t="shared" ref="O311" si="260">IF(J311 = "", I311 * M311, IF(ISNA(CONVERT(I311, J311, "kg")), CONVERT(I311, J311, "l") * IF(N311 &lt;&gt; 0, M311 / N311, 0), CONVERT(I311, J311, "kg")))</f>
        <v>0</v>
      </c>
      <c r="P311" s="44">
        <f t="shared" ref="P311" si="261">IF(J311 = "", I311 * N311, IF(ISNA(CONVERT(I311, J311, "l")), CONVERT(I311, J311, "kg") * IF(M311 &lt;&gt; 0, N311 / M311, 0), CONVERT(I311, J311, "l")))</f>
        <v>2.9573529562499999E-2</v>
      </c>
      <c r="Q311" s="44">
        <f>MROUND(IF(AND(J311 = "", L311 = ""), I311 * recipe12DayScale, IF(ISNA(CONVERT(O311, "kg", L311)), CONVERT(P311 * recipe12DayScale, "l", L311), CONVERT(O311 * recipe12DayScale, "kg", L311))), roundTo)</f>
        <v>2</v>
      </c>
      <c r="R311" s="44">
        <f>recipe12TotScale * IF(L311 = "", Q311 * M311, IF(ISNA(CONVERT(Q311, L311, "kg")), CONVERT(Q311, L311, "l") * IF(N311 &lt;&gt; 0, M311 / N311, 0), CONVERT(Q311, L311, "kg")))</f>
        <v>0</v>
      </c>
      <c r="S311" s="44">
        <f>recipe12TotScale * IF(R311 = 0, IF(L311 = "", Q311 * N311, IF(ISNA(CONVERT(Q311, L311, "l")), CONVERT(Q311, L311, "kg") * IF(M311 &lt;&gt; 0, N311 / M311, 0), CONVERT(Q311, L311, "l"))), 0)</f>
        <v>2.9573529562499999E-2</v>
      </c>
      <c r="T311" s="44">
        <f>recipe12TotScale * IF(AND(R311 = 0, S311 = 0, J311 = "", L311 = ""), Q311, 0)</f>
        <v>0</v>
      </c>
      <c r="V311" s="41" t="b">
        <f>INDEX(itemPrepMethods, MATCH(K311, itemNames, 0))="chop"</f>
        <v>0</v>
      </c>
      <c r="W311" s="54" t="str">
        <f>IF(V311, Q311, "")</f>
        <v/>
      </c>
      <c r="X311" s="55" t="str">
        <f>IF(V311, IF(L311 = "", "", L311), "")</f>
        <v/>
      </c>
      <c r="Y311" s="55" t="str">
        <f>IF(V311, K311, "")</f>
        <v/>
      </c>
      <c r="Z311" s="56"/>
      <c r="AA311" s="41" t="b">
        <f>INDEX(itemPrepMethods, MATCH(K311, itemNames, 0))="soak"</f>
        <v>0</v>
      </c>
      <c r="AB311" s="55" t="str">
        <f>IF(AA311, Q311, "")</f>
        <v/>
      </c>
      <c r="AC311" s="55" t="str">
        <f>IF(AA311, IF(L311 = "", "", L311), "")</f>
        <v/>
      </c>
      <c r="AD311" s="55" t="str">
        <f>IF(AA311, K311, "")</f>
        <v/>
      </c>
    </row>
    <row r="312" spans="1:30" x14ac:dyDescent="0.25">
      <c r="A312" s="37" t="s">
        <v>21</v>
      </c>
      <c r="B312" s="49">
        <f t="shared" ref="B312:B313" si="262">Q312</f>
        <v>2</v>
      </c>
      <c r="C312" s="36" t="str">
        <f t="shared" ref="C312:C313" si="263">IF(L312="","",L312)</f>
        <v>tsp</v>
      </c>
      <c r="D312" s="37" t="str">
        <f>_xlfn.CONCAT(K312, U312)</f>
        <v>dijon mustard</v>
      </c>
      <c r="I312" s="51">
        <v>2</v>
      </c>
      <c r="J312" s="52" t="s">
        <v>13</v>
      </c>
      <c r="K312" s="52" t="s">
        <v>71</v>
      </c>
      <c r="L312" s="53" t="s">
        <v>13</v>
      </c>
      <c r="M312" s="44">
        <f t="shared" ref="M312:M313" si="264">INDEX(itemGPerQty, MATCH(K312, itemNames, 0))</f>
        <v>0</v>
      </c>
      <c r="N312" s="44">
        <f t="shared" ref="N312:N313" si="265">INDEX(itemMlPerQty, MATCH(K312, itemNames, 0))</f>
        <v>0</v>
      </c>
      <c r="O312" s="44">
        <f t="shared" ref="O312:O313" si="266">IF(J312 = "", I312 * M312, IF(ISNA(CONVERT(I312, J312, "kg")), CONVERT(I312, J312, "l") * IF(N312 &lt;&gt; 0, M312 / N312, 0), CONVERT(I312, J312, "kg")))</f>
        <v>0</v>
      </c>
      <c r="P312" s="44">
        <f t="shared" ref="P312:P313" si="267">IF(J312 = "", I312 * N312, IF(ISNA(CONVERT(I312, J312, "l")), CONVERT(I312, J312, "kg") * IF(M312 &lt;&gt; 0, N312 / M312, 0), CONVERT(I312, J312, "l")))</f>
        <v>9.8578431874999997E-3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9.8578431874999997E-3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si="262"/>
        <v>2</v>
      </c>
      <c r="C313" s="36" t="str">
        <f t="shared" si="263"/>
        <v>tsp</v>
      </c>
      <c r="D313" s="37" t="str">
        <f>_xlfn.CONCAT(K313, U313)</f>
        <v>ground turmeric</v>
      </c>
      <c r="I313" s="51">
        <v>2</v>
      </c>
      <c r="J313" s="52" t="s">
        <v>13</v>
      </c>
      <c r="K313" s="52" t="s">
        <v>305</v>
      </c>
      <c r="L313" s="53" t="s">
        <v>13</v>
      </c>
      <c r="M313" s="44">
        <f t="shared" si="264"/>
        <v>1.4E-2</v>
      </c>
      <c r="N313" s="44">
        <f t="shared" si="265"/>
        <v>2.2180100000000001E-2</v>
      </c>
      <c r="O313" s="44">
        <f t="shared" si="266"/>
        <v>6.2222354554307691E-3</v>
      </c>
      <c r="P313" s="44">
        <f t="shared" si="267"/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6.2222354554307691E-3</v>
      </c>
      <c r="S313" s="44">
        <f>recipe12TotScale * IF(R313 = 0, IF(L313 = "", Q313 * N313, IF(ISNA(CONVERT(Q313, L313, "l")), CONVERT(Q313, L313, "kg") * IF(M313 &lt;&gt; 0, N313 / M313, 0), CONVERT(Q313, L313, "l"))), 0)</f>
        <v>0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ref="B314" si="268">Q314</f>
        <v>2</v>
      </c>
      <c r="C314" s="36" t="str">
        <f t="shared" ref="C314" si="269">IF(L314="","",L314)</f>
        <v>tsp</v>
      </c>
      <c r="D314" s="37" t="str">
        <f>_xlfn.CONCAT(K314, U314)</f>
        <v>salt</v>
      </c>
      <c r="I314" s="51">
        <v>2</v>
      </c>
      <c r="J314" s="52" t="s">
        <v>13</v>
      </c>
      <c r="K314" s="52" t="s">
        <v>11</v>
      </c>
      <c r="L314" s="53" t="s">
        <v>13</v>
      </c>
      <c r="M314" s="44">
        <f t="shared" ref="M314" si="270">INDEX(itemGPerQty, MATCH(K314, itemNames, 0))</f>
        <v>2.5000000000000001E-2</v>
      </c>
      <c r="N314" s="44">
        <f t="shared" ref="N314" si="271">INDEX(itemMlPerQty, MATCH(K314, itemNames, 0))</f>
        <v>2.2180100000000001E-2</v>
      </c>
      <c r="O314" s="44">
        <f t="shared" ref="O314" si="272">IF(J314 = "", I314 * M314, IF(ISNA(CONVERT(I314, J314, "kg")), CONVERT(I314, J314, "l") * IF(N314 &lt;&gt; 0, M314 / N314, 0), CONVERT(I314, J314, "kg")))</f>
        <v>1.111113474184066E-2</v>
      </c>
      <c r="P314" s="44">
        <f t="shared" ref="P314" si="273">IF(J314 = "", I314 * N314, IF(ISNA(CONVERT(I314, J314, "l")), CONVERT(I314, J314, "kg") * IF(M314 &lt;&gt; 0, N314 / M314, 0), CONVERT(I314, J314, "l")))</f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1.111113474184066E-2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74">Q315</f>
        <v>2</v>
      </c>
      <c r="C315" s="36" t="str">
        <f t="shared" ref="C315" si="275">IF(L315="","",L315)</f>
        <v>cup</v>
      </c>
      <c r="D315" s="37" t="str">
        <f>_xlfn.CONCAT(K315, U315)</f>
        <v>soymilk</v>
      </c>
      <c r="I315" s="51">
        <v>2</v>
      </c>
      <c r="J315" s="52" t="s">
        <v>16</v>
      </c>
      <c r="K315" s="52" t="s">
        <v>285</v>
      </c>
      <c r="L315" s="53" t="s">
        <v>16</v>
      </c>
      <c r="M315" s="44">
        <f t="shared" ref="M315" si="276">INDEX(itemGPerQty, MATCH(K315, itemNames, 0))</f>
        <v>0</v>
      </c>
      <c r="N315" s="44">
        <f t="shared" ref="N315" si="277">INDEX(itemMlPerQty, MATCH(K315, itemNames, 0))</f>
        <v>0</v>
      </c>
      <c r="O315" s="44">
        <f t="shared" ref="O315" si="278">IF(J315 = "", I315 * M315, IF(ISNA(CONVERT(I315, J315, "kg")), CONVERT(I315, J315, "l") * IF(N315 &lt;&gt; 0, M315 / N315, 0), CONVERT(I315, J315, "kg")))</f>
        <v>0</v>
      </c>
      <c r="P315" s="44">
        <f t="shared" ref="P315" si="279">IF(J315 = "", I315 * N315, IF(ISNA(CONVERT(I315, J315, "l")), CONVERT(I315, J315, "kg") * IF(M315 &lt;&gt; 0, N315 / M315, 0), CONVERT(I315, J315, "l")))</f>
        <v>0.47317647299999999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0</v>
      </c>
      <c r="S315" s="44">
        <f>recipe12TotScale * IF(R315 = 0, IF(L315 = "", Q315 * N315, IF(ISNA(CONVERT(Q315, L315, "l")), CONVERT(Q315, L315, "kg") * IF(M315 &lt;&gt; 0, N315 / M315, 0), CONVERT(Q315, L315, "l"))), 0)</f>
        <v>0.47317647299999999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115"/>
      <c r="B316" s="115"/>
      <c r="C316" s="115"/>
      <c r="D316" s="115"/>
      <c r="I316" s="44"/>
      <c r="W316" s="64"/>
      <c r="X316" s="64"/>
      <c r="Y316" s="64"/>
      <c r="Z316" s="64"/>
      <c r="AA316" s="64"/>
      <c r="AB316" s="64"/>
      <c r="AC316" s="64"/>
      <c r="AD316" s="64"/>
    </row>
    <row r="317" spans="1:30" x14ac:dyDescent="0.25">
      <c r="A317" s="115" t="s">
        <v>286</v>
      </c>
      <c r="B317" s="115"/>
      <c r="C317" s="115"/>
      <c r="D317" s="115"/>
      <c r="E317" s="40"/>
      <c r="F317" s="57"/>
      <c r="G317" s="57"/>
      <c r="H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15"/>
      <c r="B318" s="115"/>
      <c r="C318" s="115"/>
      <c r="D318" s="115"/>
      <c r="I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15" t="s">
        <v>287</v>
      </c>
      <c r="B319" s="115"/>
      <c r="C319" s="115"/>
      <c r="D319" s="115"/>
      <c r="E319" s="40"/>
      <c r="F319" s="57"/>
      <c r="G319" s="57"/>
      <c r="H319" s="44"/>
    </row>
    <row r="320" spans="1:30" ht="15.75" x14ac:dyDescent="0.25">
      <c r="A320" s="116" t="s">
        <v>34</v>
      </c>
      <c r="B320" s="116"/>
      <c r="C320" s="116"/>
      <c r="D320" s="116"/>
      <c r="E320" s="40" t="s">
        <v>133</v>
      </c>
      <c r="F320" s="100" t="s">
        <v>146</v>
      </c>
      <c r="G320" s="100"/>
    </row>
    <row r="321" spans="1:30" ht="24" x14ac:dyDescent="0.2">
      <c r="A321" s="116" t="s">
        <v>41</v>
      </c>
      <c r="B321" s="116"/>
      <c r="C321" s="116"/>
      <c r="D321" s="116"/>
      <c r="E321" s="39" t="s">
        <v>53</v>
      </c>
      <c r="F321" s="87">
        <v>15</v>
      </c>
      <c r="G321" s="44"/>
      <c r="I321" s="67" t="s">
        <v>434</v>
      </c>
      <c r="J321" s="68" t="s">
        <v>435</v>
      </c>
      <c r="K321" s="68" t="s">
        <v>17</v>
      </c>
      <c r="L321" s="69" t="s">
        <v>438</v>
      </c>
      <c r="M321" s="67" t="s">
        <v>141</v>
      </c>
      <c r="N321" s="67" t="s">
        <v>142</v>
      </c>
      <c r="O321" s="67" t="s">
        <v>436</v>
      </c>
      <c r="P321" s="67" t="s">
        <v>437</v>
      </c>
      <c r="Q321" s="68" t="s">
        <v>353</v>
      </c>
      <c r="R321" s="67" t="s">
        <v>354</v>
      </c>
      <c r="S321" s="67" t="s">
        <v>355</v>
      </c>
      <c r="T321" s="67" t="s">
        <v>356</v>
      </c>
      <c r="U321" s="68" t="s">
        <v>22</v>
      </c>
      <c r="V321" s="68" t="s">
        <v>202</v>
      </c>
      <c r="W321" s="70" t="s">
        <v>353</v>
      </c>
      <c r="X321" s="68" t="s">
        <v>200</v>
      </c>
      <c r="Y321" s="68" t="s">
        <v>201</v>
      </c>
      <c r="Z321" s="68" t="s">
        <v>302</v>
      </c>
      <c r="AA321" s="68" t="s">
        <v>203</v>
      </c>
      <c r="AB321" s="70" t="s">
        <v>353</v>
      </c>
      <c r="AC321" s="68" t="s">
        <v>204</v>
      </c>
      <c r="AD321" s="68" t="s">
        <v>205</v>
      </c>
    </row>
    <row r="322" spans="1:30" ht="13.5" thickBot="1" x14ac:dyDescent="0.3">
      <c r="A322" s="117" t="str">
        <f>_xlfn.CONCAT(F322," servings")</f>
        <v>10 servings</v>
      </c>
      <c r="B322" s="117"/>
      <c r="C322" s="117"/>
      <c r="D322" s="117"/>
      <c r="E322" s="63" t="s">
        <v>348</v>
      </c>
      <c r="F322" s="87">
        <f>weDiCount</f>
        <v>10</v>
      </c>
      <c r="G322" s="44"/>
      <c r="I322" s="60"/>
      <c r="J322" s="39"/>
      <c r="K322" s="39"/>
      <c r="L322" s="61"/>
      <c r="M322" s="60"/>
      <c r="N322" s="60"/>
      <c r="O322" s="60"/>
      <c r="P322" s="60"/>
      <c r="Q322" s="39"/>
      <c r="R322" s="60"/>
      <c r="S322" s="60"/>
      <c r="T322" s="60"/>
      <c r="U322" s="39"/>
    </row>
    <row r="323" spans="1:30" s="102" customFormat="1" ht="15.75" thickBot="1" x14ac:dyDescent="0.3">
      <c r="A323" s="115"/>
      <c r="B323" s="115"/>
      <c r="C323" s="115"/>
      <c r="D323" s="115"/>
      <c r="E323" s="63" t="s">
        <v>351</v>
      </c>
      <c r="F323" s="47">
        <f>F322/F321</f>
        <v>0.66666666666666663</v>
      </c>
      <c r="G323" s="48" t="s">
        <v>377</v>
      </c>
      <c r="I323" s="60"/>
      <c r="J323" s="100"/>
      <c r="K323" s="100"/>
      <c r="L323" s="61"/>
      <c r="M323" s="60"/>
      <c r="N323" s="60"/>
      <c r="O323" s="60"/>
      <c r="P323" s="60"/>
      <c r="Q323" s="100"/>
      <c r="R323" s="60"/>
      <c r="S323" s="60"/>
      <c r="T323" s="60"/>
      <c r="U323" s="100"/>
      <c r="W323" s="45"/>
      <c r="Z323" s="46"/>
    </row>
    <row r="324" spans="1:30" x14ac:dyDescent="0.25">
      <c r="A324" s="115" t="s">
        <v>160</v>
      </c>
      <c r="B324" s="115"/>
      <c r="C324" s="115"/>
      <c r="D324" s="115"/>
      <c r="E324" s="64"/>
      <c r="F324" s="64"/>
      <c r="G324" s="64"/>
      <c r="I324" s="44"/>
    </row>
    <row r="325" spans="1:30" ht="15.75" thickBot="1" x14ac:dyDescent="0.3">
      <c r="A325" s="115"/>
      <c r="B325" s="115"/>
      <c r="C325" s="115"/>
      <c r="D325" s="115"/>
      <c r="E325" s="63" t="s">
        <v>327</v>
      </c>
      <c r="F325" s="87">
        <f>weDiCount</f>
        <v>10</v>
      </c>
      <c r="G325" s="64"/>
      <c r="I325" s="44"/>
    </row>
    <row r="326" spans="1:30" ht="15.75" thickBot="1" x14ac:dyDescent="0.3">
      <c r="A326" s="115" t="s">
        <v>288</v>
      </c>
      <c r="B326" s="115"/>
      <c r="C326" s="115"/>
      <c r="D326" s="115"/>
      <c r="E326" s="63" t="s">
        <v>352</v>
      </c>
      <c r="F326" s="47">
        <f>F325/F322</f>
        <v>1</v>
      </c>
      <c r="G326" s="48" t="s">
        <v>378</v>
      </c>
      <c r="I326" s="44"/>
    </row>
    <row r="327" spans="1:30" x14ac:dyDescent="0.25">
      <c r="A327" s="37" t="s">
        <v>21</v>
      </c>
      <c r="B327" s="49">
        <f>Q327</f>
        <v>6</v>
      </c>
      <c r="C327" s="36" t="str">
        <f>IF(L327="","",L327)</f>
        <v/>
      </c>
      <c r="D327" s="37" t="str">
        <f>_xlfn.CONCAT(K327, U327)</f>
        <v>garlic cloves. Remove from oil once cooked</v>
      </c>
      <c r="I327" s="59">
        <v>9</v>
      </c>
      <c r="J327" s="52"/>
      <c r="K327" s="52" t="s">
        <v>8</v>
      </c>
      <c r="L327" s="53"/>
      <c r="M327" s="44">
        <f>INDEX(itemGPerQty, MATCH(K327, itemNames, 0))</f>
        <v>0</v>
      </c>
      <c r="N327" s="44">
        <f>INDEX(itemMlPerQty, MATCH(K327, itemNames, 0))</f>
        <v>0</v>
      </c>
      <c r="O327" s="44">
        <f>IF(J327 = "", I327 * M327, IF(ISNA(CONVERT(I327, J327, "kg")), CONVERT(I327, J327, "l") * IF(N327 &lt;&gt; 0, M327 / N327, 0), CONVERT(I327, J327, "kg")))</f>
        <v>0</v>
      </c>
      <c r="P327" s="44">
        <f>IF(J327 = "", I327 * N327, IF(ISNA(CONVERT(I327, J327, "l")), CONVERT(I327, J327, "kg") * IF(M327 &lt;&gt; 0, N327 / M327, 0), CONVERT(I327, J327, "l")))</f>
        <v>0</v>
      </c>
      <c r="Q327" s="44">
        <f>MROUND(IF(AND(J327 = "", L327 = ""), I327 * recipe09DayScale, IF(ISNA(CONVERT(O327, "kg", L327)), CONVERT(P327 * recipe09DayScale, "l", L327), CONVERT(O327 * recipe09DayScale, "kg", L327))), roundTo)</f>
        <v>6</v>
      </c>
      <c r="R327" s="44">
        <f>recipe09TotScale * IF(L327 = "", Q327 * M327, IF(ISNA(CONVERT(Q327, L327, "kg")), CONVERT(Q327, L327, "l") * IF(N327 &lt;&gt; 0, M327 / N327, 0), CONVERT(Q327, L327, "kg")))</f>
        <v>0</v>
      </c>
      <c r="S327" s="44">
        <f>recipe09TotScale * IF(R327 = 0, IF(L327 = "", Q327 * N327, IF(ISNA(CONVERT(Q327, L327, "l")), CONVERT(Q327, L327, "kg") * IF(M327 &lt;&gt; 0, N327 / M327, 0), CONVERT(Q327, L327, "l"))), 0)</f>
        <v>0</v>
      </c>
      <c r="T327" s="44">
        <f>recipe09TotScale * IF(AND(R327 = 0, S327 = 0, J327 = "", L327 = ""), Q327, 0)</f>
        <v>6</v>
      </c>
      <c r="U327" s="41" t="s">
        <v>233</v>
      </c>
      <c r="V327" s="41" t="b">
        <f>INDEX(itemPrepMethods, MATCH(K327, itemNames, 0))="chop"</f>
        <v>0</v>
      </c>
      <c r="W327" s="54" t="str">
        <f>IF(V327, Q327, "")</f>
        <v/>
      </c>
      <c r="X327" s="55" t="str">
        <f>IF(V327, IF(L327 = "", "", L327), "")</f>
        <v/>
      </c>
      <c r="Y327" s="55" t="str">
        <f>IF(V327, K327, "")</f>
        <v/>
      </c>
      <c r="Z327" s="56"/>
      <c r="AA327" s="41" t="b">
        <f>INDEX(itemPrepMethods, MATCH(K327, itemNames, 0))="soak"</f>
        <v>0</v>
      </c>
      <c r="AB327" s="55" t="str">
        <f>IF(AA327, Q327, "")</f>
        <v/>
      </c>
      <c r="AC327" s="55" t="str">
        <f>IF(AA327, IF(L327 = "", "", L327), "")</f>
        <v/>
      </c>
      <c r="AD327" s="55" t="str">
        <f>IF(AA327, K327, "")</f>
        <v/>
      </c>
    </row>
    <row r="328" spans="1:30" x14ac:dyDescent="0.25">
      <c r="A328" s="115"/>
      <c r="B328" s="115"/>
      <c r="C328" s="115"/>
      <c r="D328" s="115"/>
      <c r="E328" s="39"/>
      <c r="F328" s="44"/>
      <c r="G328" s="44"/>
      <c r="I328" s="44"/>
      <c r="W328" s="71"/>
      <c r="X328" s="72"/>
      <c r="Y328" s="72"/>
      <c r="Z328" s="73"/>
      <c r="AA328" s="64"/>
      <c r="AB328" s="71"/>
      <c r="AC328" s="71"/>
      <c r="AD328" s="71"/>
    </row>
    <row r="329" spans="1:30" x14ac:dyDescent="0.25">
      <c r="A329" s="115" t="s">
        <v>289</v>
      </c>
      <c r="B329" s="115"/>
      <c r="C329" s="115"/>
      <c r="D329" s="115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37" t="s">
        <v>21</v>
      </c>
      <c r="B330" s="49">
        <f t="shared" ref="B330:B334" si="280">Q330</f>
        <v>5.25</v>
      </c>
      <c r="C330" s="36" t="str">
        <f t="shared" ref="C330:C337" si="281">IF(L330="","",L330)</f>
        <v>tbs</v>
      </c>
      <c r="D330" s="37" t="str">
        <f t="shared" ref="D330:D337" si="282">_xlfn.CONCAT(K330, U330)</f>
        <v>oil</v>
      </c>
      <c r="I330" s="59">
        <v>8</v>
      </c>
      <c r="J330" s="52" t="s">
        <v>15</v>
      </c>
      <c r="K330" s="52" t="s">
        <v>46</v>
      </c>
      <c r="L330" s="53" t="s">
        <v>15</v>
      </c>
      <c r="M330" s="44">
        <f t="shared" ref="M330:M337" si="283">INDEX(itemGPerQty, MATCH(K330, itemNames, 0))</f>
        <v>0</v>
      </c>
      <c r="N330" s="44">
        <f t="shared" ref="N330:N337" si="284">INDEX(itemMlPerQty, MATCH(K330, itemNames, 0))</f>
        <v>0</v>
      </c>
      <c r="O330" s="44">
        <f t="shared" ref="O330:O337" si="285">IF(J330 = "", I330 * M330, IF(ISNA(CONVERT(I330, J330, "kg")), CONVERT(I330, J330, "l") * IF(N330 &lt;&gt; 0, M330 / N330, 0), CONVERT(I330, J330, "kg")))</f>
        <v>0</v>
      </c>
      <c r="P330" s="44">
        <f t="shared" ref="P330:P337" si="286">IF(J330 = "", I330 * N330, IF(ISNA(CONVERT(I330, J330, "l")), CONVERT(I330, J330, "kg") * IF(M330 &lt;&gt; 0, N330 / M330, 0), CONVERT(I330, J330, "l")))</f>
        <v>0.11829411825</v>
      </c>
      <c r="Q330" s="44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4">
        <f t="shared" ref="R330:R337" si="288">recipe09TotScale * IF(L330 = "", Q330 * M330, IF(ISNA(CONVERT(Q330, L330, "kg")), CONVERT(Q330, L330, "l") * IF(N330 &lt;&gt; 0, M330 / N330, 0), CONVERT(Q330, L330, "kg")))</f>
        <v>0</v>
      </c>
      <c r="S330" s="44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4">
        <f t="shared" ref="T330:T337" si="290">recipe09TotScale * IF(AND(R330 = 0, S330 = 0, J330 = "", L330 = ""), Q330, 0)</f>
        <v>0</v>
      </c>
      <c r="V330" s="41" t="b">
        <f t="shared" ref="V330:V337" si="291">INDEX(itemPrepMethods, MATCH(K330, itemNames, 0))="chop"</f>
        <v>0</v>
      </c>
      <c r="W330" s="54" t="str">
        <f t="shared" ref="W330:W337" si="292">IF(V330, Q330, "")</f>
        <v/>
      </c>
      <c r="X330" s="55" t="str">
        <f t="shared" ref="X330:X337" si="293">IF(V330, IF(L330 = "", "", L330), "")</f>
        <v/>
      </c>
      <c r="Y330" s="55" t="str">
        <f t="shared" ref="Y330:Y337" si="294">IF(V330, K330, "")</f>
        <v/>
      </c>
      <c r="Z330" s="56"/>
      <c r="AA330" s="41" t="b">
        <f t="shared" ref="AA330:AA337" si="295">INDEX(itemPrepMethods, MATCH(K330, itemNames, 0))="soak"</f>
        <v>0</v>
      </c>
      <c r="AB330" s="55" t="str">
        <f t="shared" ref="AB330:AB337" si="296">IF(AA330, Q330, "")</f>
        <v/>
      </c>
      <c r="AC330" s="55" t="str">
        <f t="shared" ref="AC330:AC337" si="297">IF(AA330, IF(L330 = "", "", L330), "")</f>
        <v/>
      </c>
      <c r="AD330" s="55" t="str">
        <f t="shared" ref="AD330:AD337" si="298">IF(AA330, K330, "")</f>
        <v/>
      </c>
    </row>
    <row r="331" spans="1:30" x14ac:dyDescent="0.25">
      <c r="A331" s="37" t="s">
        <v>21</v>
      </c>
      <c r="B331" s="49">
        <f t="shared" si="280"/>
        <v>4</v>
      </c>
      <c r="C331" s="36" t="str">
        <f t="shared" si="281"/>
        <v>tbs</v>
      </c>
      <c r="D331" s="37" t="str">
        <f t="shared" si="282"/>
        <v>minced fresh ginger</v>
      </c>
      <c r="I331" s="59">
        <v>6</v>
      </c>
      <c r="J331" s="52" t="s">
        <v>15</v>
      </c>
      <c r="K331" s="52" t="s">
        <v>221</v>
      </c>
      <c r="L331" s="53" t="s">
        <v>15</v>
      </c>
      <c r="M331" s="44">
        <f t="shared" si="283"/>
        <v>0</v>
      </c>
      <c r="N331" s="44">
        <f t="shared" si="284"/>
        <v>0</v>
      </c>
      <c r="O331" s="44">
        <f t="shared" si="285"/>
        <v>0</v>
      </c>
      <c r="P331" s="44">
        <f t="shared" si="286"/>
        <v>8.872058868749999E-2</v>
      </c>
      <c r="Q331" s="44">
        <f t="shared" si="287"/>
        <v>4</v>
      </c>
      <c r="R331" s="44">
        <f t="shared" si="288"/>
        <v>0</v>
      </c>
      <c r="S331" s="44">
        <f t="shared" si="289"/>
        <v>5.9147059124999998E-2</v>
      </c>
      <c r="T331" s="44">
        <f t="shared" si="290"/>
        <v>0</v>
      </c>
      <c r="V331" s="41" t="b">
        <f t="shared" si="291"/>
        <v>1</v>
      </c>
      <c r="W331" s="54">
        <f t="shared" si="292"/>
        <v>4</v>
      </c>
      <c r="X331" s="55" t="str">
        <f t="shared" si="293"/>
        <v>tbs</v>
      </c>
      <c r="Y331" s="55" t="str">
        <f t="shared" si="294"/>
        <v>minced fresh ginger</v>
      </c>
      <c r="Z331" s="56"/>
      <c r="AA331" s="41" t="b">
        <f t="shared" si="295"/>
        <v>0</v>
      </c>
      <c r="AB331" s="55" t="str">
        <f t="shared" si="296"/>
        <v/>
      </c>
      <c r="AC331" s="55" t="str">
        <f t="shared" si="297"/>
        <v/>
      </c>
      <c r="AD331" s="55" t="str">
        <f t="shared" si="298"/>
        <v/>
      </c>
    </row>
    <row r="332" spans="1:30" x14ac:dyDescent="0.25">
      <c r="A332" s="37" t="s">
        <v>21</v>
      </c>
      <c r="B332" s="49">
        <f t="shared" si="280"/>
        <v>7.25</v>
      </c>
      <c r="C332" s="36" t="str">
        <f t="shared" si="281"/>
        <v/>
      </c>
      <c r="D332" s="37" t="str">
        <f t="shared" si="282"/>
        <v>chopped celery stalks</v>
      </c>
      <c r="I332" s="59">
        <v>11</v>
      </c>
      <c r="J332" s="52"/>
      <c r="K332" s="52" t="s">
        <v>148</v>
      </c>
      <c r="L332" s="53"/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0</v>
      </c>
      <c r="Q332" s="44">
        <f t="shared" si="287"/>
        <v>7.25</v>
      </c>
      <c r="R332" s="44">
        <f t="shared" si="288"/>
        <v>0</v>
      </c>
      <c r="S332" s="44">
        <f t="shared" si="289"/>
        <v>0</v>
      </c>
      <c r="T332" s="44">
        <f t="shared" si="290"/>
        <v>7.25</v>
      </c>
      <c r="V332" s="41" t="b">
        <f t="shared" si="291"/>
        <v>1</v>
      </c>
      <c r="W332" s="54">
        <f t="shared" si="292"/>
        <v>7.25</v>
      </c>
      <c r="X332" s="55" t="str">
        <f t="shared" si="293"/>
        <v/>
      </c>
      <c r="Y332" s="55" t="str">
        <f t="shared" si="294"/>
        <v>chopped celery stalks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0.75</v>
      </c>
      <c r="C333" s="36" t="str">
        <f t="shared" si="281"/>
        <v>tbs</v>
      </c>
      <c r="D333" s="37" t="str">
        <f t="shared" si="282"/>
        <v>curry powder</v>
      </c>
      <c r="I333" s="59">
        <v>1</v>
      </c>
      <c r="J333" s="52" t="s">
        <v>15</v>
      </c>
      <c r="K333" s="52" t="s">
        <v>9</v>
      </c>
      <c r="L333" s="53" t="s">
        <v>15</v>
      </c>
      <c r="M333" s="44">
        <f t="shared" si="283"/>
        <v>1.2E-2</v>
      </c>
      <c r="N333" s="44">
        <f t="shared" si="284"/>
        <v>2.2180100000000001E-2</v>
      </c>
      <c r="O333" s="44">
        <f t="shared" si="285"/>
        <v>8.0000170141252738E-3</v>
      </c>
      <c r="P333" s="44">
        <f t="shared" si="286"/>
        <v>1.478676478125E-2</v>
      </c>
      <c r="Q333" s="44">
        <f t="shared" si="287"/>
        <v>0.75</v>
      </c>
      <c r="R333" s="44">
        <f t="shared" si="288"/>
        <v>6.0000127605939558E-3</v>
      </c>
      <c r="S333" s="44">
        <f t="shared" si="289"/>
        <v>0</v>
      </c>
      <c r="T333" s="44">
        <f t="shared" si="290"/>
        <v>0</v>
      </c>
      <c r="V333" s="41" t="b">
        <f t="shared" si="291"/>
        <v>0</v>
      </c>
      <c r="W333" s="54" t="str">
        <f t="shared" si="292"/>
        <v/>
      </c>
      <c r="X333" s="55" t="str">
        <f t="shared" si="293"/>
        <v/>
      </c>
      <c r="Y333" s="55" t="str">
        <f t="shared" si="294"/>
        <v/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1.25</v>
      </c>
      <c r="C334" s="36" t="str">
        <f t="shared" si="281"/>
        <v>tbs</v>
      </c>
      <c r="D334" s="37" t="str">
        <f t="shared" si="282"/>
        <v>ground cumin</v>
      </c>
      <c r="I334" s="59">
        <v>2</v>
      </c>
      <c r="J334" s="52" t="s">
        <v>15</v>
      </c>
      <c r="K334" s="52" t="s">
        <v>14</v>
      </c>
      <c r="L334" s="53" t="s">
        <v>15</v>
      </c>
      <c r="M334" s="44">
        <f t="shared" si="283"/>
        <v>1.0999999999999999E-2</v>
      </c>
      <c r="N334" s="44">
        <f t="shared" si="284"/>
        <v>2.2180100000000001E-2</v>
      </c>
      <c r="O334" s="44">
        <f t="shared" si="285"/>
        <v>1.4666697859229668E-2</v>
      </c>
      <c r="P334" s="44">
        <f t="shared" si="286"/>
        <v>2.9573529562499999E-2</v>
      </c>
      <c r="Q334" s="44">
        <f t="shared" si="287"/>
        <v>1.25</v>
      </c>
      <c r="R334" s="44">
        <f t="shared" si="288"/>
        <v>9.166686162018543E-3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ref="B335" si="299">Q335</f>
        <v>1.25</v>
      </c>
      <c r="C335" s="36" t="str">
        <f t="shared" si="281"/>
        <v>tbs</v>
      </c>
      <c r="D335" s="37" t="str">
        <f t="shared" si="282"/>
        <v>ground corriander</v>
      </c>
      <c r="I335" s="59">
        <v>2</v>
      </c>
      <c r="J335" s="52" t="s">
        <v>15</v>
      </c>
      <c r="K335" s="52" t="s">
        <v>149</v>
      </c>
      <c r="L335" s="53" t="s">
        <v>15</v>
      </c>
      <c r="M335" s="44">
        <f t="shared" si="283"/>
        <v>0</v>
      </c>
      <c r="N335" s="44">
        <f t="shared" si="284"/>
        <v>0</v>
      </c>
      <c r="O335" s="44">
        <f t="shared" si="285"/>
        <v>0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0</v>
      </c>
      <c r="S335" s="44">
        <f t="shared" si="289"/>
        <v>1.84834559765625E-2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:B337" si="300">Q336</f>
        <v>2.75</v>
      </c>
      <c r="C336" s="36" t="str">
        <f t="shared" si="281"/>
        <v>tbs</v>
      </c>
      <c r="D336" s="37" t="str">
        <f t="shared" si="282"/>
        <v>ground turmeric</v>
      </c>
      <c r="I336" s="59">
        <v>4</v>
      </c>
      <c r="J336" s="52" t="s">
        <v>15</v>
      </c>
      <c r="K336" s="52" t="s">
        <v>305</v>
      </c>
      <c r="L336" s="53" t="s">
        <v>15</v>
      </c>
      <c r="M336" s="44">
        <f t="shared" si="283"/>
        <v>1.4E-2</v>
      </c>
      <c r="N336" s="44">
        <f t="shared" si="284"/>
        <v>2.2180100000000001E-2</v>
      </c>
      <c r="O336" s="44">
        <f t="shared" si="285"/>
        <v>3.7333412732584614E-2</v>
      </c>
      <c r="P336" s="44">
        <f t="shared" si="286"/>
        <v>5.9147059124999998E-2</v>
      </c>
      <c r="Q336" s="44">
        <f t="shared" si="287"/>
        <v>2.75</v>
      </c>
      <c r="R336" s="44">
        <f t="shared" si="288"/>
        <v>2.5666721253651922E-2</v>
      </c>
      <c r="S336" s="44">
        <f t="shared" si="289"/>
        <v>0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si="300"/>
        <v>0.5</v>
      </c>
      <c r="C337" s="36" t="str">
        <f t="shared" si="281"/>
        <v>tbs</v>
      </c>
      <c r="D337" s="37" t="str">
        <f t="shared" si="282"/>
        <v>cinnamon</v>
      </c>
      <c r="I337" s="59">
        <v>0.8</v>
      </c>
      <c r="J337" s="52" t="s">
        <v>15</v>
      </c>
      <c r="K337" s="52" t="s">
        <v>101</v>
      </c>
      <c r="L337" s="53" t="s">
        <v>15</v>
      </c>
      <c r="M337" s="44">
        <f t="shared" si="283"/>
        <v>1.0999999999999999E-2</v>
      </c>
      <c r="N337" s="44">
        <f t="shared" si="284"/>
        <v>2.2180100000000001E-2</v>
      </c>
      <c r="O337" s="44">
        <f t="shared" si="285"/>
        <v>5.8666791436918679E-3</v>
      </c>
      <c r="P337" s="44">
        <f t="shared" si="286"/>
        <v>1.1829411825E-2</v>
      </c>
      <c r="Q337" s="44">
        <f t="shared" si="287"/>
        <v>0.5</v>
      </c>
      <c r="R337" s="44">
        <f t="shared" si="288"/>
        <v>3.6666744648074169E-3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115"/>
      <c r="B338" s="115"/>
      <c r="C338" s="115"/>
      <c r="D338" s="115"/>
      <c r="I338" s="60"/>
      <c r="J338" s="57"/>
      <c r="K338" s="57"/>
      <c r="L338" s="57"/>
      <c r="M338" s="57"/>
      <c r="N338" s="57"/>
      <c r="O338" s="57"/>
      <c r="P338" s="57"/>
      <c r="W338" s="71"/>
      <c r="X338" s="72"/>
      <c r="Y338" s="72"/>
      <c r="Z338" s="73"/>
      <c r="AA338" s="64"/>
      <c r="AB338" s="71"/>
      <c r="AC338" s="71"/>
      <c r="AD338" s="71"/>
    </row>
    <row r="339" spans="1:30" x14ac:dyDescent="0.25">
      <c r="A339" s="115" t="s">
        <v>150</v>
      </c>
      <c r="B339" s="115"/>
      <c r="C339" s="115"/>
      <c r="D339" s="115"/>
      <c r="I339" s="44"/>
      <c r="L339" s="41"/>
      <c r="M339" s="41"/>
      <c r="N339" s="41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37" t="s">
        <v>21</v>
      </c>
      <c r="B340" s="49">
        <f t="shared" ref="B340:B342" si="301">Q340</f>
        <v>6</v>
      </c>
      <c r="C340" s="36" t="str">
        <f>IF(L340="","",L340)</f>
        <v>cup</v>
      </c>
      <c r="D340" s="37" t="str">
        <f>_xlfn.CONCAT(K340, U340)</f>
        <v>vegetable stock. This soup is thick so DON'T ADD TOO MUCH</v>
      </c>
      <c r="I340" s="59">
        <v>9</v>
      </c>
      <c r="J340" s="52" t="s">
        <v>16</v>
      </c>
      <c r="K340" s="52" t="s">
        <v>55</v>
      </c>
      <c r="L340" s="53" t="s">
        <v>16</v>
      </c>
      <c r="M340" s="44">
        <f>INDEX(itemGPerQty, MATCH(K340, itemNames, 0))</f>
        <v>0</v>
      </c>
      <c r="N340" s="44">
        <f>INDEX(itemMlPerQty, MATCH(K340, itemNames, 0))</f>
        <v>0</v>
      </c>
      <c r="O340" s="44">
        <f t="shared" ref="O340:O343" si="302">IF(J340 = "", I340 * M340, IF(ISNA(CONVERT(I340, J340, "kg")), CONVERT(I340, J340, "l") * IF(N340 &lt;&gt; 0, M340 / N340, 0), CONVERT(I340, J340, "kg")))</f>
        <v>0</v>
      </c>
      <c r="P340" s="44">
        <f t="shared" ref="P340:P343" si="303">IF(J340 = "", I340 * N340, IF(ISNA(CONVERT(I340, J340, "l")), CONVERT(I340, J340, "kg") * IF(M340 &lt;&gt; 0, N340 / M340, 0), CONVERT(I340, J340, "l")))</f>
        <v>2.1292941284999998</v>
      </c>
      <c r="Q340" s="44">
        <f>MROUND(IF(AND(J340 = "", L340 = ""), I340 * recipe09DayScale, IF(ISNA(CONVERT(O340, "kg", L340)), CONVERT(P340 * recipe09DayScale, "l", L340), CONVERT(O340 * recipe09DayScale, "kg", L340))), roundTo)</f>
        <v>6</v>
      </c>
      <c r="R340" s="44">
        <f>recipe09TotScale * IF(L340 = "", Q340 * M340, IF(ISNA(CONVERT(Q340, L340, "kg")), CONVERT(Q340, L340, "l") * IF(N340 &lt;&gt; 0, M340 / N340, 0), CONVERT(Q340, L340, "kg")))</f>
        <v>0</v>
      </c>
      <c r="S340" s="44">
        <f>recipe09TotScale * IF(R340 = 0, IF(L340 = "", Q340 * N340, IF(ISNA(CONVERT(Q340, L340, "l")), CONVERT(Q340, L340, "kg") * IF(M340 &lt;&gt; 0, N340 / M340, 0), CONVERT(Q340, L340, "l"))), 0)</f>
        <v>1.4195294189999998</v>
      </c>
      <c r="T340" s="44">
        <f>recipe09TotScale * IF(AND(R340 = 0, S340 = 0, J340 = "", L340 = ""), Q340, 0)</f>
        <v>0</v>
      </c>
      <c r="U340" s="41" t="s">
        <v>290</v>
      </c>
      <c r="V340" s="41" t="b">
        <f>INDEX(itemPrepMethods, MATCH(K340, itemNames, 0))="chop"</f>
        <v>0</v>
      </c>
      <c r="W340" s="54" t="str">
        <f>IF(V340, Q340, "")</f>
        <v/>
      </c>
      <c r="X340" s="55" t="str">
        <f>IF(V340, IF(L340 = "", "", L340), "")</f>
        <v/>
      </c>
      <c r="Y340" s="55" t="str">
        <f>IF(V340, K340, "")</f>
        <v/>
      </c>
      <c r="Z340" s="56"/>
      <c r="AA340" s="41" t="b">
        <f>INDEX(itemPrepMethods, MATCH(K340, itemNames, 0))="soak"</f>
        <v>0</v>
      </c>
      <c r="AB340" s="55" t="str">
        <f>IF(AA340, Q340, "")</f>
        <v/>
      </c>
      <c r="AC340" s="55" t="str">
        <f>IF(AA340, IF(L340 = "", "", L340), "")</f>
        <v/>
      </c>
      <c r="AD340" s="55" t="str">
        <f>IF(AA340, K340, "")</f>
        <v/>
      </c>
    </row>
    <row r="341" spans="1:30" x14ac:dyDescent="0.25">
      <c r="A341" s="37" t="s">
        <v>21</v>
      </c>
      <c r="B341" s="49">
        <f t="shared" si="301"/>
        <v>5.25</v>
      </c>
      <c r="C341" s="36" t="str">
        <f>IF(L341="","",L341)</f>
        <v/>
      </c>
      <c r="D341" s="37" t="str">
        <f>_xlfn.CONCAT(K341, U341)</f>
        <v>chopped carrots</v>
      </c>
      <c r="I341" s="59">
        <v>8</v>
      </c>
      <c r="J341" s="52"/>
      <c r="K341" s="52" t="s">
        <v>5</v>
      </c>
      <c r="L341" s="53"/>
      <c r="M341" s="44">
        <f>INDEX(itemGPerQty, MATCH(K341, itemNames, 0))</f>
        <v>0.14833333333333334</v>
      </c>
      <c r="N341" s="44">
        <f>INDEX(itemMlPerQty, MATCH(K341, itemNames, 0))</f>
        <v>0.19999999999999998</v>
      </c>
      <c r="O341" s="44">
        <f t="shared" si="302"/>
        <v>1.1866666666666668</v>
      </c>
      <c r="P341" s="44">
        <f t="shared" si="303"/>
        <v>1.5999999999999999</v>
      </c>
      <c r="Q341" s="44">
        <f>MROUND(IF(AND(J341 = "", L341 = ""), I341 * recipe09DayScale, IF(ISNA(CONVERT(O341, "kg", L341)), CONVERT(P341 * recipe09DayScale, "l", L341), CONVERT(O341 * recipe09DayScale, "kg", L341))), roundTo)</f>
        <v>5.25</v>
      </c>
      <c r="R341" s="44">
        <f>recipe09TotScale * IF(L341 = "", Q341 * M341, IF(ISNA(CONVERT(Q341, L341, "kg")), CONVERT(Q341, L341, "l") * IF(N341 &lt;&gt; 0, M341 / N341, 0), CONVERT(Q341, L341, "kg")))</f>
        <v>0.77875000000000005</v>
      </c>
      <c r="S341" s="44">
        <f>recipe09TotScale * IF(R341 = 0, IF(L341 = "", Q341 * N341, IF(ISNA(CONVERT(Q341, L341, "l")), CONVERT(Q341, L341, "kg") * IF(M341 &lt;&gt; 0, N341 / M341, 0), CONVERT(Q341, L341, "l"))), 0)</f>
        <v>0</v>
      </c>
      <c r="T341" s="44">
        <f>recipe09TotScale * IF(AND(R341 = 0, S341 = 0, J341 = "", L341 = ""), Q341, 0)</f>
        <v>0</v>
      </c>
      <c r="V341" s="41" t="b">
        <f>INDEX(itemPrepMethods, MATCH(K341, itemNames, 0))="chop"</f>
        <v>1</v>
      </c>
      <c r="W341" s="54">
        <f>IF(V341, Q341, "")</f>
        <v>5.25</v>
      </c>
      <c r="X341" s="55" t="str">
        <f>IF(V341, IF(L341 = "", "", L341), "")</f>
        <v/>
      </c>
      <c r="Y341" s="55" t="str">
        <f>IF(V341, K341, "")</f>
        <v>chopped carrots</v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3.25</v>
      </c>
      <c r="C342" s="36" t="str">
        <f>IF(L342="","",L342)</f>
        <v/>
      </c>
      <c r="D342" s="37" t="str">
        <f>_xlfn.CONCAT(K342, U342)</f>
        <v>chopped kumara</v>
      </c>
      <c r="I342" s="59">
        <v>5</v>
      </c>
      <c r="J342" s="52"/>
      <c r="K342" s="52" t="s">
        <v>151</v>
      </c>
      <c r="L342" s="53"/>
      <c r="M342" s="44">
        <f>INDEX(itemGPerQty, MATCH(K342, itemNames, 0))</f>
        <v>0.34</v>
      </c>
      <c r="N342" s="44">
        <f>INDEX(itemMlPerQty, MATCH(K342, itemNames, 0))</f>
        <v>0</v>
      </c>
      <c r="O342" s="44">
        <f t="shared" si="302"/>
        <v>1.7000000000000002</v>
      </c>
      <c r="P342" s="44">
        <f t="shared" si="303"/>
        <v>0</v>
      </c>
      <c r="Q342" s="44">
        <f>MROUND(IF(AND(J342 = "", L342 = ""), I342 * recipe09DayScale, IF(ISNA(CONVERT(O342, "kg", L342)), CONVERT(P342 * recipe09DayScale, "l", L342), CONVERT(O342 * recipe09DayScale, "kg", L342))), roundTo)</f>
        <v>3.25</v>
      </c>
      <c r="R342" s="44">
        <f>recipe09TotScale * IF(L342 = "", Q342 * M342, IF(ISNA(CONVERT(Q342, L342, "kg")), CONVERT(Q342, L342, "l") * IF(N342 &lt;&gt; 0, M342 / N342, 0), CONVERT(Q342, L342, "kg")))</f>
        <v>1.105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3.25</v>
      </c>
      <c r="X342" s="55" t="str">
        <f>IF(V342, IF(L342 = "", "", L342), "")</f>
        <v/>
      </c>
      <c r="Y342" s="55" t="str">
        <f>IF(V342, K342, "")</f>
        <v>chopped kumara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ref="B343:B348" si="304">Q343</f>
        <v>2</v>
      </c>
      <c r="C343" s="36" t="str">
        <f>IF(L343="","",L343)</f>
        <v/>
      </c>
      <c r="D343" s="37" t="str">
        <f>_xlfn.CONCAT(K343, U343)</f>
        <v>tinned black beans, drained and rinsed</v>
      </c>
      <c r="I343" s="59">
        <v>3</v>
      </c>
      <c r="J343" s="52"/>
      <c r="K343" s="52" t="s">
        <v>444</v>
      </c>
      <c r="L343" s="53"/>
      <c r="M343" s="44">
        <f>INDEX(itemGPerQty, MATCH(K343, itemNames, 0))</f>
        <v>0</v>
      </c>
      <c r="N343" s="44">
        <f>INDEX(itemMlPerQty, MATCH(K343, itemNames, 0))</f>
        <v>0</v>
      </c>
      <c r="O343" s="44">
        <f t="shared" si="302"/>
        <v>0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2</v>
      </c>
      <c r="R343" s="44">
        <f>recipe09TotScale * IF(L343 = "", Q343 * M343, IF(ISNA(CONVERT(Q343, L343, "kg")), CONVERT(Q343, L343, "l") * IF(N343 &lt;&gt; 0, M343 / N343, 0), CONVERT(Q343, L343, "kg")))</f>
        <v>0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2</v>
      </c>
      <c r="U343" s="41" t="s">
        <v>296</v>
      </c>
      <c r="V343" s="41" t="b">
        <f>INDEX(itemPrepMethods, MATCH(K343, itemNames, 0))="chop"</f>
        <v>0</v>
      </c>
      <c r="W343" s="54" t="str">
        <f>IF(V343, Q343, "")</f>
        <v/>
      </c>
      <c r="X343" s="55" t="str">
        <f>IF(V343, IF(L343 = "", "", L343), "")</f>
        <v/>
      </c>
      <c r="Y343" s="55" t="str">
        <f>IF(V343, K343, "")</f>
        <v/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115"/>
      <c r="B344" s="115"/>
      <c r="C344" s="115"/>
      <c r="D344" s="115"/>
      <c r="I344" s="60"/>
      <c r="J344" s="57"/>
      <c r="K344" s="57"/>
      <c r="L344" s="57"/>
      <c r="M344" s="57"/>
      <c r="N344" s="57"/>
      <c r="O344" s="57"/>
      <c r="P344" s="57"/>
      <c r="W344" s="71"/>
      <c r="X344" s="72"/>
      <c r="Y344" s="72"/>
      <c r="Z344" s="73"/>
      <c r="AA344" s="64"/>
      <c r="AB344" s="71"/>
      <c r="AC344" s="71"/>
      <c r="AD344" s="71"/>
    </row>
    <row r="345" spans="1:30" x14ac:dyDescent="0.25">
      <c r="A345" s="115" t="s">
        <v>152</v>
      </c>
      <c r="B345" s="115"/>
      <c r="C345" s="115"/>
      <c r="D345" s="115"/>
      <c r="I345" s="44"/>
      <c r="L345" s="41"/>
      <c r="M345" s="41"/>
      <c r="N345" s="41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15"/>
      <c r="B346" s="115"/>
      <c r="C346" s="115"/>
      <c r="D346" s="115"/>
      <c r="I346" s="60"/>
      <c r="J346" s="57"/>
      <c r="K346" s="57"/>
      <c r="L346" s="57"/>
      <c r="M346" s="57"/>
      <c r="N346" s="57"/>
      <c r="O346" s="57"/>
      <c r="P346" s="57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15" t="s">
        <v>153</v>
      </c>
      <c r="B347" s="115"/>
      <c r="C347" s="115"/>
      <c r="D347" s="115"/>
      <c r="I347" s="44"/>
      <c r="L347" s="41"/>
      <c r="M347" s="41"/>
      <c r="N347" s="41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37" t="s">
        <v>21</v>
      </c>
      <c r="B348" s="49">
        <f t="shared" si="304"/>
        <v>1</v>
      </c>
      <c r="C348" s="36" t="str">
        <f>IF(L348="","",L348)</f>
        <v/>
      </c>
      <c r="D348" s="37" t="str">
        <f>_xlfn.CONCAT(K348, U348)</f>
        <v>tinned coconut cream</v>
      </c>
      <c r="I348" s="59">
        <v>1.5</v>
      </c>
      <c r="J348" s="52"/>
      <c r="K348" s="52" t="s">
        <v>447</v>
      </c>
      <c r="L348" s="53"/>
      <c r="M348" s="44">
        <f>INDEX(itemGPerQty, MATCH(K348, itemNames, 0))</f>
        <v>0</v>
      </c>
      <c r="N348" s="44">
        <f>INDEX(itemMlPerQty, MATCH(K348, itemNames, 0))</f>
        <v>0</v>
      </c>
      <c r="O348" s="44">
        <f t="shared" ref="O348:O349" si="305">IF(J348 = "", I348 * M348, IF(ISNA(CONVERT(I348, J348, "kg")), CONVERT(I348, J348, "l") * IF(N348 &lt;&gt; 0, M348 / N348, 0), CONVERT(I348, J348, "kg")))</f>
        <v>0</v>
      </c>
      <c r="P348" s="44">
        <f t="shared" ref="P348:P349" si="306">IF(J348 = "", I348 * N348, IF(ISNA(CONVERT(I348, J348, "l")), CONVERT(I348, J348, "kg") * IF(M348 &lt;&gt; 0, N348 / M348, 0), CONVERT(I348, J348, "l")))</f>
        <v>0</v>
      </c>
      <c r="Q348" s="44">
        <f>MROUND(IF(AND(J348 = "", L348 = ""), I348 * recipe09DayScale, IF(ISNA(CONVERT(O348, "kg", L348)), CONVERT(P348 * recipe09DayScale, "l", L348), CONVERT(O348 * recipe09DayScale, "kg", L348))), roundTo)</f>
        <v>1</v>
      </c>
      <c r="R348" s="44">
        <f>recipe09TotScale * IF(L348 = "", Q348 * M348, IF(ISNA(CONVERT(Q348, L348, "kg")), CONVERT(Q348, L348, "l") * IF(N348 &lt;&gt; 0, M348 / N348, 0), CONVERT(Q348, L348, "kg")))</f>
        <v>0</v>
      </c>
      <c r="S348" s="44">
        <f>recipe09TotScale * IF(R348 = 0, IF(L348 = "", Q348 * N348, IF(ISNA(CONVERT(Q348, L348, "l")), CONVERT(Q348, L348, "kg") * IF(M348 &lt;&gt; 0, N348 / M348, 0), CONVERT(Q348, L348, "l"))), 0)</f>
        <v>0</v>
      </c>
      <c r="T348" s="44">
        <f>recipe09TotScale * IF(AND(R348 = 0, S348 = 0, J348 = "", L348 = ""), Q348, 0)</f>
        <v>1</v>
      </c>
      <c r="V348" s="41" t="b">
        <f>INDEX(itemPrepMethods, MATCH(K348, itemNames, 0))="chop"</f>
        <v>0</v>
      </c>
      <c r="W348" s="54" t="str">
        <f>IF(V348, Q348, "")</f>
        <v/>
      </c>
      <c r="X348" s="55" t="str">
        <f>IF(V348, IF(L348 = "", "", L348), "")</f>
        <v/>
      </c>
      <c r="Y348" s="55" t="str">
        <f>IF(V348, K348, "")</f>
        <v/>
      </c>
      <c r="Z348" s="56"/>
      <c r="AA348" s="41" t="b">
        <f>INDEX(itemPrepMethods, MATCH(K348, itemNames, 0))="soak"</f>
        <v>0</v>
      </c>
      <c r="AB348" s="55" t="str">
        <f>IF(AA348, Q348, "")</f>
        <v/>
      </c>
      <c r="AC348" s="55" t="str">
        <f>IF(AA348, IF(L348 = "", "", L348), "")</f>
        <v/>
      </c>
      <c r="AD348" s="55" t="str">
        <f>IF(AA348, K348, "")</f>
        <v/>
      </c>
    </row>
    <row r="349" spans="1:30" x14ac:dyDescent="0.25">
      <c r="A349" s="37" t="s">
        <v>21</v>
      </c>
      <c r="B349" s="49">
        <f t="shared" ref="B349" si="307">Q349</f>
        <v>1.25</v>
      </c>
      <c r="C349" s="36" t="str">
        <f>IF(L349="","",L349)</f>
        <v/>
      </c>
      <c r="D349" s="62" t="str">
        <f>_xlfn.CONCAT(K349, U349)</f>
        <v>juiced lemons</v>
      </c>
      <c r="I349" s="59">
        <v>2</v>
      </c>
      <c r="J349" s="52"/>
      <c r="K349" s="52" t="s">
        <v>383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si="305"/>
        <v>0</v>
      </c>
      <c r="P349" s="44">
        <f t="shared" si="306"/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1.25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1.25</v>
      </c>
      <c r="V349" s="41" t="b">
        <f>INDEX(itemPrepMethods, MATCH(K349, itemNames, 0))="chop"</f>
        <v>0</v>
      </c>
      <c r="W349" s="54" t="str">
        <f>IF(V349, Q349, "")</f>
        <v/>
      </c>
      <c r="X349" s="55" t="str">
        <f>IF(V349, IF(L349 = "", "", L349), "")</f>
        <v/>
      </c>
      <c r="Y349" s="55" t="str">
        <f>IF(V349, K349, "")</f>
        <v/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/>
      <c r="C350" s="36" t="str">
        <f>IF(L350="","",L350)</f>
        <v/>
      </c>
      <c r="D350" s="37" t="str">
        <f>_xlfn.CONCAT(K350, U350)</f>
        <v>water, if required</v>
      </c>
      <c r="I350" s="44"/>
      <c r="K350" s="52" t="s">
        <v>47</v>
      </c>
      <c r="L350" s="41"/>
      <c r="M350" s="41"/>
      <c r="N350" s="41"/>
      <c r="O350" s="41"/>
      <c r="P350" s="41"/>
      <c r="U350" s="41" t="s">
        <v>207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salt, to taste</v>
      </c>
      <c r="I351" s="44"/>
      <c r="K351" s="52" t="s">
        <v>11</v>
      </c>
      <c r="L351" s="41"/>
      <c r="M351" s="41"/>
      <c r="N351" s="41"/>
      <c r="O351" s="41"/>
      <c r="P351" s="41"/>
      <c r="U351" s="41" t="s">
        <v>206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ground black pepper, to taste</v>
      </c>
      <c r="I352" s="44"/>
      <c r="K352" s="52" t="s">
        <v>76</v>
      </c>
      <c r="L352" s="41"/>
      <c r="M352" s="41"/>
      <c r="N352" s="41"/>
      <c r="O352" s="41"/>
      <c r="P352" s="41"/>
      <c r="U352" s="41" t="s">
        <v>206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115"/>
      <c r="B353" s="115"/>
      <c r="C353" s="115"/>
      <c r="D353" s="115"/>
      <c r="I353" s="60"/>
      <c r="J353" s="57"/>
      <c r="K353" s="57"/>
      <c r="L353" s="57"/>
      <c r="M353" s="57"/>
      <c r="N353" s="57"/>
      <c r="O353" s="57"/>
      <c r="P353" s="57"/>
    </row>
    <row r="354" spans="1:30" x14ac:dyDescent="0.25">
      <c r="A354" s="115" t="s">
        <v>161</v>
      </c>
      <c r="B354" s="115"/>
      <c r="C354" s="115"/>
      <c r="D354" s="115"/>
      <c r="I354" s="44"/>
      <c r="L354" s="41"/>
      <c r="M354" s="41"/>
      <c r="N354" s="41"/>
    </row>
    <row r="355" spans="1:30" ht="15.75" x14ac:dyDescent="0.25">
      <c r="A355" s="116" t="s">
        <v>35</v>
      </c>
      <c r="B355" s="116"/>
      <c r="C355" s="116"/>
      <c r="D355" s="116"/>
      <c r="E355" s="40" t="s">
        <v>128</v>
      </c>
      <c r="F355" s="100" t="s">
        <v>147</v>
      </c>
      <c r="G355" s="100"/>
      <c r="H355" s="44"/>
    </row>
    <row r="356" spans="1:30" ht="24" x14ac:dyDescent="0.2">
      <c r="A356" s="116" t="s">
        <v>38</v>
      </c>
      <c r="B356" s="116"/>
      <c r="C356" s="116"/>
      <c r="D356" s="116"/>
      <c r="E356" s="39" t="s">
        <v>53</v>
      </c>
      <c r="F356" s="87">
        <v>15</v>
      </c>
      <c r="G356" s="44"/>
      <c r="H356" s="44"/>
      <c r="I356" s="67" t="s">
        <v>434</v>
      </c>
      <c r="J356" s="68" t="s">
        <v>435</v>
      </c>
      <c r="K356" s="68" t="s">
        <v>17</v>
      </c>
      <c r="L356" s="69" t="s">
        <v>438</v>
      </c>
      <c r="M356" s="67" t="s">
        <v>141</v>
      </c>
      <c r="N356" s="67" t="s">
        <v>142</v>
      </c>
      <c r="O356" s="67" t="s">
        <v>436</v>
      </c>
      <c r="P356" s="67" t="s">
        <v>437</v>
      </c>
      <c r="Q356" s="68" t="s">
        <v>353</v>
      </c>
      <c r="R356" s="67" t="s">
        <v>354</v>
      </c>
      <c r="S356" s="67" t="s">
        <v>355</v>
      </c>
      <c r="T356" s="67" t="s">
        <v>356</v>
      </c>
      <c r="U356" s="68" t="s">
        <v>22</v>
      </c>
      <c r="V356" s="68" t="s">
        <v>202</v>
      </c>
      <c r="W356" s="70" t="s">
        <v>353</v>
      </c>
      <c r="X356" s="68" t="s">
        <v>200</v>
      </c>
      <c r="Y356" s="68" t="s">
        <v>201</v>
      </c>
      <c r="Z356" s="68" t="s">
        <v>302</v>
      </c>
      <c r="AA356" s="68" t="s">
        <v>203</v>
      </c>
      <c r="AB356" s="70" t="s">
        <v>353</v>
      </c>
      <c r="AC356" s="68" t="s">
        <v>204</v>
      </c>
      <c r="AD356" s="68" t="s">
        <v>205</v>
      </c>
    </row>
    <row r="357" spans="1:30" ht="13.5" thickBot="1" x14ac:dyDescent="0.3">
      <c r="A357" s="117" t="str">
        <f>_xlfn.CONCAT(F357," servings")</f>
        <v>10 servings</v>
      </c>
      <c r="B357" s="117"/>
      <c r="C357" s="117"/>
      <c r="D357" s="117"/>
      <c r="E357" s="63" t="s">
        <v>348</v>
      </c>
      <c r="F357" s="87">
        <f>moLuCount</f>
        <v>10</v>
      </c>
      <c r="G357" s="44"/>
      <c r="H357" s="44"/>
      <c r="I357" s="60"/>
      <c r="J357" s="39"/>
      <c r="K357" s="39"/>
      <c r="L357" s="61"/>
      <c r="M357" s="60"/>
      <c r="N357" s="60"/>
      <c r="O357" s="60"/>
      <c r="P357" s="60"/>
      <c r="Q357" s="39"/>
      <c r="R357" s="60"/>
      <c r="S357" s="60"/>
      <c r="T357" s="60"/>
      <c r="U357" s="39"/>
    </row>
    <row r="358" spans="1:30" s="102" customFormat="1" ht="15.75" thickBot="1" x14ac:dyDescent="0.3">
      <c r="A358" s="115"/>
      <c r="B358" s="115"/>
      <c r="C358" s="115"/>
      <c r="D358" s="115"/>
      <c r="E358" s="63" t="s">
        <v>351</v>
      </c>
      <c r="F358" s="47">
        <f>F357/F356</f>
        <v>0.66666666666666663</v>
      </c>
      <c r="G358" s="48" t="s">
        <v>367</v>
      </c>
      <c r="H358" s="44"/>
      <c r="I358" s="60"/>
      <c r="J358" s="100"/>
      <c r="K358" s="100"/>
      <c r="L358" s="61"/>
      <c r="M358" s="60"/>
      <c r="N358" s="60"/>
      <c r="O358" s="60"/>
      <c r="P358" s="60"/>
      <c r="Q358" s="100"/>
      <c r="R358" s="60"/>
      <c r="S358" s="60"/>
      <c r="T358" s="60"/>
      <c r="U358" s="100"/>
      <c r="W358" s="45"/>
      <c r="Z358" s="46"/>
    </row>
    <row r="359" spans="1:30" x14ac:dyDescent="0.25">
      <c r="A359" s="115" t="s">
        <v>243</v>
      </c>
      <c r="B359" s="115"/>
      <c r="C359" s="115"/>
      <c r="D359" s="115"/>
      <c r="E359" s="64"/>
      <c r="F359" s="64"/>
      <c r="G359" s="64"/>
      <c r="H359" s="44"/>
      <c r="I359" s="60"/>
      <c r="J359" s="39"/>
      <c r="K359" s="39"/>
      <c r="L359" s="61"/>
      <c r="M359" s="60"/>
      <c r="N359" s="60"/>
      <c r="O359" s="60"/>
      <c r="P359" s="60"/>
      <c r="Q359" s="39"/>
      <c r="R359" s="60"/>
      <c r="S359" s="60"/>
      <c r="T359" s="60"/>
      <c r="U359" s="39"/>
    </row>
    <row r="360" spans="1:30" ht="15.75" thickBot="1" x14ac:dyDescent="0.3">
      <c r="A360" s="37" t="s">
        <v>21</v>
      </c>
      <c r="B360" s="49">
        <f t="shared" ref="B360:B382" si="308">Q360</f>
        <v>0.25</v>
      </c>
      <c r="C360" s="36" t="str">
        <f>IF(L360="","",L360)</f>
        <v>cup</v>
      </c>
      <c r="D360" s="37" t="str">
        <f>_xlfn.CONCAT(K360, U360)</f>
        <v>oil</v>
      </c>
      <c r="E360" s="63" t="s">
        <v>327</v>
      </c>
      <c r="F360" s="87">
        <f>moLuCount</f>
        <v>10</v>
      </c>
      <c r="G360" s="64"/>
      <c r="H360" s="50"/>
      <c r="I360" s="51">
        <v>8</v>
      </c>
      <c r="J360" s="52" t="s">
        <v>15</v>
      </c>
      <c r="K360" s="52" t="s">
        <v>46</v>
      </c>
      <c r="L360" s="53" t="s">
        <v>16</v>
      </c>
      <c r="M360" s="44">
        <f>INDEX(itemGPerQty, MATCH(K360, itemNames, 0))</f>
        <v>0</v>
      </c>
      <c r="N360" s="44">
        <f>INDEX(itemMlPerQty, MATCH(K360, itemNames, 0))</f>
        <v>0</v>
      </c>
      <c r="O360" s="44">
        <f t="shared" ref="O360:O364" si="309">IF(J360 = "", I360 * M360, IF(ISNA(CONVERT(I360, J360, "kg")), CONVERT(I360, J360, "l") * IF(N360 &lt;&gt; 0, M360 / N360, 0), CONVERT(I360, J360, "kg")))</f>
        <v>0</v>
      </c>
      <c r="P360" s="44">
        <f t="shared" ref="P360:P364" si="310">IF(J360 = "", I360 * N360, IF(ISNA(CONVERT(I360, J360, "l")), CONVERT(I360, J360, "kg") * IF(M360 &lt;&gt; 0, N360 / M360, 0), CONVERT(I360, J360, "l")))</f>
        <v>0.11829411825</v>
      </c>
      <c r="Q360" s="44">
        <f>MROUND(IF(AND(J360 = "", L360 = ""), I360 * recipe04DayScale, IF(ISNA(CONVERT(O360, "kg", L360)), CONVERT(P360 * recipe04DayScale, "l", L360), CONVERT(O360 * recipe04DayScale, "kg", L360))), roundTo)</f>
        <v>0.25</v>
      </c>
      <c r="R360" s="44">
        <f>recipe04TotScale * IF(L360 = "", Q360 * M360, IF(ISNA(CONVERT(Q360, L360, "kg")), CONVERT(Q360, L360, "l") * IF(N360 &lt;&gt; 0, M360 / N360, 0), CONVERT(Q360, L360, "kg")))</f>
        <v>0</v>
      </c>
      <c r="S360" s="44">
        <f>recipe04TotScale * IF(R360 = 0, IF(L360 = "", Q360 * N360, IF(ISNA(CONVERT(Q360, L360, "l")), CONVERT(Q360, L360, "kg") * IF(M360 &lt;&gt; 0, N360 / M360, 0), CONVERT(Q360, L360, "l"))), 0)</f>
        <v>5.9147059124999998E-2</v>
      </c>
      <c r="T360" s="44">
        <f>recipe04TotScale * IF(AND(R360 = 0, S360 = 0, J360 = "", L360 = ""), Q360, 0)</f>
        <v>0</v>
      </c>
      <c r="V360" s="41" t="b">
        <f>INDEX(itemPrepMethods, MATCH(K360, itemNames, 0))="chop"</f>
        <v>0</v>
      </c>
      <c r="W360" s="54" t="str">
        <f>IF(V360, Q360, "")</f>
        <v/>
      </c>
      <c r="X360" s="55" t="str">
        <f>IF(V360, IF(L360 = "", "", L360), "")</f>
        <v/>
      </c>
      <c r="Y360" s="55" t="str">
        <f>IF(V360, K360, "")</f>
        <v/>
      </c>
      <c r="Z360" s="56"/>
      <c r="AA360" s="41" t="b">
        <f>INDEX(itemPrepMethods, MATCH(K360, itemNames, 0))="soak"</f>
        <v>0</v>
      </c>
      <c r="AB360" s="55" t="str">
        <f>IF(AA360, Q360, "")</f>
        <v/>
      </c>
      <c r="AC360" s="55" t="str">
        <f>IF(AA360, IF(L360 = "", "", L360), "")</f>
        <v/>
      </c>
      <c r="AD360" s="55" t="str">
        <f>IF(AA360, K360, "")</f>
        <v/>
      </c>
    </row>
    <row r="361" spans="1:30" ht="15.75" thickBot="1" x14ac:dyDescent="0.3">
      <c r="A361" s="37" t="s">
        <v>21</v>
      </c>
      <c r="B361" s="49">
        <f>Q361</f>
        <v>5.25</v>
      </c>
      <c r="C361" s="36" t="str">
        <f>IF(L361="","",L361)</f>
        <v/>
      </c>
      <c r="D361" s="37" t="str">
        <f>_xlfn.CONCAT(K361, U361)</f>
        <v>garlic cloves. Remove from oil once cooked</v>
      </c>
      <c r="E361" s="63" t="s">
        <v>352</v>
      </c>
      <c r="F361" s="47">
        <f>F360/F357</f>
        <v>1</v>
      </c>
      <c r="G361" s="48" t="s">
        <v>368</v>
      </c>
      <c r="I361" s="51">
        <v>8</v>
      </c>
      <c r="J361" s="52"/>
      <c r="K361" s="52" t="s">
        <v>8</v>
      </c>
      <c r="L361" s="53"/>
      <c r="M361" s="44">
        <f>INDEX(itemGPerQty, MATCH(K361, itemNames, 0))</f>
        <v>0</v>
      </c>
      <c r="N361" s="44">
        <f>INDEX(itemMlPerQty, MATCH(K361, itemNames, 0))</f>
        <v>0</v>
      </c>
      <c r="O361" s="44">
        <f>IF(J361 = "", I361 * M361, IF(ISNA(CONVERT(I361, J361, "kg")), CONVERT(I361, J361, "l") * IF(N361 &lt;&gt; 0, M361 / N361, 0), CONVERT(I361, J361, "kg")))</f>
        <v>0</v>
      </c>
      <c r="P361" s="44">
        <f>IF(J361 = "", I361 * N361, IF(ISNA(CONVERT(I361, J361, "l")), CONVERT(I361, J361, "kg") * IF(M361 &lt;&gt; 0, N361 / M361, 0), CONVERT(I361, J361, "l")))</f>
        <v>0</v>
      </c>
      <c r="Q361" s="44">
        <f>MROUND(IF(AND(J361 = "", L361 = ""), I361 * recipe04DayScale, IF(ISNA(CONVERT(O361, "kg", L361)), CONVERT(P361 * recipe04DayScale, "l", L361), CONVERT(O361 * recipe04DayScale, "kg", L361))), roundTo)</f>
        <v>5.25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0</v>
      </c>
      <c r="T361" s="44">
        <f>recipe04TotScale * IF(AND(R361 = 0, S361 = 0, J361 = "", L361 = ""), Q361, 0)</f>
        <v>5.25</v>
      </c>
      <c r="U361" s="41" t="s">
        <v>233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x14ac:dyDescent="0.25">
      <c r="A362" s="37" t="s">
        <v>21</v>
      </c>
      <c r="B362" s="49">
        <f t="shared" si="308"/>
        <v>2</v>
      </c>
      <c r="C362" s="36" t="str">
        <f>IF(L362="","",L362)</f>
        <v/>
      </c>
      <c r="D362" s="37" t="str">
        <f>_xlfn.CONCAT(K362, U362)</f>
        <v>chopped onions</v>
      </c>
      <c r="I362" s="51">
        <v>3</v>
      </c>
      <c r="J362" s="52"/>
      <c r="K362" s="52" t="s">
        <v>6</v>
      </c>
      <c r="L362" s="53"/>
      <c r="M362" s="44">
        <f>INDEX(itemGPerQty, MATCH(K362, itemNames, 0))</f>
        <v>0.185</v>
      </c>
      <c r="N362" s="44">
        <f>INDEX(itemMlPerQty, MATCH(K362, itemNames, 0))</f>
        <v>0.3</v>
      </c>
      <c r="O362" s="44">
        <f t="shared" si="309"/>
        <v>0.55499999999999994</v>
      </c>
      <c r="P362" s="44">
        <f t="shared" si="310"/>
        <v>0.89999999999999991</v>
      </c>
      <c r="Q362" s="44">
        <f>MROUND(IF(AND(J362 = "", L362 = ""), I362 * recipe04DayScale, IF(ISNA(CONVERT(O362, "kg", L362)), CONVERT(P362 * recipe04DayScale, "l", L362), CONVERT(O362 * recipe04DayScale, "kg", L362))), roundTo)</f>
        <v>2</v>
      </c>
      <c r="R362" s="44">
        <f>recipe04TotScale * IF(L362 = "", Q362 * M362, IF(ISNA(CONVERT(Q362, L362, "kg")), CONVERT(Q362, L362, "l") * IF(N362 &lt;&gt; 0, M362 / N362, 0), CONVERT(Q362, L362, "kg")))</f>
        <v>0.37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0</v>
      </c>
      <c r="V362" s="41" t="b">
        <f>INDEX(itemPrepMethods, MATCH(K362, itemNames, 0))="chop"</f>
        <v>1</v>
      </c>
      <c r="W362" s="54">
        <f>IF(V362, Q362, "")</f>
        <v>2</v>
      </c>
      <c r="X362" s="55" t="str">
        <f>IF(V362, IF(L362 = "", "", L362), "")</f>
        <v/>
      </c>
      <c r="Y362" s="55" t="str">
        <f>IF(V362, K362, "")</f>
        <v>chopped onions</v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>tbs</v>
      </c>
      <c r="D363" s="37" t="str">
        <f>_xlfn.CONCAT(K363, U363)</f>
        <v>minced fresh ginger</v>
      </c>
      <c r="F363" s="39"/>
      <c r="I363" s="51">
        <v>3</v>
      </c>
      <c r="J363" s="52" t="s">
        <v>15</v>
      </c>
      <c r="K363" s="52" t="s">
        <v>221</v>
      </c>
      <c r="L363" s="53" t="s">
        <v>15</v>
      </c>
      <c r="M363" s="44">
        <f>INDEX(itemGPerQty, MATCH(K363, itemNames, 0))</f>
        <v>0</v>
      </c>
      <c r="N363" s="44">
        <f>INDEX(itemMlPerQty, MATCH(K363, itemNames, 0))</f>
        <v>0</v>
      </c>
      <c r="O363" s="44">
        <f t="shared" si="309"/>
        <v>0</v>
      </c>
      <c r="P363" s="44">
        <f t="shared" si="310"/>
        <v>4.4360294343749995E-2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</v>
      </c>
      <c r="S363" s="44">
        <f>recipe04TotScale * IF(R363 = 0, IF(L363 = "", Q363 * N363, IF(ISNA(CONVERT(Q363, L363, "l")), CONVERT(Q363, L363, "kg") * IF(M363 &lt;&gt; 0, N363 / M363, 0), CONVERT(Q363, L363, "l"))), 0)</f>
        <v>2.9573529562499999E-2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>tbs</v>
      </c>
      <c r="Y363" s="55" t="str">
        <f>IF(V363, K363, "")</f>
        <v>minced fresh ginger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1</v>
      </c>
      <c r="C364" s="36" t="str">
        <f>IF(L364="","",L364)</f>
        <v>tbs</v>
      </c>
      <c r="D364" s="37" t="str">
        <f>_xlfn.CONCAT(K364, U364)</f>
        <v>thai green curry</v>
      </c>
      <c r="F364" s="39"/>
      <c r="I364" s="51">
        <v>1.5</v>
      </c>
      <c r="J364" s="52" t="s">
        <v>15</v>
      </c>
      <c r="K364" s="52" t="s">
        <v>166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2.2180147171874998E-2</v>
      </c>
      <c r="Q364" s="44">
        <f>MROUND(IF(AND(J364 = "", L364 = ""), I364 * recipe04DayScale, IF(ISNA(CONVERT(O364, "kg", L364)), CONVERT(P364 * recipe04DayScale, "l", L364), CONVERT(O364 * recipe04DayScale, "kg", L364))), roundTo)</f>
        <v>1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1.478676478125E-2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0</v>
      </c>
      <c r="W364" s="54" t="str">
        <f>IF(V364, Q364, "")</f>
        <v/>
      </c>
      <c r="X364" s="55" t="str">
        <f>IF(V364, IF(L364 = "", "", L364), "")</f>
        <v/>
      </c>
      <c r="Y364" s="55" t="str">
        <f>IF(V364, K364, "")</f>
        <v/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ht="15.75" x14ac:dyDescent="0.25">
      <c r="A365" s="119"/>
      <c r="B365" s="119"/>
      <c r="C365" s="119"/>
      <c r="D365" s="119"/>
      <c r="E365" s="39"/>
      <c r="F365" s="39"/>
      <c r="G365" s="44"/>
      <c r="H365" s="44"/>
      <c r="I365" s="60"/>
      <c r="J365" s="39"/>
      <c r="K365" s="39"/>
      <c r="L365" s="61"/>
      <c r="M365" s="60"/>
      <c r="N365" s="60"/>
      <c r="O365" s="60"/>
      <c r="P365" s="60"/>
      <c r="Q365" s="39"/>
      <c r="R365" s="60"/>
      <c r="S365" s="60"/>
      <c r="T365" s="60"/>
      <c r="U365" s="39"/>
      <c r="W365" s="71"/>
      <c r="X365" s="71"/>
      <c r="Y365" s="71"/>
      <c r="Z365" s="71"/>
      <c r="AA365" s="64"/>
      <c r="AB365" s="71"/>
      <c r="AC365" s="71"/>
      <c r="AD365" s="71"/>
    </row>
    <row r="366" spans="1:30" x14ac:dyDescent="0.25">
      <c r="A366" s="115" t="s">
        <v>244</v>
      </c>
      <c r="B366" s="115"/>
      <c r="C366" s="115"/>
      <c r="D366" s="115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37" t="s">
        <v>21</v>
      </c>
      <c r="B367" s="49">
        <f t="shared" si="308"/>
        <v>0.75</v>
      </c>
      <c r="C367" s="36" t="str">
        <f>IF(L367="","",L367)</f>
        <v>cup</v>
      </c>
      <c r="D367" s="37" t="str">
        <f>_xlfn.CONCAT(K367, U367)</f>
        <v>peanut butter</v>
      </c>
      <c r="F367" s="39"/>
      <c r="I367" s="51">
        <v>1</v>
      </c>
      <c r="J367" s="52" t="s">
        <v>16</v>
      </c>
      <c r="K367" s="52" t="s">
        <v>104</v>
      </c>
      <c r="L367" s="53" t="s">
        <v>16</v>
      </c>
      <c r="M367" s="44">
        <f>INDEX(itemGPerQty, MATCH(K367, itemNames, 0))</f>
        <v>0</v>
      </c>
      <c r="N367" s="44">
        <f>INDEX(itemMlPerQty, MATCH(K367, itemNames, 0))</f>
        <v>0</v>
      </c>
      <c r="O367" s="44">
        <f t="shared" ref="O367:O368" si="311">IF(J367 = "", I367 * M367, IF(ISNA(CONVERT(I367, J367, "kg")), CONVERT(I367, J367, "l") * IF(N367 &lt;&gt; 0, M367 / N367, 0), CONVERT(I367, J367, "kg")))</f>
        <v>0</v>
      </c>
      <c r="P367" s="44">
        <f t="shared" ref="P367:P368" si="312">IF(J367 = "", I367 * N367, IF(ISNA(CONVERT(I367, J367, "l")), CONVERT(I367, J367, "kg") * IF(M367 &lt;&gt; 0, N367 / M367, 0), CONVERT(I367, J367, "l")))</f>
        <v>0.23658823649999999</v>
      </c>
      <c r="Q367" s="44">
        <f>MROUND(IF(AND(J367 = "", L367 = ""), I367 * recipe04DayScale, IF(ISNA(CONVERT(O367, "kg", L367)), CONVERT(P367 * recipe04DayScale, "l", L367), CONVERT(O367 * recipe04DayScale, "kg", L367))), roundTo)</f>
        <v>0.75</v>
      </c>
      <c r="R367" s="44">
        <f>recipe04TotScale * IF(L367 = "", Q367 * M367, IF(ISNA(CONVERT(Q367, L367, "kg")), CONVERT(Q367, L367, "l") * IF(N367 &lt;&gt; 0, M367 / N367, 0), CONVERT(Q367, L367, "kg")))</f>
        <v>0</v>
      </c>
      <c r="S367" s="44">
        <f>recipe04TotScale * IF(R367 = 0, IF(L367 = "", Q367 * N367, IF(ISNA(CONVERT(Q367, L367, "l")), CONVERT(Q367, L367, "kg") * IF(M367 &lt;&gt; 0, N367 / M367, 0), CONVERT(Q367, L367, "l"))), 0)</f>
        <v>0.17744117737499998</v>
      </c>
      <c r="T367" s="44">
        <f>recipe04TotScale * IF(AND(R367 = 0, S367 = 0, J367 = "", L367 = ""), Q367, 0)</f>
        <v>0</v>
      </c>
      <c r="V367" s="41" t="b">
        <f>INDEX(itemPrepMethods, MATCH(K367, itemNames, 0))="chop"</f>
        <v>0</v>
      </c>
      <c r="W367" s="54" t="str">
        <f>IF(V367, Q367, "")</f>
        <v/>
      </c>
      <c r="X367" s="55" t="str">
        <f>IF(V367, IF(L367 = "", "", L367), "")</f>
        <v/>
      </c>
      <c r="Y367" s="55" t="str">
        <f>IF(V367, K367, "")</f>
        <v/>
      </c>
      <c r="Z367" s="56"/>
      <c r="AA367" s="41" t="b">
        <f>INDEX(itemPrepMethods, MATCH(K367, itemNames, 0))="soak"</f>
        <v>0</v>
      </c>
      <c r="AB367" s="55" t="str">
        <f>IF(AA367, Q367, "")</f>
        <v/>
      </c>
      <c r="AC367" s="55" t="str">
        <f>IF(AA367, IF(L367 = "", "", L367), "")</f>
        <v/>
      </c>
      <c r="AD367" s="55" t="str">
        <f>IF(AA367, K367, "")</f>
        <v/>
      </c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l</v>
      </c>
      <c r="D368" s="37" t="str">
        <f>_xlfn.CONCAT(K368, U368)</f>
        <v>vegetable stock</v>
      </c>
      <c r="I368" s="51">
        <v>1</v>
      </c>
      <c r="J368" s="52" t="s">
        <v>54</v>
      </c>
      <c r="K368" s="52" t="s">
        <v>55</v>
      </c>
      <c r="L368" s="53" t="s">
        <v>54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si="311"/>
        <v>0</v>
      </c>
      <c r="P368" s="44">
        <f t="shared" si="312"/>
        <v>1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0.75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ht="15.75" x14ac:dyDescent="0.25">
      <c r="A369" s="119"/>
      <c r="B369" s="119"/>
      <c r="C369" s="119"/>
      <c r="D369" s="119"/>
      <c r="E369" s="39"/>
      <c r="F369" s="39"/>
      <c r="G369" s="44"/>
      <c r="H369" s="44"/>
      <c r="I369" s="60"/>
      <c r="J369" s="39"/>
      <c r="K369" s="39"/>
      <c r="L369" s="61"/>
      <c r="M369" s="60"/>
      <c r="N369" s="60"/>
      <c r="O369" s="60"/>
      <c r="P369" s="60"/>
      <c r="Q369" s="39"/>
      <c r="R369" s="60"/>
      <c r="S369" s="60"/>
      <c r="T369" s="60"/>
      <c r="U369" s="39"/>
      <c r="W369" s="71"/>
      <c r="X369" s="71"/>
      <c r="Y369" s="71"/>
      <c r="Z369" s="71"/>
      <c r="AA369" s="64"/>
      <c r="AB369" s="71"/>
      <c r="AC369" s="71"/>
      <c r="AD369" s="71"/>
    </row>
    <row r="370" spans="1:30" x14ac:dyDescent="0.25">
      <c r="A370" s="115" t="s">
        <v>245</v>
      </c>
      <c r="B370" s="115"/>
      <c r="C370" s="115"/>
      <c r="D370" s="115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37" t="s">
        <v>21</v>
      </c>
      <c r="B371" s="49">
        <f t="shared" si="308"/>
        <v>2</v>
      </c>
      <c r="C371" s="36" t="str">
        <f>IF(L371="","",L371)</f>
        <v/>
      </c>
      <c r="D371" s="37" t="str">
        <f>_xlfn.CONCAT(K371, U371)</f>
        <v>chopped kumara</v>
      </c>
      <c r="I371" s="51">
        <v>3</v>
      </c>
      <c r="J371" s="52"/>
      <c r="K371" s="52" t="s">
        <v>151</v>
      </c>
      <c r="L371" s="53"/>
      <c r="M371" s="44">
        <f>INDEX(itemGPerQty, MATCH(K371, itemNames, 0))</f>
        <v>0.34</v>
      </c>
      <c r="N371" s="44">
        <f>INDEX(itemMlPerQty, MATCH(K371, itemNames, 0))</f>
        <v>0</v>
      </c>
      <c r="O371" s="44">
        <f t="shared" ref="O371:O372" si="313">IF(J371 = "", I371 * M371, IF(ISNA(CONVERT(I371, J371, "kg")), CONVERT(I371, J371, "l") * IF(N371 &lt;&gt; 0, M371 / N371, 0), CONVERT(I371, J371, "kg")))</f>
        <v>1.02</v>
      </c>
      <c r="P371" s="44">
        <f t="shared" ref="P371:P372" si="314">IF(J371 = "", I371 * N371, IF(ISNA(CONVERT(I371, J371, "l")), CONVERT(I371, J371, "kg") * IF(M371 &lt;&gt; 0, N371 / M371, 0), CONVERT(I371, J371, "l")))</f>
        <v>0</v>
      </c>
      <c r="Q371" s="44">
        <f>MROUND(IF(AND(J371 = "", L371 = ""), I371 * recipe04DayScale, IF(ISNA(CONVERT(O371, "kg", L371)), CONVERT(P371 * recipe04DayScale, "l", L371), CONVERT(O371 * recipe04DayScale, "kg", L371))), roundTo)</f>
        <v>2</v>
      </c>
      <c r="R371" s="44">
        <f>recipe04TotScale * IF(L371 = "", Q371 * M371, IF(ISNA(CONVERT(Q371, L371, "kg")), CONVERT(Q371, L371, "l") * IF(N371 &lt;&gt; 0, M371 / N371, 0), CONVERT(Q371, L371, "kg")))</f>
        <v>0.68</v>
      </c>
      <c r="S371" s="44">
        <f>recipe04TotScale * IF(R371 = 0, IF(L371 = "", Q371 * N371, IF(ISNA(CONVERT(Q371, L371, "l")), CONVERT(Q371, L371, "kg") * IF(M371 &lt;&gt; 0, N371 / M371, 0), CONVERT(Q371, L371, "l"))), 0)</f>
        <v>0</v>
      </c>
      <c r="T371" s="44">
        <f>recipe04TotScale * IF(AND(R371 = 0, S371 = 0, J371 = "", L371 = ""), Q371, 0)</f>
        <v>0</v>
      </c>
      <c r="V371" s="41" t="b">
        <f>INDEX(itemPrepMethods, MATCH(K371, itemNames, 0))="chop"</f>
        <v>1</v>
      </c>
      <c r="W371" s="54">
        <f>IF(V371, Q371, "")</f>
        <v>2</v>
      </c>
      <c r="X371" s="55" t="str">
        <f>IF(V371, IF(L371 = "", "", L371), "")</f>
        <v/>
      </c>
      <c r="Y371" s="55" t="str">
        <f>IF(V371, K371, "")</f>
        <v>chopped kumara</v>
      </c>
      <c r="Z371" s="56"/>
      <c r="AA371" s="41" t="b">
        <f>INDEX(itemPrepMethods, MATCH(K371, itemNames, 0))="soak"</f>
        <v>0</v>
      </c>
      <c r="AB371" s="55" t="str">
        <f>IF(AA371, Q371, "")</f>
        <v/>
      </c>
      <c r="AC371" s="55" t="str">
        <f>IF(AA371, IF(L371 = "", "", L371), "")</f>
        <v/>
      </c>
      <c r="AD371" s="55" t="str">
        <f>IF(AA371, K371, "")</f>
        <v/>
      </c>
    </row>
    <row r="372" spans="1:30" x14ac:dyDescent="0.25">
      <c r="A372" s="37" t="s">
        <v>21</v>
      </c>
      <c r="B372" s="49">
        <f t="shared" si="308"/>
        <v>6</v>
      </c>
      <c r="C372" s="36" t="str">
        <f>IF(L372="","",L372)</f>
        <v/>
      </c>
      <c r="D372" s="37" t="str">
        <f>_xlfn.CONCAT(K372, U372)</f>
        <v>chopped carrots</v>
      </c>
      <c r="I372" s="51">
        <v>9</v>
      </c>
      <c r="J372" s="52"/>
      <c r="K372" s="52" t="s">
        <v>5</v>
      </c>
      <c r="L372" s="53"/>
      <c r="M372" s="44">
        <f>INDEX(itemGPerQty, MATCH(K372, itemNames, 0))</f>
        <v>0.14833333333333334</v>
      </c>
      <c r="N372" s="44">
        <f>INDEX(itemMlPerQty, MATCH(K372, itemNames, 0))</f>
        <v>0.19999999999999998</v>
      </c>
      <c r="O372" s="44">
        <f t="shared" si="313"/>
        <v>1.3350000000000002</v>
      </c>
      <c r="P372" s="44">
        <f t="shared" si="314"/>
        <v>1.7999999999999998</v>
      </c>
      <c r="Q372" s="44">
        <f>MROUND(IF(AND(J372 = "", L372 = ""), I372 * recipe04DayScale, IF(ISNA(CONVERT(O372, "kg", L372)), CONVERT(P372 * recipe04DayScale, "l", L372), CONVERT(O372 * recipe04DayScale, "kg", L372))), roundTo)</f>
        <v>6</v>
      </c>
      <c r="R372" s="44">
        <f>recipe04TotScale * IF(L372 = "", Q372 * M372, IF(ISNA(CONVERT(Q372, L372, "kg")), CONVERT(Q372, L372, "l") * IF(N372 &lt;&gt; 0, M372 / N372, 0), CONVERT(Q372, L372, "kg")))</f>
        <v>0.89000000000000012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6</v>
      </c>
      <c r="X372" s="55" t="str">
        <f>IF(V372, IF(L372 = "", "", L372), "")</f>
        <v/>
      </c>
      <c r="Y372" s="55" t="str">
        <f>IF(V372, K372, "")</f>
        <v>chopped carrots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ht="15.75" x14ac:dyDescent="0.25">
      <c r="A373" s="119"/>
      <c r="B373" s="119"/>
      <c r="C373" s="119"/>
      <c r="D373" s="119"/>
      <c r="E373" s="39"/>
      <c r="F373" s="39"/>
      <c r="G373" s="44"/>
      <c r="H373" s="44"/>
      <c r="I373" s="60"/>
      <c r="J373" s="39"/>
      <c r="K373" s="39"/>
      <c r="L373" s="61"/>
      <c r="M373" s="60"/>
      <c r="N373" s="60"/>
      <c r="O373" s="60"/>
      <c r="P373" s="60"/>
      <c r="Q373" s="39"/>
      <c r="R373" s="60"/>
      <c r="S373" s="60"/>
      <c r="T373" s="60"/>
      <c r="U373" s="39"/>
      <c r="W373" s="71"/>
      <c r="X373" s="71"/>
      <c r="Y373" s="71"/>
      <c r="Z373" s="71"/>
      <c r="AA373" s="64"/>
      <c r="AB373" s="71"/>
      <c r="AC373" s="71"/>
      <c r="AD373" s="71"/>
    </row>
    <row r="374" spans="1:30" x14ac:dyDescent="0.25">
      <c r="A374" s="115" t="s">
        <v>246</v>
      </c>
      <c r="B374" s="115"/>
      <c r="C374" s="115"/>
      <c r="D374" s="115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37" t="s">
        <v>21</v>
      </c>
      <c r="B375" s="49">
        <f t="shared" si="308"/>
        <v>0.75</v>
      </c>
      <c r="C375" s="36" t="str">
        <f>IF(L375="","",L375)</f>
        <v/>
      </c>
      <c r="D375" s="37" t="str">
        <f>_xlfn.CONCAT(K375, U375)</f>
        <v>chopped cauliflowers</v>
      </c>
      <c r="I375" s="51">
        <v>1.2</v>
      </c>
      <c r="J375" s="52"/>
      <c r="K375" s="52" t="s">
        <v>159</v>
      </c>
      <c r="L375" s="53"/>
      <c r="M375" s="44">
        <f>INDEX(itemGPerQty, MATCH(K375, itemNames, 0))</f>
        <v>0</v>
      </c>
      <c r="N375" s="44">
        <f>INDEX(itemMlPerQty, MATCH(K375, itemNames, 0))</f>
        <v>0</v>
      </c>
      <c r="O375" s="44">
        <f t="shared" ref="O375:O378" si="315">IF(J375 = "", I375 * M375, IF(ISNA(CONVERT(I375, J375, "kg")), CONVERT(I375, J375, "l") * IF(N375 &lt;&gt; 0, M375 / N375, 0), CONVERT(I375, J375, "kg")))</f>
        <v>0</v>
      </c>
      <c r="P375" s="44">
        <f t="shared" ref="P375:P378" si="316">IF(J375 = "", I375 * N375, IF(ISNA(CONVERT(I375, J375, "l")), CONVERT(I375, J375, "kg") * IF(M375 &lt;&gt; 0, N375 / M375, 0), CONVERT(I375, J375, "l")))</f>
        <v>0</v>
      </c>
      <c r="Q375" s="44">
        <f>MROUND(IF(AND(J375 = "", L375 = ""), I375 * recipe04DayScale, IF(ISNA(CONVERT(O375, "kg", L375)), CONVERT(P375 * recipe04DayScale, "l", L375), CONVERT(O375 * recipe04DayScale, "kg", L375))), roundTo)</f>
        <v>0.75</v>
      </c>
      <c r="R375" s="44">
        <f>recipe04TotScale * IF(L375 = "", Q375 * M375, IF(ISNA(CONVERT(Q375, L375, "kg")), CONVERT(Q375, L375, "l") * IF(N375 &lt;&gt; 0, M375 / N375, 0), CONVERT(Q375, L375, "kg")))</f>
        <v>0</v>
      </c>
      <c r="S375" s="44">
        <f>recipe04TotScale * IF(R375 = 0, IF(L375 = "", Q375 * N375, IF(ISNA(CONVERT(Q375, L375, "l")), CONVERT(Q375, L375, "kg") * IF(M375 &lt;&gt; 0, N375 / M375, 0), CONVERT(Q375, L375, "l"))), 0)</f>
        <v>0</v>
      </c>
      <c r="T375" s="44">
        <f>recipe04TotScale * IF(AND(R375 = 0, S375 = 0, J375 = "", L375 = ""), Q375, 0)</f>
        <v>0.75</v>
      </c>
      <c r="V375" s="41" t="b">
        <f>INDEX(itemPrepMethods, MATCH(K375, itemNames, 0))="chop"</f>
        <v>1</v>
      </c>
      <c r="W375" s="54">
        <f>IF(V375, Q375, "")</f>
        <v>0.75</v>
      </c>
      <c r="X375" s="55" t="str">
        <f>IF(V375, IF(L375 = "", "", L375), "")</f>
        <v/>
      </c>
      <c r="Y375" s="55" t="str">
        <f>IF(V375, K375, "")</f>
        <v>chopped cauliflowers</v>
      </c>
      <c r="Z375" s="56"/>
      <c r="AA375" s="41" t="b">
        <f>INDEX(itemPrepMethods, MATCH(K375, itemNames, 0))="soak"</f>
        <v>0</v>
      </c>
      <c r="AB375" s="55" t="str">
        <f>IF(AA375, Q375, "")</f>
        <v/>
      </c>
      <c r="AC375" s="55" t="str">
        <f>IF(AA375, IF(L375 = "", "", L375), "")</f>
        <v/>
      </c>
      <c r="AD375" s="55" t="str">
        <f>IF(AA375, K375, "")</f>
        <v/>
      </c>
    </row>
    <row r="376" spans="1:30" x14ac:dyDescent="0.25">
      <c r="A376" s="37" t="s">
        <v>21</v>
      </c>
      <c r="B376" s="49">
        <f t="shared" si="308"/>
        <v>5.25</v>
      </c>
      <c r="C376" s="36" t="str">
        <f>IF(L376="","",L376)</f>
        <v/>
      </c>
      <c r="D376" s="37" t="str">
        <f>_xlfn.CONCAT(K376, U376)</f>
        <v>sliced zucchini</v>
      </c>
      <c r="I376" s="51">
        <v>8</v>
      </c>
      <c r="J376" s="52"/>
      <c r="K376" s="52" t="s">
        <v>105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si="315"/>
        <v>0</v>
      </c>
      <c r="P376" s="44">
        <f t="shared" si="316"/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5.25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5.25</v>
      </c>
      <c r="V376" s="41" t="b">
        <f>INDEX(itemPrepMethods, MATCH(K376, itemNames, 0))="chop"</f>
        <v>1</v>
      </c>
      <c r="W376" s="54">
        <f>IF(V376, Q376, "")</f>
        <v>5.25</v>
      </c>
      <c r="X376" s="55" t="str">
        <f>IF(V376, IF(L376 = "", "", L376), "")</f>
        <v/>
      </c>
      <c r="Y376" s="55" t="str">
        <f>IF(V376, K376, "")</f>
        <v>sliced zucchini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7.25</v>
      </c>
      <c r="C377" s="36" t="str">
        <f>IF(L377="","",L377)</f>
        <v/>
      </c>
      <c r="D377" s="37" t="str">
        <f>_xlfn.CONCAT(K377, U377)</f>
        <v>sliced silverbeet leaves</v>
      </c>
      <c r="I377" s="51">
        <v>11</v>
      </c>
      <c r="J377" s="52"/>
      <c r="K377" s="52" t="s">
        <v>106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7.25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7.25</v>
      </c>
      <c r="V377" s="41" t="b">
        <f>INDEX(itemPrepMethods, MATCH(K377, itemNames, 0))="chop"</f>
        <v>1</v>
      </c>
      <c r="W377" s="54">
        <f>IF(V377, Q377, "")</f>
        <v>7.25</v>
      </c>
      <c r="X377" s="55" t="str">
        <f>IF(V377, IF(L377 = "", "", L377), "")</f>
        <v/>
      </c>
      <c r="Y377" s="55" t="str">
        <f>IF(V377, K377, "")</f>
        <v>sliced silverbeet leaves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0.75</v>
      </c>
      <c r="C378" s="36" t="str">
        <f>IF(L378="","",L378)</f>
        <v>tbs</v>
      </c>
      <c r="D378" s="37" t="str">
        <f>_xlfn.CONCAT(K378, U378)</f>
        <v>salt</v>
      </c>
      <c r="I378" s="51">
        <v>1.1000000000000001</v>
      </c>
      <c r="J378" s="52" t="s">
        <v>15</v>
      </c>
      <c r="K378" s="52" t="s">
        <v>11</v>
      </c>
      <c r="L378" s="53" t="s">
        <v>15</v>
      </c>
      <c r="M378" s="44">
        <f>INDEX(itemGPerQty, MATCH(K378, itemNames, 0))</f>
        <v>2.5000000000000001E-2</v>
      </c>
      <c r="N378" s="44">
        <f>INDEX(itemMlPerQty, MATCH(K378, itemNames, 0))</f>
        <v>2.2180100000000001E-2</v>
      </c>
      <c r="O378" s="44">
        <f t="shared" si="315"/>
        <v>1.8333372324037089E-2</v>
      </c>
      <c r="P378" s="44">
        <f t="shared" si="316"/>
        <v>1.6265441259374999E-2</v>
      </c>
      <c r="Q378" s="44">
        <f>MROUND(IF(AND(J378 = "", L378 = ""), I378 * recipe04DayScale, IF(ISNA(CONVERT(O378, "kg", L378)), CONVERT(P378 * recipe04DayScale, "l", L378), CONVERT(O378 * recipe04DayScale, "kg", L378))), roundTo)</f>
        <v>0.75</v>
      </c>
      <c r="R378" s="44">
        <f>recipe04TotScale * IF(L378 = "", Q378 * M378, IF(ISNA(CONVERT(Q378, L378, "kg")), CONVERT(Q378, L378, "l") * IF(N378 &lt;&gt; 0, M378 / N378, 0), CONVERT(Q378, L378, "kg")))</f>
        <v>1.2500026584570742E-2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0</v>
      </c>
      <c r="V378" s="41" t="b">
        <f>INDEX(itemPrepMethods, MATCH(K378, itemNames, 0))="chop"</f>
        <v>0</v>
      </c>
      <c r="W378" s="54" t="str">
        <f>IF(V378, Q378, "")</f>
        <v/>
      </c>
      <c r="X378" s="55" t="str">
        <f>IF(V378, IF(L378 = "", "", L378), "")</f>
        <v/>
      </c>
      <c r="Y378" s="55" t="str">
        <f>IF(V378, K378, "")</f>
        <v/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ht="15.75" x14ac:dyDescent="0.25">
      <c r="A379" s="119"/>
      <c r="B379" s="119"/>
      <c r="C379" s="119"/>
      <c r="D379" s="119"/>
      <c r="E379" s="39"/>
      <c r="F379" s="39"/>
      <c r="G379" s="44"/>
      <c r="H379" s="44"/>
      <c r="I379" s="60"/>
      <c r="J379" s="39"/>
      <c r="K379" s="39"/>
      <c r="L379" s="61"/>
      <c r="M379" s="60"/>
      <c r="N379" s="60"/>
      <c r="O379" s="60"/>
      <c r="P379" s="60"/>
      <c r="Q379" s="39"/>
      <c r="R379" s="60"/>
      <c r="S379" s="60"/>
      <c r="T379" s="60"/>
      <c r="U379" s="39"/>
      <c r="W379" s="71"/>
      <c r="X379" s="71"/>
      <c r="Y379" s="71"/>
      <c r="Z379" s="71"/>
      <c r="AA379" s="64"/>
      <c r="AB379" s="71"/>
      <c r="AC379" s="71"/>
      <c r="AD379" s="71"/>
    </row>
    <row r="380" spans="1:30" x14ac:dyDescent="0.25">
      <c r="A380" s="115" t="s">
        <v>247</v>
      </c>
      <c r="B380" s="115"/>
      <c r="C380" s="115"/>
      <c r="D380" s="115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37" t="s">
        <v>21</v>
      </c>
      <c r="B381" s="49">
        <f t="shared" si="308"/>
        <v>1.25</v>
      </c>
      <c r="C381" s="36" t="str">
        <f>IF(L381="","",L381)</f>
        <v/>
      </c>
      <c r="D381" s="37" t="str">
        <f>_xlfn.CONCAT(K381, U381)</f>
        <v>tinned coconut cream</v>
      </c>
      <c r="I381" s="51">
        <v>2</v>
      </c>
      <c r="J381" s="52"/>
      <c r="K381" s="52" t="s">
        <v>447</v>
      </c>
      <c r="L381" s="53"/>
      <c r="M381" s="44">
        <f>INDEX(itemGPerQty, MATCH(K381, itemNames, 0))</f>
        <v>0</v>
      </c>
      <c r="N381" s="44">
        <f>INDEX(itemMlPerQty, MATCH(K381, itemNames, 0))</f>
        <v>0</v>
      </c>
      <c r="O381" s="44">
        <f t="shared" ref="O381:O382" si="317">IF(J381 = "", I381 * M381, IF(ISNA(CONVERT(I381, J381, "kg")), CONVERT(I381, J381, "l") * IF(N381 &lt;&gt; 0, M381 / N381, 0), CONVERT(I381, J381, "kg")))</f>
        <v>0</v>
      </c>
      <c r="P381" s="44">
        <f t="shared" ref="P381:P382" si="318">IF(J381 = "", I381 * N381, IF(ISNA(CONVERT(I381, J381, "l")), CONVERT(I381, J381, "kg") * IF(M381 &lt;&gt; 0, N381 / M381, 0), CONVERT(I381, J381, "l")))</f>
        <v>0</v>
      </c>
      <c r="Q381" s="44">
        <f>MROUND(IF(AND(J381 = "", L381 = ""), I381 * recipe04DayScale, IF(ISNA(CONVERT(O381, "kg", L381)), CONVERT(P381 * recipe04DayScale, "l", L381), CONVERT(O381 * recipe04DayScale, "kg", L381))), roundTo)</f>
        <v>1.25</v>
      </c>
      <c r="R381" s="44">
        <f>recipe04TotScale * IF(L381 = "", Q381 * M381, IF(ISNA(CONVERT(Q381, L381, "kg")), CONVERT(Q381, L381, "l") * IF(N381 &lt;&gt; 0, M381 / N381, 0), CONVERT(Q381, L381, "kg")))</f>
        <v>0</v>
      </c>
      <c r="S381" s="44">
        <f>recipe04TotScale * IF(R381 = 0, IF(L381 = "", Q381 * N381, IF(ISNA(CONVERT(Q381, L381, "l")), CONVERT(Q381, L381, "kg") * IF(M381 &lt;&gt; 0, N381 / M381, 0), CONVERT(Q381, L381, "l"))), 0)</f>
        <v>0</v>
      </c>
      <c r="T381" s="44">
        <f>recipe04TotScale * IF(AND(R381 = 0, S381 = 0, J381 = "", L381 = ""), Q381, 0)</f>
        <v>1.25</v>
      </c>
      <c r="V381" s="41" t="b">
        <f>INDEX(itemPrepMethods, MATCH(K381, itemNames, 0))="chop"</f>
        <v>0</v>
      </c>
      <c r="W381" s="54" t="str">
        <f>IF(V381, Q381, "")</f>
        <v/>
      </c>
      <c r="X381" s="55" t="str">
        <f>IF(V381, IF(L381 = "", "", L381), "")</f>
        <v/>
      </c>
      <c r="Y381" s="55" t="str">
        <f>IF(V381, K381, "")</f>
        <v/>
      </c>
      <c r="Z381" s="56"/>
      <c r="AA381" s="41" t="b">
        <f>INDEX(itemPrepMethods, MATCH(K381, itemNames, 0))="soak"</f>
        <v>0</v>
      </c>
      <c r="AB381" s="55" t="str">
        <f>IF(AA381, Q381, "")</f>
        <v/>
      </c>
      <c r="AC381" s="55" t="str">
        <f>IF(AA381, IF(L381 = "", "", L381), "")</f>
        <v/>
      </c>
      <c r="AD381" s="55" t="str">
        <f>IF(AA381, K381, "")</f>
        <v/>
      </c>
    </row>
    <row r="382" spans="1:30" x14ac:dyDescent="0.25">
      <c r="A382" s="37" t="s">
        <v>21</v>
      </c>
      <c r="B382" s="49">
        <f t="shared" si="308"/>
        <v>4</v>
      </c>
      <c r="C382" s="36" t="str">
        <f>IF(L382="","",L382)</f>
        <v/>
      </c>
      <c r="D382" s="37" t="str">
        <f>_xlfn.CONCAT(K382, U382)</f>
        <v>tinned chickpeas. Rinse and drain first</v>
      </c>
      <c r="I382" s="51">
        <v>6</v>
      </c>
      <c r="J382" s="51"/>
      <c r="K382" s="51" t="s">
        <v>445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si="317"/>
        <v>0</v>
      </c>
      <c r="P382" s="44">
        <f t="shared" si="318"/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4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4</v>
      </c>
      <c r="U382" s="41" t="s">
        <v>241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/>
      <c r="C383" s="36" t="str">
        <f>IF(L383="","",L383)</f>
        <v/>
      </c>
      <c r="D383" s="37" t="str">
        <f>_xlfn.CONCAT(K383, U383)</f>
        <v>water, if required</v>
      </c>
      <c r="I383" s="44"/>
      <c r="K383" s="52" t="s">
        <v>47</v>
      </c>
      <c r="L383" s="41"/>
      <c r="M383" s="41"/>
      <c r="N383" s="41"/>
      <c r="O383" s="41"/>
      <c r="P383" s="41"/>
      <c r="U383" s="41" t="s">
        <v>207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salt, to taste</v>
      </c>
      <c r="I384" s="44"/>
      <c r="K384" s="52" t="s">
        <v>11</v>
      </c>
      <c r="L384" s="41"/>
      <c r="M384" s="41"/>
      <c r="N384" s="41"/>
      <c r="O384" s="41"/>
      <c r="P384" s="41"/>
      <c r="U384" s="41" t="s">
        <v>206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ground black pepper, to taste</v>
      </c>
      <c r="I385" s="44"/>
      <c r="K385" s="52" t="s">
        <v>76</v>
      </c>
      <c r="L385" s="41"/>
      <c r="M385" s="41"/>
      <c r="N385" s="41"/>
      <c r="O385" s="41"/>
      <c r="P385" s="41"/>
      <c r="U385" s="41" t="s">
        <v>206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ht="15.75" x14ac:dyDescent="0.25">
      <c r="A386" s="119"/>
      <c r="B386" s="119"/>
      <c r="C386" s="119"/>
      <c r="D386" s="119"/>
      <c r="E386" s="39"/>
      <c r="F386" s="39"/>
      <c r="G386" s="44"/>
      <c r="H386" s="44"/>
      <c r="I386" s="60"/>
      <c r="J386" s="39"/>
      <c r="K386" s="39"/>
      <c r="L386" s="61"/>
      <c r="M386" s="60"/>
      <c r="N386" s="60"/>
      <c r="O386" s="60"/>
      <c r="P386" s="60"/>
      <c r="Q386" s="39"/>
      <c r="R386" s="60"/>
      <c r="S386" s="60"/>
      <c r="T386" s="60"/>
      <c r="U386" s="39"/>
    </row>
    <row r="387" spans="1:30" x14ac:dyDescent="0.25">
      <c r="A387" s="115" t="s">
        <v>248</v>
      </c>
      <c r="B387" s="115"/>
      <c r="C387" s="115"/>
      <c r="D387" s="115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ht="15.75" x14ac:dyDescent="0.25">
      <c r="A388" s="116" t="s">
        <v>36</v>
      </c>
      <c r="B388" s="116"/>
      <c r="C388" s="116"/>
      <c r="D388" s="116"/>
      <c r="E388" s="40" t="s">
        <v>135</v>
      </c>
      <c r="F388" s="100" t="s">
        <v>178</v>
      </c>
      <c r="G388" s="100"/>
    </row>
    <row r="389" spans="1:30" ht="24" x14ac:dyDescent="0.2">
      <c r="A389" s="116" t="s">
        <v>43</v>
      </c>
      <c r="B389" s="116"/>
      <c r="C389" s="116"/>
      <c r="D389" s="116"/>
      <c r="E389" s="39" t="s">
        <v>53</v>
      </c>
      <c r="F389" s="87">
        <v>16</v>
      </c>
      <c r="G389" s="44"/>
      <c r="I389" s="67" t="s">
        <v>434</v>
      </c>
      <c r="J389" s="68" t="s">
        <v>435</v>
      </c>
      <c r="K389" s="68" t="s">
        <v>17</v>
      </c>
      <c r="L389" s="69" t="s">
        <v>438</v>
      </c>
      <c r="M389" s="67" t="s">
        <v>141</v>
      </c>
      <c r="N389" s="67" t="s">
        <v>142</v>
      </c>
      <c r="O389" s="67" t="s">
        <v>436</v>
      </c>
      <c r="P389" s="67" t="s">
        <v>437</v>
      </c>
      <c r="Q389" s="68" t="s">
        <v>353</v>
      </c>
      <c r="R389" s="67" t="s">
        <v>354</v>
      </c>
      <c r="S389" s="67" t="s">
        <v>355</v>
      </c>
      <c r="T389" s="67" t="s">
        <v>356</v>
      </c>
      <c r="U389" s="68" t="s">
        <v>22</v>
      </c>
      <c r="V389" s="68" t="s">
        <v>202</v>
      </c>
      <c r="W389" s="70" t="s">
        <v>353</v>
      </c>
      <c r="X389" s="68" t="s">
        <v>200</v>
      </c>
      <c r="Y389" s="68" t="s">
        <v>201</v>
      </c>
      <c r="Z389" s="68" t="s">
        <v>302</v>
      </c>
      <c r="AA389" s="68" t="s">
        <v>203</v>
      </c>
      <c r="AB389" s="70" t="s">
        <v>353</v>
      </c>
      <c r="AC389" s="68" t="s">
        <v>204</v>
      </c>
      <c r="AD389" s="68" t="s">
        <v>205</v>
      </c>
    </row>
    <row r="390" spans="1:30" ht="13.5" thickBot="1" x14ac:dyDescent="0.3">
      <c r="A390" s="117" t="str">
        <f>_xlfn.CONCAT(F390," servings")</f>
        <v>10 servings</v>
      </c>
      <c r="B390" s="117"/>
      <c r="C390" s="117"/>
      <c r="D390" s="117"/>
      <c r="E390" s="63" t="s">
        <v>348</v>
      </c>
      <c r="F390" s="87">
        <f>thDiCount</f>
        <v>10</v>
      </c>
      <c r="G390" s="44"/>
      <c r="I390" s="60"/>
      <c r="J390" s="39"/>
      <c r="K390" s="39"/>
      <c r="L390" s="61"/>
      <c r="M390" s="60"/>
      <c r="N390" s="60"/>
      <c r="O390" s="60"/>
      <c r="P390" s="60"/>
      <c r="Q390" s="39"/>
      <c r="R390" s="60"/>
      <c r="S390" s="60"/>
      <c r="T390" s="60"/>
      <c r="U390" s="39"/>
    </row>
    <row r="391" spans="1:30" s="102" customFormat="1" ht="15.75" thickBot="1" x14ac:dyDescent="0.3">
      <c r="A391" s="115"/>
      <c r="B391" s="115"/>
      <c r="C391" s="115"/>
      <c r="D391" s="115"/>
      <c r="E391" s="63" t="s">
        <v>351</v>
      </c>
      <c r="F391" s="47">
        <f>F390/F389</f>
        <v>0.625</v>
      </c>
      <c r="G391" s="48" t="s">
        <v>381</v>
      </c>
      <c r="I391" s="60"/>
      <c r="J391" s="100"/>
      <c r="K391" s="100"/>
      <c r="L391" s="61"/>
      <c r="M391" s="60"/>
      <c r="N391" s="60"/>
      <c r="O391" s="60"/>
      <c r="P391" s="60"/>
      <c r="Q391" s="100"/>
      <c r="R391" s="60"/>
      <c r="S391" s="60"/>
      <c r="T391" s="60"/>
      <c r="U391" s="100"/>
      <c r="W391" s="45"/>
      <c r="Z391" s="46"/>
    </row>
    <row r="392" spans="1:30" x14ac:dyDescent="0.25">
      <c r="A392" s="115" t="s">
        <v>160</v>
      </c>
      <c r="B392" s="115"/>
      <c r="C392" s="115"/>
      <c r="D392" s="115"/>
      <c r="E392" s="64"/>
      <c r="F392" s="64"/>
      <c r="G392" s="64"/>
      <c r="I392" s="60"/>
      <c r="J392" s="39"/>
      <c r="K392" s="39"/>
      <c r="L392" s="61"/>
      <c r="M392" s="60"/>
      <c r="N392" s="60"/>
      <c r="O392" s="60"/>
      <c r="P392" s="60"/>
      <c r="Q392" s="39"/>
      <c r="R392" s="60"/>
      <c r="S392" s="60"/>
      <c r="T392" s="60"/>
      <c r="U392" s="39"/>
    </row>
    <row r="393" spans="1:30" ht="15.75" thickBot="1" x14ac:dyDescent="0.3">
      <c r="A393" s="115"/>
      <c r="B393" s="115"/>
      <c r="C393" s="115"/>
      <c r="D393" s="115"/>
      <c r="E393" s="63" t="s">
        <v>327</v>
      </c>
      <c r="F393" s="87">
        <f>thDiCount</f>
        <v>10</v>
      </c>
      <c r="G393" s="64"/>
      <c r="I393" s="44"/>
    </row>
    <row r="394" spans="1:30" ht="15.75" thickBot="1" x14ac:dyDescent="0.3">
      <c r="A394" s="115" t="s">
        <v>179</v>
      </c>
      <c r="B394" s="115"/>
      <c r="C394" s="115"/>
      <c r="D394" s="115"/>
      <c r="E394" s="63" t="s">
        <v>352</v>
      </c>
      <c r="F394" s="47">
        <f>F393/F390</f>
        <v>1</v>
      </c>
      <c r="G394" s="48" t="s">
        <v>382</v>
      </c>
      <c r="I394" s="44"/>
    </row>
    <row r="395" spans="1:30" x14ac:dyDescent="0.25">
      <c r="A395" s="37" t="s">
        <v>21</v>
      </c>
      <c r="B395" s="49">
        <f t="shared" ref="B395" si="319">Q395</f>
        <v>1.25</v>
      </c>
      <c r="C395" s="36" t="str">
        <f t="shared" ref="C395" si="320">IF(L395="","",L395)</f>
        <v>cup</v>
      </c>
      <c r="D395" s="37" t="str">
        <f>_xlfn.CONCAT(K395, U395)</f>
        <v>split peas. Soaked by Tenzo the night before. Rinse and drain first</v>
      </c>
      <c r="I395" s="59">
        <v>2</v>
      </c>
      <c r="J395" s="52" t="s">
        <v>16</v>
      </c>
      <c r="K395" s="52" t="s">
        <v>7</v>
      </c>
      <c r="L395" s="53" t="s">
        <v>16</v>
      </c>
      <c r="M395" s="44">
        <f>INDEX(itemGPerQty, MATCH(K395, itemNames, 0))</f>
        <v>0.84699999999999998</v>
      </c>
      <c r="N395" s="44">
        <f>INDEX(itemMlPerQty, MATCH(K395, itemNames, 0))</f>
        <v>0.946353</v>
      </c>
      <c r="O395" s="44">
        <f>IF(J395 = "", I395 * M395, IF(ISNA(CONVERT(I395, J395, "kg")), CONVERT(I395, J395, "l") * IF(N395 &lt;&gt; 0, M395 / N395, 0), CONVERT(I395, J395, "kg")))</f>
        <v>0.4234999758345987</v>
      </c>
      <c r="P395" s="44">
        <f>IF(J395 = "", I395 * N395, IF(ISNA(CONVERT(I395, J395, "l")), CONVERT(I395, J395, "kg") * IF(M395 &lt;&gt; 0, N395 / M395, 0), CONVERT(I395, J395, "l")))</f>
        <v>0.47317647299999999</v>
      </c>
      <c r="Q395" s="44">
        <f>MROUND(IF(AND(J395 = "", L395 = ""), I395 * recipe11DayScale, IF(ISNA(CONVERT(O395, "kg", L395)), CONVERT(P395 * recipe11DayScale, "l", L395), CONVERT(O395 * recipe11DayScale, "kg", L395))), roundTo)</f>
        <v>1.25</v>
      </c>
      <c r="R395" s="44">
        <f>recipe11TotScale * IF(L395 = "", Q395 * M395, IF(ISNA(CONVERT(Q395, L395, "kg")), CONVERT(Q395, L395, "l") * IF(N395 &lt;&gt; 0, M395 / N395, 0), CONVERT(Q395, L395, "kg")))</f>
        <v>0.26468748489662419</v>
      </c>
      <c r="S395" s="44">
        <f>recipe11TotScale * IF(R395 = 0, IF(L395 = "", Q395 * N395, IF(ISNA(CONVERT(Q395, L395, "l")), CONVERT(Q395, L395, "kg") * IF(M395 &lt;&gt; 0, N395 / M395, 0), CONVERT(Q395, L395, "l"))), 0)</f>
        <v>0</v>
      </c>
      <c r="T395" s="44">
        <f>recipe11TotScale * IF(AND(R395 = 0, S395 = 0, J395 = "", L395 = ""), Q395, 0)</f>
        <v>0</v>
      </c>
      <c r="U395" s="41" t="s">
        <v>234</v>
      </c>
      <c r="V395" s="41" t="b">
        <f>INDEX(itemPrepMethods, MATCH(K395, itemNames, 0))="chop"</f>
        <v>0</v>
      </c>
      <c r="W395" s="54" t="str">
        <f>IF(V395, Q395, "")</f>
        <v/>
      </c>
      <c r="X395" s="55" t="str">
        <f>IF(V395, IF(L395 = "", "", L395), "")</f>
        <v/>
      </c>
      <c r="Y395" s="55" t="str">
        <f>IF(V395, K395, "")</f>
        <v/>
      </c>
      <c r="Z395" s="56"/>
      <c r="AA395" s="41" t="b">
        <f>INDEX(itemPrepMethods, MATCH(K395, itemNames, 0))="soak"</f>
        <v>1</v>
      </c>
      <c r="AB395" s="55">
        <f>IF(AA395, Q395, "")</f>
        <v>1.25</v>
      </c>
      <c r="AC395" s="55" t="str">
        <f>IF(AA395, IF(L395 = "", "", L395), "")</f>
        <v>cup</v>
      </c>
      <c r="AD395" s="55" t="str">
        <f>IF(AA395, K395, "")</f>
        <v>split peas</v>
      </c>
    </row>
    <row r="396" spans="1:30" x14ac:dyDescent="0.25">
      <c r="A396" s="115"/>
      <c r="B396" s="115"/>
      <c r="C396" s="115"/>
      <c r="D396" s="115"/>
      <c r="I396" s="44"/>
      <c r="W396" s="71"/>
      <c r="X396" s="72"/>
      <c r="Y396" s="72"/>
      <c r="Z396" s="73"/>
      <c r="AB396" s="71"/>
      <c r="AC396" s="71"/>
      <c r="AD396" s="71"/>
    </row>
    <row r="397" spans="1:30" x14ac:dyDescent="0.25">
      <c r="A397" s="115" t="s">
        <v>291</v>
      </c>
      <c r="B397" s="115"/>
      <c r="C397" s="115"/>
      <c r="D397" s="115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37" t="s">
        <v>21</v>
      </c>
      <c r="B398" s="49">
        <f t="shared" ref="B398" si="321">Q398</f>
        <v>6.25</v>
      </c>
      <c r="C398" s="36" t="str">
        <f t="shared" ref="C398" si="322">IF(L398="","",L398)</f>
        <v>tbs</v>
      </c>
      <c r="D398" s="37" t="str">
        <f>_xlfn.CONCAT(K398, U398)</f>
        <v>oil</v>
      </c>
      <c r="I398" s="59">
        <v>10</v>
      </c>
      <c r="J398" s="52" t="s">
        <v>15</v>
      </c>
      <c r="K398" s="52" t="s">
        <v>46</v>
      </c>
      <c r="L398" s="53" t="s">
        <v>15</v>
      </c>
      <c r="M398" s="44">
        <f t="shared" ref="M398:M402" si="323">INDEX(itemGPerQty, MATCH(K398, itemNames, 0))</f>
        <v>0</v>
      </c>
      <c r="N398" s="44">
        <f t="shared" ref="N398:N402" si="324">INDEX(itemMlPerQty, MATCH(K398, itemNames, 0))</f>
        <v>0</v>
      </c>
      <c r="O398" s="44">
        <f t="shared" ref="O398:O402" si="325">IF(J398 = "", I398 * M398, IF(ISNA(CONVERT(I398, J398, "kg")), CONVERT(I398, J398, "l") * IF(N398 &lt;&gt; 0, M398 / N398, 0), CONVERT(I398, J398, "kg")))</f>
        <v>0</v>
      </c>
      <c r="P398" s="44">
        <f t="shared" ref="P398:P402" si="326">IF(J398 = "", I398 * N398, IF(ISNA(CONVERT(I398, J398, "l")), CONVERT(I398, J398, "kg") * IF(M398 &lt;&gt; 0, N398 / M398, 0), CONVERT(I398, J398, "l")))</f>
        <v>0.1478676478125</v>
      </c>
      <c r="Q398" s="44">
        <f>MROUND(IF(AND(J398 = "", L398 = ""), I398 * recipe11DayScale, IF(ISNA(CONVERT(O398, "kg", L398)), CONVERT(P398 * recipe11DayScale, "l", L398), CONVERT(O398 * recipe11DayScale, "kg", L398))), roundTo)</f>
        <v>6.25</v>
      </c>
      <c r="R398" s="44">
        <f>recipe11TotScale * IF(L398 = "", Q398 * M398, IF(ISNA(CONVERT(Q398, L398, "kg")), CONVERT(Q398, L398, "l") * IF(N398 &lt;&gt; 0, M398 / N398, 0), CONVERT(Q398, L398, "kg")))</f>
        <v>0</v>
      </c>
      <c r="S398" s="44">
        <f>recipe11TotScale * IF(R398 = 0, IF(L398 = "", Q398 * N398, IF(ISNA(CONVERT(Q398, L398, "l")), CONVERT(Q398, L398, "kg") * IF(M398 &lt;&gt; 0, N398 / M398, 0), CONVERT(Q398, L398, "l"))), 0)</f>
        <v>9.2417279882812495E-2</v>
      </c>
      <c r="T398" s="44">
        <f>recipe11TotScale * IF(AND(R398 = 0, S398 = 0, J398 = "", L398 = ""), Q398, 0)</f>
        <v>0</v>
      </c>
      <c r="V398" s="41" t="b">
        <f>INDEX(itemPrepMethods, MATCH(K398, itemNames, 0))="chop"</f>
        <v>0</v>
      </c>
      <c r="W398" s="54" t="str">
        <f>IF(V398, Q398, "")</f>
        <v/>
      </c>
      <c r="X398" s="55" t="str">
        <f>IF(V398, IF(L398 = "", "", L398), "")</f>
        <v/>
      </c>
      <c r="Y398" s="55" t="str">
        <f>IF(V398, K398, "")</f>
        <v/>
      </c>
      <c r="Z398" s="56"/>
      <c r="AA398" s="41" t="b">
        <f>INDEX(itemPrepMethods, MATCH(K398, itemNames, 0))="soak"</f>
        <v>0</v>
      </c>
      <c r="AB398" s="55" t="str">
        <f>IF(AA398, Q398, "")</f>
        <v/>
      </c>
      <c r="AC398" s="55" t="str">
        <f>IF(AA398, IF(L398 = "", "", L398), "")</f>
        <v/>
      </c>
      <c r="AD398" s="55" t="str">
        <f>IF(AA398, K398, "")</f>
        <v/>
      </c>
    </row>
    <row r="399" spans="1:30" x14ac:dyDescent="0.25">
      <c r="A399" s="37" t="s">
        <v>21</v>
      </c>
      <c r="B399" s="49">
        <f t="shared" ref="B399:B402" si="327">Q399</f>
        <v>5</v>
      </c>
      <c r="C399" s="36" t="str">
        <f t="shared" ref="C399:C402" si="328">IF(L399="","",L399)</f>
        <v/>
      </c>
      <c r="D399" s="37" t="str">
        <f>_xlfn.CONCAT(K399, U399)</f>
        <v>garlic cloves. Remove from oil once cooked</v>
      </c>
      <c r="I399" s="59">
        <v>8</v>
      </c>
      <c r="J399" s="52"/>
      <c r="K399" s="52" t="s">
        <v>8</v>
      </c>
      <c r="L399" s="53"/>
      <c r="M399" s="44">
        <f t="shared" si="323"/>
        <v>0</v>
      </c>
      <c r="N399" s="44">
        <f t="shared" si="324"/>
        <v>0</v>
      </c>
      <c r="O399" s="44">
        <f t="shared" si="325"/>
        <v>0</v>
      </c>
      <c r="P399" s="44">
        <f t="shared" si="326"/>
        <v>0</v>
      </c>
      <c r="Q399" s="44">
        <f>MROUND(IF(AND(J399 = "", L399 = ""), I399 * recipe11DayScale, IF(ISNA(CONVERT(O399, "kg", L399)), CONVERT(P399 * recipe11DayScale, "l", L399), CONVERT(O399 * recipe11DayScale, "kg", L399))), roundTo)</f>
        <v>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0</v>
      </c>
      <c r="T399" s="44">
        <f>recipe11TotScale * IF(AND(R399 = 0, S399 = 0, J399 = "", L399 = ""), Q399, 0)</f>
        <v>5</v>
      </c>
      <c r="U399" s="41" t="s">
        <v>233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si="327"/>
        <v>1.25</v>
      </c>
      <c r="C400" s="36" t="str">
        <f t="shared" si="328"/>
        <v>tbs</v>
      </c>
      <c r="D400" s="37" t="str">
        <f>_xlfn.CONCAT(K400, U400)</f>
        <v>ground turmeric</v>
      </c>
      <c r="I400" s="59">
        <v>2</v>
      </c>
      <c r="J400" s="52" t="s">
        <v>15</v>
      </c>
      <c r="K400" s="52" t="s">
        <v>305</v>
      </c>
      <c r="L400" s="53" t="s">
        <v>15</v>
      </c>
      <c r="M400" s="44">
        <f t="shared" si="323"/>
        <v>1.4E-2</v>
      </c>
      <c r="N400" s="44">
        <f t="shared" si="324"/>
        <v>2.2180100000000001E-2</v>
      </c>
      <c r="O400" s="44">
        <f t="shared" si="325"/>
        <v>1.8666706366292307E-2</v>
      </c>
      <c r="P400" s="44">
        <f t="shared" si="326"/>
        <v>2.9573529562499999E-2</v>
      </c>
      <c r="Q400" s="44">
        <f>MROUND(IF(AND(J400 = "", L400 = ""), I400 * recipe11DayScale, IF(ISNA(CONVERT(O400, "kg", L400)), CONVERT(P400 * recipe11DayScale, "l", L400), CONVERT(O400 * recipe11DayScale, "kg", L400))), roundTo)</f>
        <v>1.25</v>
      </c>
      <c r="R400" s="44">
        <f>recipe11TotScale * IF(L400 = "", Q400 * M400, IF(ISNA(CONVERT(Q400, L400, "kg")), CONVERT(Q400, L400, "l") * IF(N400 &lt;&gt; 0, M400 / N400, 0), CONVERT(Q400, L400, "kg")))</f>
        <v>1.1666691478932692E-2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0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0.75</v>
      </c>
      <c r="C401" s="36" t="str">
        <f t="shared" si="328"/>
        <v>tbs</v>
      </c>
      <c r="D401" s="37" t="str">
        <f>_xlfn.CONCAT(K401, U401)</f>
        <v>cinnamon</v>
      </c>
      <c r="I401" s="59">
        <v>1</v>
      </c>
      <c r="J401" s="52" t="s">
        <v>15</v>
      </c>
      <c r="K401" s="52" t="s">
        <v>101</v>
      </c>
      <c r="L401" s="53" t="s">
        <v>15</v>
      </c>
      <c r="M401" s="44">
        <f t="shared" si="323"/>
        <v>1.0999999999999999E-2</v>
      </c>
      <c r="N401" s="44">
        <f t="shared" si="324"/>
        <v>2.2180100000000001E-2</v>
      </c>
      <c r="O401" s="44">
        <f t="shared" si="325"/>
        <v>7.3333489296148338E-3</v>
      </c>
      <c r="P401" s="44">
        <f t="shared" si="326"/>
        <v>1.478676478125E-2</v>
      </c>
      <c r="Q401" s="44">
        <f>MROUND(IF(AND(J401 = "", L401 = ""), I401 * recipe11DayScale, IF(ISNA(CONVERT(O401, "kg", L401)), CONVERT(P401 * recipe11DayScale, "l", L401), CONVERT(O401 * recipe11DayScale, "kg", L401))), roundTo)</f>
        <v>0.75</v>
      </c>
      <c r="R401" s="44">
        <f>recipe11TotScale * IF(L401 = "", Q401 * M401, IF(ISNA(CONVERT(Q401, L401, "kg")), CONVERT(Q401, L401, "l") * IF(N401 &lt;&gt; 0, M401 / N401, 0), CONVERT(Q401, L401, "kg")))</f>
        <v>5.5000116972111247E-3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4.5</v>
      </c>
      <c r="C402" s="36" t="str">
        <f t="shared" si="328"/>
        <v>tbs</v>
      </c>
      <c r="D402" s="37" t="str">
        <f>_xlfn.CONCAT(K402, U402)</f>
        <v>minced fresh ginger</v>
      </c>
      <c r="I402" s="59">
        <v>7</v>
      </c>
      <c r="J402" s="52" t="s">
        <v>15</v>
      </c>
      <c r="K402" s="52" t="s">
        <v>221</v>
      </c>
      <c r="L402" s="53" t="s">
        <v>15</v>
      </c>
      <c r="M402" s="44">
        <f t="shared" si="323"/>
        <v>0</v>
      </c>
      <c r="N402" s="44">
        <f t="shared" si="324"/>
        <v>0</v>
      </c>
      <c r="O402" s="44">
        <f t="shared" si="325"/>
        <v>0</v>
      </c>
      <c r="P402" s="44">
        <f t="shared" si="326"/>
        <v>0.10350735346874999</v>
      </c>
      <c r="Q402" s="44">
        <f>MROUND(IF(AND(J402 = "", L402 = ""), I402 * recipe11DayScale, IF(ISNA(CONVERT(O402, "kg", L402)), CONVERT(P402 * recipe11DayScale, "l", L402), CONVERT(O402 * recipe11DayScale, "kg", L402))), roundTo)</f>
        <v>4.5</v>
      </c>
      <c r="R402" s="44">
        <f>recipe11TotScale * IF(L402 = "", Q402 * M402, IF(ISNA(CONVERT(Q402, L402, "kg")), CONVERT(Q402, L402, "l") * IF(N402 &lt;&gt; 0, M402 / N402, 0), CONVERT(Q402, L402, "kg")))</f>
        <v>0</v>
      </c>
      <c r="S402" s="44">
        <f>recipe11TotScale * IF(R402 = 0, IF(L402 = "", Q402 * N402, IF(ISNA(CONVERT(Q402, L402, "l")), CONVERT(Q402, L402, "kg") * IF(M402 &lt;&gt; 0, N402 / M402, 0), CONVERT(Q402, L402, "l"))), 0)</f>
        <v>6.6540441515624993E-2</v>
      </c>
      <c r="T402" s="44">
        <f>recipe11TotScale * IF(AND(R402 = 0, S402 = 0, J402 = "", L402 = ""), Q402, 0)</f>
        <v>0</v>
      </c>
      <c r="V402" s="41" t="b">
        <f>INDEX(itemPrepMethods, MATCH(K402, itemNames, 0))="chop"</f>
        <v>1</v>
      </c>
      <c r="W402" s="54">
        <f>IF(V402, Q402, "")</f>
        <v>4.5</v>
      </c>
      <c r="X402" s="55" t="str">
        <f>IF(V402, IF(L402 = "", "", L402), "")</f>
        <v>tbs</v>
      </c>
      <c r="Y402" s="55" t="str">
        <f>IF(V402, K402, "")</f>
        <v>minced fresh ginger</v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115"/>
      <c r="B403" s="115"/>
      <c r="C403" s="115"/>
      <c r="D403" s="115"/>
      <c r="I403" s="41"/>
      <c r="L403" s="41"/>
      <c r="M403" s="41"/>
      <c r="N403" s="41"/>
      <c r="O403" s="41"/>
      <c r="P403" s="41"/>
      <c r="Q403" s="41"/>
      <c r="T403" s="41"/>
      <c r="W403" s="71"/>
      <c r="X403" s="72"/>
      <c r="Y403" s="72"/>
      <c r="Z403" s="73"/>
      <c r="AB403" s="71"/>
      <c r="AC403" s="71"/>
      <c r="AD403" s="71"/>
    </row>
    <row r="404" spans="1:30" x14ac:dyDescent="0.25">
      <c r="A404" s="115" t="s">
        <v>182</v>
      </c>
      <c r="B404" s="115"/>
      <c r="C404" s="115"/>
      <c r="D404" s="115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37" t="s">
        <v>21</v>
      </c>
      <c r="B405" s="49">
        <f t="shared" ref="B405:B407" si="329">Q405</f>
        <v>1.25</v>
      </c>
      <c r="C405" s="36" t="str">
        <f t="shared" ref="C405:C407" si="330">IF(L405="","",L405)</f>
        <v>l</v>
      </c>
      <c r="D405" s="37" t="str">
        <f>_xlfn.CONCAT(K405, U405)</f>
        <v>water. This soup is thick so DON'T ADD TOO MUCH</v>
      </c>
      <c r="I405" s="59">
        <v>2</v>
      </c>
      <c r="J405" s="52" t="s">
        <v>54</v>
      </c>
      <c r="K405" s="52" t="s">
        <v>47</v>
      </c>
      <c r="L405" s="53" t="s">
        <v>54</v>
      </c>
      <c r="M405" s="44">
        <f>INDEX(itemGPerQty, MATCH(K405, itemNames, 0))</f>
        <v>1</v>
      </c>
      <c r="N405" s="44">
        <f>INDEX(itemMlPerQty, MATCH(K405, itemNames, 0))</f>
        <v>1</v>
      </c>
      <c r="O405" s="44">
        <f t="shared" ref="O405:O408" si="331">IF(J405 = "", I405 * M405, IF(ISNA(CONVERT(I405, J405, "kg")), CONVERT(I405, J405, "l") * IF(N405 &lt;&gt; 0, M405 / N405, 0), CONVERT(I405, J405, "kg")))</f>
        <v>2</v>
      </c>
      <c r="P405" s="44">
        <f t="shared" ref="P405:P408" si="332">IF(J405 = "", I405 * N405, IF(ISNA(CONVERT(I405, J405, "l")), CONVERT(I405, J405, "kg") * IF(M405 &lt;&gt; 0, N405 / M405, 0), CONVERT(I405, J405, "l")))</f>
        <v>2</v>
      </c>
      <c r="Q405" s="44">
        <f>MROUND(IF(AND(J405 = "", L405 = ""), I405 * recipe11DayScale, IF(ISNA(CONVERT(O405, "kg", L405)), CONVERT(P405 * recipe11DayScale, "l", L405), CONVERT(O405 * recipe11DayScale, "kg", L405))), roundTo)</f>
        <v>1.25</v>
      </c>
      <c r="R405" s="44">
        <f>recipe11TotScale * IF(L405 = "", Q405 * M405, IF(ISNA(CONVERT(Q405, L405, "kg")), CONVERT(Q405, L405, "l") * IF(N405 &lt;&gt; 0, M405 / N405, 0), CONVERT(Q405, L405, "kg")))</f>
        <v>1.25</v>
      </c>
      <c r="S405" s="44">
        <f>recipe11TotScale * IF(R405 = 0, IF(L405 = "", Q405 * N405, IF(ISNA(CONVERT(Q405, L405, "l")), CONVERT(Q405, L405, "kg") * IF(M405 &lt;&gt; 0, N405 / M405, 0), CONVERT(Q405, L405, "l"))), 0)</f>
        <v>0</v>
      </c>
      <c r="T405" s="44">
        <f>recipe11TotScale * IF(AND(R405 = 0, S405 = 0, J405 = "", L405 = ""), Q405, 0)</f>
        <v>0</v>
      </c>
      <c r="U405" s="41" t="s">
        <v>290</v>
      </c>
      <c r="V405" s="41" t="b">
        <f>INDEX(itemPrepMethods, MATCH(K405, itemNames, 0))="chop"</f>
        <v>0</v>
      </c>
      <c r="W405" s="54" t="str">
        <f>IF(V405, Q405, "")</f>
        <v/>
      </c>
      <c r="X405" s="55" t="str">
        <f>IF(V405, IF(L405 = "", "", L405), "")</f>
        <v/>
      </c>
      <c r="Y405" s="55" t="str">
        <f>IF(V405, K405, "")</f>
        <v/>
      </c>
      <c r="Z405" s="56"/>
      <c r="AA405" s="41" t="b">
        <f>INDEX(itemPrepMethods, MATCH(K405, itemNames, 0))="soak"</f>
        <v>0</v>
      </c>
      <c r="AB405" s="55" t="str">
        <f>IF(AA405, Q405, "")</f>
        <v/>
      </c>
      <c r="AC405" s="55" t="str">
        <f>IF(AA405, IF(L405 = "", "", L405), "")</f>
        <v/>
      </c>
      <c r="AD405" s="55" t="str">
        <f>IF(AA405, K405, "")</f>
        <v/>
      </c>
    </row>
    <row r="406" spans="1:30" x14ac:dyDescent="0.25">
      <c r="A406" s="37" t="s">
        <v>21</v>
      </c>
      <c r="B406" s="49">
        <f t="shared" si="329"/>
        <v>5</v>
      </c>
      <c r="C406" s="36" t="str">
        <f t="shared" si="330"/>
        <v/>
      </c>
      <c r="D406" s="37" t="str">
        <f>_xlfn.CONCAT(K406, U406)</f>
        <v>chopped potatoes</v>
      </c>
      <c r="I406" s="59">
        <v>8</v>
      </c>
      <c r="J406" s="52"/>
      <c r="K406" s="52" t="s">
        <v>4</v>
      </c>
      <c r="L406" s="53"/>
      <c r="M406" s="44">
        <f>INDEX(itemGPerQty, MATCH(K406, itemNames, 0))</f>
        <v>0.22500000000000001</v>
      </c>
      <c r="N406" s="44">
        <f>INDEX(itemMlPerQty, MATCH(K406, itemNames, 0))</f>
        <v>0.33750000000000002</v>
      </c>
      <c r="O406" s="44">
        <f t="shared" si="331"/>
        <v>1.8</v>
      </c>
      <c r="P406" s="44">
        <f t="shared" si="332"/>
        <v>2.7</v>
      </c>
      <c r="Q406" s="44">
        <f>MROUND(IF(AND(J406 = "", L406 = ""), I406 * recipe11DayScale, IF(ISNA(CONVERT(O406, "kg", L406)), CONVERT(P406 * recipe11DayScale, "l", L406), CONVERT(O406 * recipe11DayScale, "kg", L406))), roundTo)</f>
        <v>5</v>
      </c>
      <c r="R406" s="44">
        <f>recipe11TotScale * IF(L406 = "", Q406 * M406, IF(ISNA(CONVERT(Q406, L406, "kg")), CONVERT(Q406, L406, "l") * IF(N406 &lt;&gt; 0, M406 / N406, 0), CONVERT(Q406, L406, "kg")))</f>
        <v>1.125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V406" s="41" t="b">
        <f>INDEX(itemPrepMethods, MATCH(K406, itemNames, 0))="chop"</f>
        <v>1</v>
      </c>
      <c r="W406" s="54">
        <f>IF(V406, Q406, "")</f>
        <v>5</v>
      </c>
      <c r="X406" s="55" t="str">
        <f>IF(V406, IF(L406 = "", "", L406), "")</f>
        <v/>
      </c>
      <c r="Y406" s="55" t="str">
        <f>IF(V406, K406, "")</f>
        <v>chopped potatoes</v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7</v>
      </c>
      <c r="C407" s="36" t="str">
        <f t="shared" si="330"/>
        <v/>
      </c>
      <c r="D407" s="37" t="str">
        <f>_xlfn.CONCAT(K407, U407)</f>
        <v>chopped celery stalks</v>
      </c>
      <c r="I407" s="59">
        <v>11</v>
      </c>
      <c r="J407" s="52"/>
      <c r="K407" s="52" t="s">
        <v>148</v>
      </c>
      <c r="L407" s="53"/>
      <c r="M407" s="44">
        <f>INDEX(itemGPerQty, MATCH(K407, itemNames, 0))</f>
        <v>0</v>
      </c>
      <c r="N407" s="44">
        <f>INDEX(itemMlPerQty, MATCH(K407, itemNames, 0))</f>
        <v>0</v>
      </c>
      <c r="O407" s="44">
        <f t="shared" si="331"/>
        <v>0</v>
      </c>
      <c r="P407" s="44">
        <f t="shared" si="332"/>
        <v>0</v>
      </c>
      <c r="Q407" s="44">
        <f>MROUND(IF(AND(J407 = "", L407 = ""), I407 * recipe11DayScale, IF(ISNA(CONVERT(O407, "kg", L407)), CONVERT(P407 * recipe11DayScale, "l", L407), CONVERT(O407 * recipe11DayScale, "kg", L407))), roundTo)</f>
        <v>7</v>
      </c>
      <c r="R407" s="44">
        <f>recipe11TotScale * IF(L407 = "", Q407 * M407, IF(ISNA(CONVERT(Q407, L407, "kg")), CONVERT(Q407, L407, "l") * IF(N407 &lt;&gt; 0, M407 / N407, 0), CONVERT(Q407, L407, "kg")))</f>
        <v>0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7</v>
      </c>
      <c r="V407" s="41" t="b">
        <f>INDEX(itemPrepMethods, MATCH(K407, itemNames, 0))="chop"</f>
        <v>1</v>
      </c>
      <c r="W407" s="54">
        <f>IF(V407, Q407, "")</f>
        <v>7</v>
      </c>
      <c r="X407" s="55" t="str">
        <f>IF(V407, IF(L407 = "", "", L407), "")</f>
        <v/>
      </c>
      <c r="Y407" s="55" t="str">
        <f>IF(V407, K407, "")</f>
        <v>chopped celery stalks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ref="B408" si="333">Q408</f>
        <v>7</v>
      </c>
      <c r="C408" s="36" t="str">
        <f t="shared" ref="C408" si="334">IF(L408="","",L408)</f>
        <v/>
      </c>
      <c r="D408" s="37" t="str">
        <f>_xlfn.CONCAT(K408, U408)</f>
        <v>chopped silverbeet leaves</v>
      </c>
      <c r="I408" s="59">
        <v>11</v>
      </c>
      <c r="J408" s="52"/>
      <c r="K408" s="52" t="s">
        <v>181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silverbeet leaves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115"/>
      <c r="B409" s="115"/>
      <c r="C409" s="115"/>
      <c r="D409" s="115"/>
      <c r="I409" s="44"/>
      <c r="L409" s="41"/>
      <c r="M409" s="41"/>
      <c r="N409" s="41"/>
      <c r="W409" s="71"/>
      <c r="X409" s="72"/>
      <c r="Y409" s="72"/>
      <c r="Z409" s="73"/>
      <c r="AB409" s="71"/>
      <c r="AC409" s="71"/>
      <c r="AD409" s="71"/>
    </row>
    <row r="410" spans="1:30" x14ac:dyDescent="0.25">
      <c r="A410" s="115" t="s">
        <v>153</v>
      </c>
      <c r="B410" s="115"/>
      <c r="C410" s="115"/>
      <c r="D410" s="115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37" t="s">
        <v>21</v>
      </c>
      <c r="B411" s="49">
        <f t="shared" ref="B411" si="335">Q411</f>
        <v>1.25</v>
      </c>
      <c r="C411" s="36" t="str">
        <f t="shared" ref="C411:C412" si="336">IF(L411="","",L411)</f>
        <v/>
      </c>
      <c r="D411" s="37" t="str">
        <f>_xlfn.CONCAT(K411, U411)</f>
        <v>tinned coconut cream</v>
      </c>
      <c r="I411" s="59">
        <v>2</v>
      </c>
      <c r="J411" s="52"/>
      <c r="K411" s="52" t="s">
        <v>447</v>
      </c>
      <c r="L411" s="53"/>
      <c r="M411" s="44">
        <f>INDEX(itemGPerQty, MATCH(K411, itemNames, 0))</f>
        <v>0</v>
      </c>
      <c r="N411" s="44">
        <f>INDEX(itemMlPerQty, MATCH(K411, itemNames, 0))</f>
        <v>0</v>
      </c>
      <c r="O411" s="44">
        <f>IF(J411 = "", I411 * M411, IF(ISNA(CONVERT(I411, J411, "kg")), CONVERT(I411, J411, "l") * IF(N411 &lt;&gt; 0, M411 / N411, 0), CONVERT(I411, J411, "kg")))</f>
        <v>0</v>
      </c>
      <c r="P411" s="44">
        <f>IF(J411 = "", I411 * N411, IF(ISNA(CONVERT(I411, J411, "l")), CONVERT(I411, J411, "kg") * IF(M411 &lt;&gt; 0, N411 / M411, 0), CONVERT(I411, J411, "l")))</f>
        <v>0</v>
      </c>
      <c r="Q411" s="44">
        <f>MROUND(IF(AND(J411 = "", L411 = ""), I411 * recipe11DayScale, IF(ISNA(CONVERT(O411, "kg", L411)), CONVERT(P411 * recipe11DayScale, "l", L411), CONVERT(O411 * recipe11DayScale, "kg", L411))), roundTo)</f>
        <v>1.25</v>
      </c>
      <c r="R411" s="44">
        <f>recipe11TotScale * IF(L411 = "", Q411 * M411, IF(ISNA(CONVERT(Q411, L411, "kg")), CONVERT(Q411, L411, "l") * IF(N411 &lt;&gt; 0, M411 / N411, 0), CONVERT(Q411, L411, "kg")))</f>
        <v>0</v>
      </c>
      <c r="S411" s="44">
        <f>recipe11TotScale * IF(R411 = 0, IF(L411 = "", Q411 * N411, IF(ISNA(CONVERT(Q411, L411, "l")), CONVERT(Q411, L411, "kg") * IF(M411 &lt;&gt; 0, N411 / M411, 0), CONVERT(Q411, L411, "l"))), 0)</f>
        <v>0</v>
      </c>
      <c r="T411" s="44">
        <f>recipe11TotScale * IF(AND(R411 = 0, S411 = 0, J411 = "", L411 = ""), Q411, 0)</f>
        <v>1.25</v>
      </c>
      <c r="V411" s="41" t="b">
        <f>INDEX(itemPrepMethods, MATCH(K411, itemNames, 0))="chop"</f>
        <v>0</v>
      </c>
      <c r="W411" s="54" t="str">
        <f>IF(V411, Q411, "")</f>
        <v/>
      </c>
      <c r="X411" s="55" t="str">
        <f>IF(V411, IF(L411 = "", "", L411), "")</f>
        <v/>
      </c>
      <c r="Y411" s="55" t="str">
        <f>IF(V411, K411, "")</f>
        <v/>
      </c>
      <c r="Z411" s="56"/>
      <c r="AA411" s="41" t="b">
        <f>INDEX(itemPrepMethods, MATCH(K411, itemNames, 0))="soak"</f>
        <v>0</v>
      </c>
      <c r="AB411" s="55" t="str">
        <f>IF(AA411, Q411, "")</f>
        <v/>
      </c>
      <c r="AC411" s="55" t="str">
        <f>IF(AA411, IF(L411 = "", "", L411), "")</f>
        <v/>
      </c>
      <c r="AD411" s="55" t="str">
        <f>IF(AA411, K411, "")</f>
        <v/>
      </c>
    </row>
    <row r="412" spans="1:30" x14ac:dyDescent="0.25">
      <c r="A412" s="37" t="s">
        <v>21</v>
      </c>
      <c r="B412" s="49"/>
      <c r="C412" s="36" t="str">
        <f t="shared" si="336"/>
        <v/>
      </c>
      <c r="D412" s="37" t="str">
        <f>_xlfn.CONCAT(K412, U412)</f>
        <v>cooked split peas from step 1</v>
      </c>
      <c r="I412" s="44"/>
      <c r="L412" s="41"/>
      <c r="M412" s="41"/>
      <c r="N412" s="41"/>
      <c r="O412" s="41"/>
      <c r="P412" s="41"/>
      <c r="Q412" s="41"/>
      <c r="T412" s="41"/>
      <c r="U412" s="41" t="s">
        <v>231</v>
      </c>
      <c r="W412" s="54"/>
      <c r="X412" s="55"/>
      <c r="Y412" s="55"/>
      <c r="Z412" s="56"/>
      <c r="AB412" s="55"/>
      <c r="AC412" s="55"/>
      <c r="AD412" s="55"/>
    </row>
    <row r="413" spans="1:30" x14ac:dyDescent="0.25">
      <c r="A413" s="37" t="s">
        <v>21</v>
      </c>
      <c r="B413" s="49"/>
      <c r="C413" s="36" t="str">
        <f>IF(L413="","",L413)</f>
        <v/>
      </c>
      <c r="D413" s="37" t="str">
        <f>_xlfn.CONCAT(K413, U413)</f>
        <v>water, if required</v>
      </c>
      <c r="I413" s="44"/>
      <c r="K413" s="52" t="s">
        <v>47</v>
      </c>
      <c r="L413" s="41"/>
      <c r="M413" s="41"/>
      <c r="N413" s="41"/>
      <c r="O413" s="41"/>
      <c r="P413" s="41"/>
      <c r="U413" s="41" t="s">
        <v>207</v>
      </c>
      <c r="V413" s="41" t="b">
        <f>INDEX(itemPrepMethods, MATCH(K413, itemNames, 0))="chop"</f>
        <v>0</v>
      </c>
      <c r="W413" s="54" t="str">
        <f>IF(V413, Q413, "")</f>
        <v/>
      </c>
      <c r="X413" s="55" t="str">
        <f>IF(V413, IF(L413 = "", "", L413), "")</f>
        <v/>
      </c>
      <c r="Y413" s="55" t="str">
        <f>IF(V413, K413, "")</f>
        <v/>
      </c>
      <c r="Z413" s="56"/>
      <c r="AA413" s="41" t="b">
        <f>INDEX(itemPrepMethods, MATCH(K413, itemNames, 0))="soak"</f>
        <v>0</v>
      </c>
      <c r="AB413" s="55" t="str">
        <f>IF(AA413, Q413, "")</f>
        <v/>
      </c>
      <c r="AC413" s="55" t="str">
        <f>IF(AA413, IF(L413 = "", "", L413), "")</f>
        <v/>
      </c>
      <c r="AD413" s="55" t="str">
        <f>IF(AA413, K413, "")</f>
        <v/>
      </c>
    </row>
    <row r="414" spans="1:30" x14ac:dyDescent="0.25">
      <c r="A414" s="37" t="s">
        <v>21</v>
      </c>
      <c r="D414" s="37" t="str">
        <f>_xlfn.CONCAT(K414, U414)</f>
        <v>salt, to taste</v>
      </c>
      <c r="I414" s="44"/>
      <c r="K414" s="52" t="s">
        <v>11</v>
      </c>
      <c r="U414" s="43" t="s">
        <v>206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115"/>
      <c r="B415" s="115"/>
      <c r="C415" s="115"/>
      <c r="D415" s="115"/>
      <c r="I415" s="41"/>
      <c r="L415" s="41"/>
      <c r="M415" s="41"/>
      <c r="N415" s="41"/>
      <c r="O415" s="41"/>
      <c r="P415" s="41"/>
      <c r="Q415" s="41"/>
      <c r="R415" s="41"/>
      <c r="S415" s="41"/>
      <c r="T415" s="41"/>
      <c r="W415" s="41"/>
      <c r="Z415" s="41"/>
    </row>
    <row r="416" spans="1:30" x14ac:dyDescent="0.25">
      <c r="A416" s="115" t="s">
        <v>292</v>
      </c>
      <c r="B416" s="115"/>
      <c r="C416" s="115"/>
      <c r="D416" s="115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ht="15.75" x14ac:dyDescent="0.25">
      <c r="A417" s="116" t="s">
        <v>37</v>
      </c>
      <c r="B417" s="116"/>
      <c r="C417" s="116"/>
      <c r="D417" s="116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20" t="s">
        <v>44</v>
      </c>
      <c r="B418" s="120"/>
      <c r="C418" s="120"/>
      <c r="D418" s="120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23" spans="1:26" ht="15.75" x14ac:dyDescent="0.25">
      <c r="A423" s="116" t="s">
        <v>145</v>
      </c>
      <c r="B423" s="116"/>
      <c r="C423" s="116"/>
      <c r="D423" s="116"/>
      <c r="M423" s="41"/>
      <c r="N423" s="41"/>
      <c r="O423" s="41"/>
      <c r="P423" s="41"/>
      <c r="Q423" s="41"/>
      <c r="R423" s="41"/>
      <c r="S423" s="41"/>
      <c r="T423" s="41"/>
      <c r="W423" s="41"/>
      <c r="Z423" s="41"/>
    </row>
    <row r="425" spans="1:26" x14ac:dyDescent="0.25">
      <c r="C425" s="106" t="s">
        <v>404</v>
      </c>
      <c r="D425" s="37" t="s">
        <v>403</v>
      </c>
      <c r="M425" s="41"/>
      <c r="N425" s="41"/>
      <c r="O425" s="41"/>
      <c r="P425" s="41"/>
      <c r="Q425" s="41"/>
      <c r="R425" s="41"/>
      <c r="S425" s="41"/>
      <c r="T425" s="41"/>
      <c r="W425" s="41"/>
      <c r="Z425" s="41"/>
    </row>
    <row r="426" spans="1:26" x14ac:dyDescent="0.25">
      <c r="C426" s="106" t="s">
        <v>406</v>
      </c>
      <c r="D426" s="37" t="s">
        <v>405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06" t="s">
        <v>407</v>
      </c>
      <c r="D427" s="37" t="s">
        <v>408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06" t="s">
        <v>410</v>
      </c>
      <c r="D428" s="37" t="s">
        <v>409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</sheetData>
  <mergeCells count="220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115:D115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</mergeCells>
  <conditionalFormatting sqref="M32:T32 M56:T77 M79:T104 M201:T232 M234:T259 M261:T286 M288:T320 M390:T1048576 M48:T48 M53:T54 M14:T14 M29:T29 M322:T355 M143:T165 M357:T388 M167:T199 M16:T23 Q15:T15 M34:T45 M106:T141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2:T142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3:T233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0:T200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0:T260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7:T28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1:T32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89:T389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6:T356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6:T166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89:P389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6:P356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2:P142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6:P166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0:P200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3:P233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0:P260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7:P28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1:P32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188</v>
      </c>
      <c r="B1" t="s">
        <v>301</v>
      </c>
    </row>
    <row r="2" spans="1:2" x14ac:dyDescent="0.25">
      <c r="A2" t="s">
        <v>189</v>
      </c>
    </row>
    <row r="3" spans="1:2" x14ac:dyDescent="0.25">
      <c r="A3" t="s">
        <v>190</v>
      </c>
    </row>
    <row r="4" spans="1:2" x14ac:dyDescent="0.25">
      <c r="A4" t="s">
        <v>191</v>
      </c>
    </row>
    <row r="5" spans="1:2" x14ac:dyDescent="0.25">
      <c r="A5" t="s">
        <v>192</v>
      </c>
    </row>
    <row r="6" spans="1:2" x14ac:dyDescent="0.25">
      <c r="A6" t="s">
        <v>297</v>
      </c>
    </row>
    <row r="7" spans="1:2" x14ac:dyDescent="0.25">
      <c r="A7" t="s">
        <v>298</v>
      </c>
    </row>
    <row r="8" spans="1:2" x14ac:dyDescent="0.25">
      <c r="A8" t="s">
        <v>299</v>
      </c>
    </row>
    <row r="9" spans="1:2" x14ac:dyDescent="0.25">
      <c r="A9" t="s">
        <v>300</v>
      </c>
    </row>
    <row r="10" spans="1:2" x14ac:dyDescent="0.25">
      <c r="A10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5"/>
  <sheetViews>
    <sheetView zoomScale="70" zoomScaleNormal="70" workbookViewId="0">
      <selection activeCell="T38" sqref="T38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4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143</v>
      </c>
      <c r="B1" s="30" t="s">
        <v>195</v>
      </c>
      <c r="C1" s="12" t="s">
        <v>144</v>
      </c>
      <c r="D1" s="11" t="s">
        <v>52</v>
      </c>
      <c r="E1" s="11" t="s">
        <v>137</v>
      </c>
      <c r="F1" s="11" t="s">
        <v>138</v>
      </c>
      <c r="G1" s="13" t="s">
        <v>139</v>
      </c>
      <c r="H1" s="13" t="s">
        <v>140</v>
      </c>
      <c r="I1" s="13" t="s">
        <v>109</v>
      </c>
      <c r="J1" s="13" t="s">
        <v>110</v>
      </c>
      <c r="K1" s="13" t="s">
        <v>108</v>
      </c>
      <c r="L1" s="90" t="s">
        <v>411</v>
      </c>
      <c r="M1" s="13"/>
      <c r="N1" s="12" t="s">
        <v>199</v>
      </c>
      <c r="P1" s="12" t="s">
        <v>123</v>
      </c>
      <c r="R1" s="12" t="s">
        <v>194</v>
      </c>
    </row>
    <row r="2" spans="1:18" ht="14.25" thickTop="1" thickBot="1" x14ac:dyDescent="0.25">
      <c r="A2" s="17" t="s">
        <v>422</v>
      </c>
      <c r="B2" s="31" t="s">
        <v>196</v>
      </c>
      <c r="C2" s="15" t="s">
        <v>418</v>
      </c>
      <c r="D2" s="103"/>
      <c r="E2" s="103"/>
      <c r="F2" s="103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1">
        <f>COUNTIF(recipes!K:K,A2)</f>
        <v>1</v>
      </c>
      <c r="M2" s="3"/>
      <c r="N2" s="9" t="s">
        <v>16</v>
      </c>
      <c r="P2" s="9">
        <v>0.25</v>
      </c>
      <c r="R2" s="9" t="s">
        <v>196</v>
      </c>
    </row>
    <row r="3" spans="1:18" ht="13.5" thickBot="1" x14ac:dyDescent="0.25">
      <c r="A3" s="18" t="s">
        <v>423</v>
      </c>
      <c r="B3" s="32" t="s">
        <v>196</v>
      </c>
      <c r="C3" s="4" t="s">
        <v>419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2">
        <f>COUNTIF(recipes!K:K,A3)</f>
        <v>1</v>
      </c>
      <c r="M3" s="3"/>
      <c r="N3" s="10" t="s">
        <v>185</v>
      </c>
      <c r="P3" s="8" t="s">
        <v>124</v>
      </c>
      <c r="R3" s="9" t="s">
        <v>197</v>
      </c>
    </row>
    <row r="4" spans="1:18" ht="13.5" thickBot="1" x14ac:dyDescent="0.25">
      <c r="A4" s="18" t="s">
        <v>85</v>
      </c>
      <c r="B4" s="32"/>
      <c r="C4" s="4" t="s">
        <v>85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2">
        <f>COUNTIF(recipes!K:K,A4)</f>
        <v>2</v>
      </c>
      <c r="M4" s="3"/>
      <c r="N4" s="10" t="s">
        <v>0</v>
      </c>
      <c r="R4" s="8" t="s">
        <v>198</v>
      </c>
    </row>
    <row r="5" spans="1:18" x14ac:dyDescent="0.2">
      <c r="A5" s="18" t="s">
        <v>48</v>
      </c>
      <c r="B5" s="32"/>
      <c r="C5" s="4" t="s">
        <v>48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2">
        <f>COUNTIF(recipes!K:K,A5)</f>
        <v>1</v>
      </c>
      <c r="M5" s="3"/>
      <c r="N5" s="10" t="s">
        <v>12</v>
      </c>
    </row>
    <row r="6" spans="1:18" x14ac:dyDescent="0.2">
      <c r="A6" s="18" t="s">
        <v>114</v>
      </c>
      <c r="B6" s="32" t="s">
        <v>196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2">
        <f>COUNTIF(recipes!K:K,A6)</f>
        <v>3</v>
      </c>
      <c r="M6" s="3"/>
      <c r="N6" s="10" t="s">
        <v>54</v>
      </c>
    </row>
    <row r="7" spans="1:18" x14ac:dyDescent="0.2">
      <c r="A7" s="18" t="s">
        <v>5</v>
      </c>
      <c r="B7" s="32" t="s">
        <v>196</v>
      </c>
      <c r="C7" s="4" t="s">
        <v>62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2">
        <f>COUNTIF(recipes!K:K,A7)</f>
        <v>4</v>
      </c>
      <c r="M7" s="3"/>
      <c r="N7" s="10" t="s">
        <v>1</v>
      </c>
    </row>
    <row r="8" spans="1:18" x14ac:dyDescent="0.2">
      <c r="A8" s="18" t="s">
        <v>96</v>
      </c>
      <c r="B8" s="32" t="s">
        <v>196</v>
      </c>
      <c r="C8" s="4" t="s">
        <v>62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2">
        <f>COUNTIF(recipes!K:K,A8)</f>
        <v>3</v>
      </c>
      <c r="M8" s="3"/>
      <c r="N8" s="10" t="s">
        <v>15</v>
      </c>
    </row>
    <row r="9" spans="1:18" x14ac:dyDescent="0.2">
      <c r="A9" s="18" t="s">
        <v>307</v>
      </c>
      <c r="B9" s="32" t="s">
        <v>196</v>
      </c>
      <c r="C9" s="4" t="s">
        <v>62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2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58</v>
      </c>
      <c r="B10" s="32" t="s">
        <v>196</v>
      </c>
      <c r="C10" s="4" t="s">
        <v>62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2">
        <f>COUNTIF(recipes!K:K,A10)</f>
        <v>1</v>
      </c>
      <c r="M10" s="3"/>
      <c r="N10" s="8" t="s">
        <v>51</v>
      </c>
    </row>
    <row r="11" spans="1:18" s="28" customFormat="1" x14ac:dyDescent="0.2">
      <c r="A11" s="18" t="s">
        <v>177</v>
      </c>
      <c r="B11" s="32"/>
      <c r="C11" s="4" t="s">
        <v>177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2">
        <f>COUNTIF(recipes!K:K,A11)</f>
        <v>1</v>
      </c>
      <c r="M11" s="3"/>
      <c r="N11" s="1"/>
    </row>
    <row r="12" spans="1:18" s="28" customFormat="1" x14ac:dyDescent="0.2">
      <c r="A12" s="18" t="s">
        <v>159</v>
      </c>
      <c r="B12" s="32" t="s">
        <v>196</v>
      </c>
      <c r="C12" s="4" t="s">
        <v>156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2">
        <f>COUNTIF(recipes!K:K,A12)</f>
        <v>3</v>
      </c>
      <c r="M12" s="3"/>
    </row>
    <row r="13" spans="1:18" s="28" customFormat="1" x14ac:dyDescent="0.2">
      <c r="A13" s="18" t="s">
        <v>148</v>
      </c>
      <c r="B13" s="32" t="s">
        <v>196</v>
      </c>
      <c r="C13" s="4" t="s">
        <v>61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2">
        <f>COUNTIF(recipes!K:K,A13)</f>
        <v>2</v>
      </c>
      <c r="M13" s="3"/>
    </row>
    <row r="14" spans="1:18" s="28" customFormat="1" x14ac:dyDescent="0.2">
      <c r="A14" s="18" t="s">
        <v>97</v>
      </c>
      <c r="B14" s="32" t="s">
        <v>196</v>
      </c>
      <c r="C14" s="4" t="s">
        <v>61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2">
        <f>COUNTIF(recipes!K:K,A14)</f>
        <v>3</v>
      </c>
      <c r="M14" s="3"/>
    </row>
    <row r="15" spans="1:18" s="28" customFormat="1" x14ac:dyDescent="0.2">
      <c r="A15" s="18" t="s">
        <v>169</v>
      </c>
      <c r="B15" s="32" t="s">
        <v>196</v>
      </c>
      <c r="C15" s="4" t="s">
        <v>61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2">
        <f>COUNTIF(recipes!K:K,A15)</f>
        <v>2</v>
      </c>
      <c r="M15" s="3"/>
    </row>
    <row r="16" spans="1:18" x14ac:dyDescent="0.2">
      <c r="A16" s="18" t="s">
        <v>59</v>
      </c>
      <c r="B16" s="32" t="s">
        <v>196</v>
      </c>
      <c r="C16" s="4" t="s">
        <v>61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2">
        <f>COUNTIF(recipes!K:K,A16)</f>
        <v>1</v>
      </c>
      <c r="M16" s="3"/>
      <c r="N16" s="28"/>
    </row>
    <row r="17" spans="1:13" s="28" customFormat="1" x14ac:dyDescent="0.2">
      <c r="A17" s="18" t="s">
        <v>112</v>
      </c>
      <c r="B17" s="32"/>
      <c r="C17" s="4" t="s">
        <v>112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2">
        <f>COUNTIF(recipes!K:K,A17)</f>
        <v>1</v>
      </c>
      <c r="M17" s="3"/>
    </row>
    <row r="18" spans="1:13" x14ac:dyDescent="0.2">
      <c r="A18" s="18" t="s">
        <v>101</v>
      </c>
      <c r="B18" s="32"/>
      <c r="C18" s="4" t="s">
        <v>101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2">
        <f>COUNTIF(recipes!K:K,A18)</f>
        <v>3</v>
      </c>
      <c r="M18" s="3"/>
    </row>
    <row r="19" spans="1:13" s="28" customFormat="1" x14ac:dyDescent="0.2">
      <c r="A19" s="18" t="s">
        <v>306</v>
      </c>
      <c r="B19" s="32" t="s">
        <v>196</v>
      </c>
      <c r="C19" s="4" t="s">
        <v>155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2">
        <f>COUNTIF(recipes!K:K,A19)</f>
        <v>1</v>
      </c>
      <c r="M19" s="3"/>
    </row>
    <row r="20" spans="1:13" x14ac:dyDescent="0.2">
      <c r="A20" s="18" t="s">
        <v>49</v>
      </c>
      <c r="B20" s="32"/>
      <c r="C20" s="4" t="s">
        <v>49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2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2">
        <f>COUNTIF(recipes!K:K,A21)</f>
        <v>2</v>
      </c>
      <c r="M21" s="3"/>
    </row>
    <row r="22" spans="1:13" x14ac:dyDescent="0.2">
      <c r="A22" s="18" t="s">
        <v>71</v>
      </c>
      <c r="B22" s="32"/>
      <c r="C22" s="4" t="s">
        <v>71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2">
        <f>COUNTIF(recipes!K:K,A22)</f>
        <v>2</v>
      </c>
      <c r="M22" s="3"/>
    </row>
    <row r="23" spans="1:13" x14ac:dyDescent="0.2">
      <c r="A23" s="18" t="s">
        <v>100</v>
      </c>
      <c r="B23" s="32"/>
      <c r="C23" s="4" t="s">
        <v>100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2">
        <f>COUNTIF(recipes!K:K,A23)</f>
        <v>1</v>
      </c>
      <c r="M23" s="3"/>
    </row>
    <row r="24" spans="1:13" x14ac:dyDescent="0.2">
      <c r="A24" s="18" t="s">
        <v>277</v>
      </c>
      <c r="B24" s="32"/>
      <c r="C24" s="4" t="s">
        <v>277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2">
        <f>COUNTIF(recipes!K:K,A24)</f>
        <v>1</v>
      </c>
      <c r="M24" s="3"/>
    </row>
    <row r="25" spans="1:13" x14ac:dyDescent="0.2">
      <c r="A25" s="18" t="s">
        <v>93</v>
      </c>
      <c r="B25" s="32" t="s">
        <v>197</v>
      </c>
      <c r="C25" s="4" t="s">
        <v>94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2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197</v>
      </c>
      <c r="C26" s="4" t="s">
        <v>95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2">
        <f>COUNTIF(recipes!K:K,A26)</f>
        <v>1</v>
      </c>
      <c r="M26" s="3"/>
    </row>
    <row r="27" spans="1:13" s="28" customFormat="1" x14ac:dyDescent="0.2">
      <c r="A27" s="18" t="s">
        <v>279</v>
      </c>
      <c r="B27" s="32"/>
      <c r="C27" s="4" t="s">
        <v>279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2">
        <f>COUNTIF(recipes!K:K,A27)</f>
        <v>1</v>
      </c>
      <c r="M27" s="3"/>
    </row>
    <row r="28" spans="1:13" x14ac:dyDescent="0.2">
      <c r="A28" s="18" t="s">
        <v>7</v>
      </c>
      <c r="B28" s="32" t="s">
        <v>197</v>
      </c>
      <c r="C28" s="4" t="s">
        <v>193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2">
        <f>COUNTIF(recipes!K:K,A28)</f>
        <v>2</v>
      </c>
      <c r="M28" s="3"/>
    </row>
    <row r="29" spans="1:13" s="28" customFormat="1" x14ac:dyDescent="0.2">
      <c r="A29" s="18" t="s">
        <v>79</v>
      </c>
      <c r="B29" s="32" t="s">
        <v>196</v>
      </c>
      <c r="C29" s="4" t="s">
        <v>80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2">
        <f>COUNTIF(recipes!K:K,A29)</f>
        <v>1</v>
      </c>
      <c r="M29" s="3"/>
    </row>
    <row r="30" spans="1:13" x14ac:dyDescent="0.2">
      <c r="A30" s="18" t="s">
        <v>386</v>
      </c>
      <c r="B30" s="32" t="s">
        <v>196</v>
      </c>
      <c r="C30" s="4" t="s">
        <v>75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2">
        <f>COUNTIF(recipes!K:K,A30)</f>
        <v>1</v>
      </c>
      <c r="M30" s="3"/>
    </row>
    <row r="31" spans="1:13" x14ac:dyDescent="0.2">
      <c r="A31" s="18" t="s">
        <v>82</v>
      </c>
      <c r="B31" s="32"/>
      <c r="C31" s="4" t="s">
        <v>75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2">
        <f>COUNTIF(recipes!K:K,A31)</f>
        <v>2</v>
      </c>
      <c r="M31" s="3"/>
    </row>
    <row r="32" spans="1:13" x14ac:dyDescent="0.2">
      <c r="A32" s="18" t="s">
        <v>310</v>
      </c>
      <c r="B32" s="32"/>
      <c r="C32" s="4" t="s">
        <v>310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2">
        <f>COUNTIF(recipes!K:K,A32)</f>
        <v>1</v>
      </c>
      <c r="M32" s="3"/>
    </row>
    <row r="33" spans="1:14" s="28" customFormat="1" x14ac:dyDescent="0.2">
      <c r="A33" s="18" t="s">
        <v>83</v>
      </c>
      <c r="B33" s="32"/>
      <c r="C33" s="4" t="s">
        <v>86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2">
        <f>COUNTIF(recipes!K:K,A33)</f>
        <v>1</v>
      </c>
      <c r="M33" s="3"/>
    </row>
    <row r="34" spans="1:14" s="28" customFormat="1" x14ac:dyDescent="0.2">
      <c r="A34" s="18" t="s">
        <v>309</v>
      </c>
      <c r="B34" s="32"/>
      <c r="C34" s="4" t="s">
        <v>309</v>
      </c>
      <c r="D34" s="4"/>
      <c r="E34" s="4"/>
      <c r="F34" s="4"/>
      <c r="G34" s="3">
        <f t="shared" ref="G34:G63" si="2">IF(D34&lt;&gt;0, E34/D34, 0)</f>
        <v>0</v>
      </c>
      <c r="H34" s="3">
        <f t="shared" ref="H34:H63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2">
        <f>COUNTIF(recipes!K:K,A34)</f>
        <v>1</v>
      </c>
      <c r="M34" s="3"/>
    </row>
    <row r="35" spans="1:14" x14ac:dyDescent="0.2">
      <c r="A35" s="18" t="s">
        <v>84</v>
      </c>
      <c r="B35" s="32"/>
      <c r="C35" s="4" t="s">
        <v>87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2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2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66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2">
        <f>COUNTIF(recipes!K:K,A37)</f>
        <v>5</v>
      </c>
      <c r="M37" s="3"/>
    </row>
    <row r="38" spans="1:14" x14ac:dyDescent="0.2">
      <c r="A38" s="18" t="s">
        <v>221</v>
      </c>
      <c r="B38" s="32" t="s">
        <v>196</v>
      </c>
      <c r="C38" s="4" t="s">
        <v>67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2">
        <f>COUNTIF(recipes!K:K,A38)</f>
        <v>8</v>
      </c>
      <c r="M38" s="3"/>
    </row>
    <row r="39" spans="1:14" x14ac:dyDescent="0.2">
      <c r="A39" s="18" t="s">
        <v>186</v>
      </c>
      <c r="B39" s="32"/>
      <c r="C39" s="4" t="s">
        <v>186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2">
        <f>COUNTIF(recipes!K:K,A39)</f>
        <v>1</v>
      </c>
      <c r="M39" s="3"/>
    </row>
    <row r="40" spans="1:14" s="28" customFormat="1" x14ac:dyDescent="0.2">
      <c r="A40" s="18" t="s">
        <v>427</v>
      </c>
      <c r="B40" s="32"/>
      <c r="C40" s="4" t="s">
        <v>427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2">
        <f>COUNTIF(recipes!K:K,A40)</f>
        <v>1</v>
      </c>
      <c r="M40" s="3"/>
    </row>
    <row r="41" spans="1:14" x14ac:dyDescent="0.2">
      <c r="A41" s="18" t="s">
        <v>172</v>
      </c>
      <c r="B41" s="32"/>
      <c r="C41" s="4" t="s">
        <v>172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2">
        <f>COUNTIF(recipes!K:K,A41)</f>
        <v>1</v>
      </c>
      <c r="M41" s="3"/>
    </row>
    <row r="42" spans="1:14" x14ac:dyDescent="0.2">
      <c r="A42" s="18" t="s">
        <v>215</v>
      </c>
      <c r="B42" s="32" t="s">
        <v>196</v>
      </c>
      <c r="C42" s="4" t="s">
        <v>157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2">
        <f>COUNTIF(recipes!K:K,A42)</f>
        <v>1</v>
      </c>
      <c r="M42" s="3"/>
    </row>
    <row r="43" spans="1:14" x14ac:dyDescent="0.2">
      <c r="A43" s="18" t="s">
        <v>308</v>
      </c>
      <c r="B43" s="32" t="s">
        <v>196</v>
      </c>
      <c r="C43" s="4" t="s">
        <v>157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2">
        <f>COUNTIF(recipes!K:K,A43)</f>
        <v>1</v>
      </c>
      <c r="M43" s="3"/>
    </row>
    <row r="44" spans="1:14" x14ac:dyDescent="0.2">
      <c r="A44" s="18" t="s">
        <v>76</v>
      </c>
      <c r="B44" s="32"/>
      <c r="C44" s="4" t="s">
        <v>76</v>
      </c>
      <c r="D44" s="4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92">
        <f>COUNTIF(recipes!K:K,A44)</f>
        <v>4</v>
      </c>
      <c r="M44" s="3"/>
    </row>
    <row r="45" spans="1:14" s="28" customFormat="1" x14ac:dyDescent="0.2">
      <c r="A45" s="18" t="s">
        <v>149</v>
      </c>
      <c r="B45" s="32"/>
      <c r="C45" s="4" t="s">
        <v>149</v>
      </c>
      <c r="D45" s="4"/>
      <c r="E45" s="4"/>
      <c r="F45" s="4"/>
      <c r="G45" s="3">
        <f t="shared" si="2"/>
        <v>0</v>
      </c>
      <c r="H45" s="3">
        <f t="shared" si="3"/>
        <v>0</v>
      </c>
      <c r="I45" s="3">
        <f>SUMIF(recipes!K:K,A45,recipes!R:R)</f>
        <v>0</v>
      </c>
      <c r="J45" s="3">
        <f>SUMIF(recipes!K:K,A45,recipes!S:S)</f>
        <v>3.3270220757812496E-2</v>
      </c>
      <c r="K45" s="3">
        <f>SUMIF(recipes!K:K,A45,recipes!T:T)</f>
        <v>0</v>
      </c>
      <c r="L45" s="92">
        <f>COUNTIF(recipes!K:K,A45)</f>
        <v>2</v>
      </c>
      <c r="M45" s="3"/>
      <c r="N45" s="1"/>
    </row>
    <row r="46" spans="1:14" s="28" customFormat="1" x14ac:dyDescent="0.2">
      <c r="A46" s="18" t="s">
        <v>14</v>
      </c>
      <c r="B46" s="32"/>
      <c r="C46" s="4" t="s">
        <v>14</v>
      </c>
      <c r="D46" s="4">
        <v>1</v>
      </c>
      <c r="E46" s="4">
        <v>1.0999999999999999E-2</v>
      </c>
      <c r="F46" s="4">
        <v>2.2180100000000001E-2</v>
      </c>
      <c r="G46" s="3">
        <f t="shared" si="2"/>
        <v>1.0999999999999999E-2</v>
      </c>
      <c r="H46" s="3">
        <f t="shared" si="3"/>
        <v>2.2180100000000001E-2</v>
      </c>
      <c r="I46" s="3">
        <f>SUMIF(recipes!K:K,A46,recipes!R:R)</f>
        <v>2.5666721253651922E-2</v>
      </c>
      <c r="J46" s="3">
        <f>SUMIF(recipes!K:K,A46,recipes!S:S)</f>
        <v>0</v>
      </c>
      <c r="K46" s="3">
        <f>SUMIF(recipes!K:K,A46,recipes!T:T)</f>
        <v>0</v>
      </c>
      <c r="L46" s="92">
        <f>COUNTIF(recipes!K:K,A46)</f>
        <v>3</v>
      </c>
      <c r="M46" s="3"/>
    </row>
    <row r="47" spans="1:14" x14ac:dyDescent="0.2">
      <c r="A47" s="18" t="s">
        <v>305</v>
      </c>
      <c r="B47" s="32"/>
      <c r="C47" s="4" t="s">
        <v>305</v>
      </c>
      <c r="D47" s="4">
        <v>1</v>
      </c>
      <c r="E47" s="4">
        <v>1.4E-2</v>
      </c>
      <c r="F47" s="4">
        <v>2.2180100000000001E-2</v>
      </c>
      <c r="G47" s="3">
        <f t="shared" si="2"/>
        <v>1.4E-2</v>
      </c>
      <c r="H47" s="3">
        <f t="shared" si="3"/>
        <v>2.2180100000000001E-2</v>
      </c>
      <c r="I47" s="3">
        <f>SUMIF(recipes!K:K,A47,recipes!R:R)</f>
        <v>6.9222369441667306E-2</v>
      </c>
      <c r="J47" s="3">
        <f>SUMIF(recipes!K:K,A47,recipes!S:S)</f>
        <v>0</v>
      </c>
      <c r="K47" s="3">
        <f>SUMIF(recipes!K:K,A47,recipes!T:T)</f>
        <v>0</v>
      </c>
      <c r="L47" s="92">
        <f>COUNTIF(recipes!K:K,A47)</f>
        <v>6</v>
      </c>
      <c r="M47" s="3"/>
      <c r="N47" s="28"/>
    </row>
    <row r="48" spans="1:14" x14ac:dyDescent="0.2">
      <c r="A48" s="18" t="s">
        <v>151</v>
      </c>
      <c r="B48" s="32" t="s">
        <v>196</v>
      </c>
      <c r="C48" s="4" t="s">
        <v>3</v>
      </c>
      <c r="D48" s="3">
        <v>1</v>
      </c>
      <c r="E48" s="3">
        <v>0.34</v>
      </c>
      <c r="F48" s="6"/>
      <c r="G48" s="3">
        <f t="shared" si="2"/>
        <v>0.34</v>
      </c>
      <c r="H48" s="3">
        <f t="shared" si="3"/>
        <v>0</v>
      </c>
      <c r="I48" s="3">
        <f>SUMIF(recipes!K:K,A48,recipes!R:R)</f>
        <v>7.2249999999999996</v>
      </c>
      <c r="J48" s="3">
        <f>SUMIF(recipes!K:K,A48,recipes!S:S)</f>
        <v>0.70976470949999992</v>
      </c>
      <c r="K48" s="3">
        <f>SUMIF(recipes!K:K,A48,recipes!T:T)</f>
        <v>0</v>
      </c>
      <c r="L48" s="92">
        <f>COUNTIF(recipes!K:K,A48)</f>
        <v>4</v>
      </c>
      <c r="M48" s="3"/>
    </row>
    <row r="49" spans="1:14" x14ac:dyDescent="0.2">
      <c r="A49" s="18" t="s">
        <v>442</v>
      </c>
      <c r="B49" s="32"/>
      <c r="C49" s="4" t="s">
        <v>442</v>
      </c>
      <c r="D49" s="4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1.925</v>
      </c>
      <c r="L49" s="92">
        <f>COUNTIF(recipes!K:K,A49)</f>
        <v>1</v>
      </c>
      <c r="M49" s="3"/>
    </row>
    <row r="50" spans="1:14" x14ac:dyDescent="0.2">
      <c r="A50" s="18" t="s">
        <v>383</v>
      </c>
      <c r="B50" s="32"/>
      <c r="C50" s="4" t="s">
        <v>154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4.25</v>
      </c>
      <c r="L50" s="92">
        <f>COUNTIF(recipes!K:K,A50)</f>
        <v>2</v>
      </c>
      <c r="M50" s="3"/>
    </row>
    <row r="51" spans="1:14" s="28" customFormat="1" x14ac:dyDescent="0.2">
      <c r="A51" s="18" t="s">
        <v>402</v>
      </c>
      <c r="B51" s="32" t="s">
        <v>196</v>
      </c>
      <c r="C51" s="4" t="s">
        <v>158</v>
      </c>
      <c r="D51" s="3">
        <v>1</v>
      </c>
      <c r="E51" s="3">
        <v>0.84399999999999997</v>
      </c>
      <c r="F51" s="3"/>
      <c r="G51" s="3">
        <f t="shared" si="2"/>
        <v>0.84399999999999997</v>
      </c>
      <c r="H51" s="3">
        <f t="shared" si="3"/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92">
        <f>COUNTIF(recipes!K:K,A51)</f>
        <v>1</v>
      </c>
      <c r="M51" s="3"/>
    </row>
    <row r="52" spans="1:14" s="28" customFormat="1" x14ac:dyDescent="0.2">
      <c r="A52" s="18" t="s">
        <v>57</v>
      </c>
      <c r="B52" s="32"/>
      <c r="C52" s="4" t="s">
        <v>57</v>
      </c>
      <c r="D52" s="4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4.8056985539062499E-2</v>
      </c>
      <c r="K52" s="3">
        <f>SUMIF(recipes!K:K,A52,recipes!T:T)</f>
        <v>0</v>
      </c>
      <c r="L52" s="92">
        <f>COUNTIF(recipes!K:K,A52)</f>
        <v>1</v>
      </c>
      <c r="M52" s="3"/>
    </row>
    <row r="53" spans="1:14" s="28" customFormat="1" x14ac:dyDescent="0.2">
      <c r="A53" s="18" t="s">
        <v>72</v>
      </c>
      <c r="B53" s="32"/>
      <c r="C53" s="4" t="s">
        <v>72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92">
        <f>COUNTIF(recipes!K:K,A53)</f>
        <v>1</v>
      </c>
      <c r="M53" s="3"/>
    </row>
    <row r="54" spans="1:14" x14ac:dyDescent="0.2">
      <c r="A54" s="18" t="s">
        <v>46</v>
      </c>
      <c r="B54" s="32"/>
      <c r="C54" s="4" t="s">
        <v>46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0.46578309060937501</v>
      </c>
      <c r="K54" s="3">
        <f>SUMIF(recipes!K:K,A54,recipes!T:T)</f>
        <v>0</v>
      </c>
      <c r="L54" s="92">
        <f>COUNTIF(recipes!K:K,A54)</f>
        <v>7</v>
      </c>
      <c r="M54" s="3"/>
      <c r="N54" s="28"/>
    </row>
    <row r="55" spans="1:14" s="28" customFormat="1" x14ac:dyDescent="0.2">
      <c r="A55" s="18" t="s">
        <v>73</v>
      </c>
      <c r="B55" s="32"/>
      <c r="C55" s="4" t="s">
        <v>73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2">
        <f>COUNTIF(recipes!K:K,A55)</f>
        <v>1</v>
      </c>
      <c r="M55" s="3"/>
    </row>
    <row r="56" spans="1:14" x14ac:dyDescent="0.2">
      <c r="A56" s="18" t="s">
        <v>6</v>
      </c>
      <c r="B56" s="32" t="s">
        <v>196</v>
      </c>
      <c r="C56" s="4" t="s">
        <v>63</v>
      </c>
      <c r="D56" s="3">
        <v>2</v>
      </c>
      <c r="E56" s="3">
        <v>0.37</v>
      </c>
      <c r="F56" s="3">
        <v>0.6</v>
      </c>
      <c r="G56" s="3">
        <f t="shared" si="2"/>
        <v>0.185</v>
      </c>
      <c r="H56" s="3">
        <f t="shared" si="3"/>
        <v>0.3</v>
      </c>
      <c r="I56" s="3">
        <f>SUMIF(recipes!K:K,A56,recipes!R:R)</f>
        <v>1.5725000000000002</v>
      </c>
      <c r="J56" s="3">
        <f>SUMIF(recipes!K:K,A56,recipes!S:S)</f>
        <v>0</v>
      </c>
      <c r="K56" s="3">
        <f>SUMIF(recipes!K:K,A56,recipes!T:T)</f>
        <v>0</v>
      </c>
      <c r="L56" s="92">
        <f>COUNTIF(recipes!K:K,A56)</f>
        <v>4</v>
      </c>
      <c r="M56" s="3"/>
    </row>
    <row r="57" spans="1:14" s="28" customFormat="1" x14ac:dyDescent="0.2">
      <c r="A57" s="18" t="s">
        <v>425</v>
      </c>
      <c r="B57" s="32" t="s">
        <v>196</v>
      </c>
      <c r="C57" s="4" t="s">
        <v>421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</v>
      </c>
      <c r="K57" s="3">
        <f>SUMIF(recipes!K:K,A57,recipes!T:T)</f>
        <v>15.4</v>
      </c>
      <c r="L57" s="92">
        <f>COUNTIF(recipes!K:K,A57)</f>
        <v>1</v>
      </c>
      <c r="M57" s="3"/>
    </row>
    <row r="58" spans="1:14" s="28" customFormat="1" x14ac:dyDescent="0.2">
      <c r="A58" s="18" t="s">
        <v>99</v>
      </c>
      <c r="B58" s="32"/>
      <c r="C58" s="4" t="s">
        <v>99</v>
      </c>
      <c r="D58" s="4">
        <v>1</v>
      </c>
      <c r="E58" s="4">
        <v>1.2E-2</v>
      </c>
      <c r="F58" s="4">
        <v>2.2180100000000001E-2</v>
      </c>
      <c r="G58" s="3">
        <f t="shared" si="2"/>
        <v>1.2E-2</v>
      </c>
      <c r="H58" s="3">
        <f t="shared" si="3"/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92">
        <f>COUNTIF(recipes!K:K,A58)</f>
        <v>1</v>
      </c>
      <c r="M58" s="3"/>
    </row>
    <row r="59" spans="1:14" s="28" customFormat="1" x14ac:dyDescent="0.2">
      <c r="A59" s="18" t="s">
        <v>104</v>
      </c>
      <c r="B59" s="32"/>
      <c r="C59" s="4" t="s">
        <v>104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92">
        <f>COUNTIF(recipes!K:K,A59)</f>
        <v>2</v>
      </c>
      <c r="M59" s="3"/>
    </row>
    <row r="60" spans="1:14" s="28" customFormat="1" x14ac:dyDescent="0.2">
      <c r="A60" s="18" t="s">
        <v>115</v>
      </c>
      <c r="B60" s="32"/>
      <c r="C60" s="4" t="s">
        <v>115</v>
      </c>
      <c r="D60" s="4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92">
        <f>COUNTIF(recipes!K:K,A60)</f>
        <v>1</v>
      </c>
      <c r="M60" s="3"/>
    </row>
    <row r="61" spans="1:14" s="28" customFormat="1" x14ac:dyDescent="0.2">
      <c r="A61" s="18" t="s">
        <v>424</v>
      </c>
      <c r="B61" s="32" t="s">
        <v>196</v>
      </c>
      <c r="C61" s="4" t="s">
        <v>420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15.4</v>
      </c>
      <c r="L61" s="92">
        <f>COUNTIF(recipes!K:K,A61)</f>
        <v>1</v>
      </c>
      <c r="M61" s="3"/>
    </row>
    <row r="62" spans="1:14" x14ac:dyDescent="0.2">
      <c r="A62" s="18" t="s">
        <v>4</v>
      </c>
      <c r="B62" s="32" t="s">
        <v>196</v>
      </c>
      <c r="C62" s="4" t="s">
        <v>64</v>
      </c>
      <c r="D62" s="3">
        <v>4</v>
      </c>
      <c r="E62" s="3">
        <v>0.9</v>
      </c>
      <c r="F62" s="3">
        <v>1.35</v>
      </c>
      <c r="G62" s="3">
        <f t="shared" si="2"/>
        <v>0.22500000000000001</v>
      </c>
      <c r="H62" s="3">
        <f t="shared" si="3"/>
        <v>0.33750000000000002</v>
      </c>
      <c r="I62" s="3">
        <f>SUMIF(recipes!K:K,A62,recipes!R:R)</f>
        <v>4.6749999999999998</v>
      </c>
      <c r="J62" s="3">
        <f>SUMIF(recipes!K:K,A62,recipes!S:S)</f>
        <v>0</v>
      </c>
      <c r="K62" s="3">
        <f>SUMIF(recipes!K:K,A62,recipes!T:T)</f>
        <v>0</v>
      </c>
      <c r="L62" s="92">
        <f>COUNTIF(recipes!K:K,A62)</f>
        <v>3</v>
      </c>
      <c r="M62" s="3"/>
    </row>
    <row r="63" spans="1:14" x14ac:dyDescent="0.2">
      <c r="A63" s="18" t="s">
        <v>387</v>
      </c>
      <c r="B63" s="32" t="s">
        <v>196</v>
      </c>
      <c r="C63" s="4" t="s">
        <v>388</v>
      </c>
      <c r="D63" s="3">
        <v>2</v>
      </c>
      <c r="E63" s="3">
        <v>0.377</v>
      </c>
      <c r="F63" s="3">
        <v>0.5</v>
      </c>
      <c r="G63" s="3">
        <f t="shared" si="2"/>
        <v>0.1885</v>
      </c>
      <c r="H63" s="3">
        <f t="shared" si="3"/>
        <v>0.25</v>
      </c>
      <c r="I63" s="3">
        <f>SUMIF(recipes!K:K,A63,recipes!R:R)</f>
        <v>0.2675812954815</v>
      </c>
      <c r="J63" s="3">
        <f>SUMIF(recipes!K:K,A63,recipes!S:S)</f>
        <v>0</v>
      </c>
      <c r="K63" s="3">
        <f>SUMIF(recipes!K:K,A63,recipes!T:T)</f>
        <v>0</v>
      </c>
      <c r="L63" s="92">
        <f>COUNTIF(recipes!K:K,A63)</f>
        <v>1</v>
      </c>
      <c r="M63" s="3"/>
    </row>
    <row r="64" spans="1:14" x14ac:dyDescent="0.2">
      <c r="A64" s="18" t="s">
        <v>11</v>
      </c>
      <c r="B64" s="32"/>
      <c r="C64" s="4" t="s">
        <v>11</v>
      </c>
      <c r="D64" s="4">
        <v>1</v>
      </c>
      <c r="E64" s="4">
        <v>2.5000000000000001E-2</v>
      </c>
      <c r="F64" s="4">
        <v>2.2180100000000001E-2</v>
      </c>
      <c r="G64" s="3">
        <f t="shared" ref="G64:G94" si="4">IF(D64&lt;&gt;0, E64/D64, 0)</f>
        <v>2.5000000000000001E-2</v>
      </c>
      <c r="H64" s="3">
        <f t="shared" ref="H64:H94" si="5">IF(D64&lt;&gt;0, F64/D64, 0)</f>
        <v>2.2180100000000001E-2</v>
      </c>
      <c r="I64" s="3">
        <f>SUMIF(recipes!K:K,A64,recipes!R:R)</f>
        <v>5.6944565551933383E-2</v>
      </c>
      <c r="J64" s="3">
        <f>SUMIF(recipes!K:K,A64,recipes!S:S)</f>
        <v>0</v>
      </c>
      <c r="K64" s="3">
        <f>SUMIF(recipes!K:K,A64,recipes!T:T)</f>
        <v>0</v>
      </c>
      <c r="L64" s="92">
        <f>COUNTIF(recipes!K:K,A64)</f>
        <v>10</v>
      </c>
      <c r="M64" s="3"/>
    </row>
    <row r="65" spans="1:14" x14ac:dyDescent="0.2">
      <c r="A65" s="18" t="s">
        <v>165</v>
      </c>
      <c r="B65" s="32"/>
      <c r="C65" s="4" t="s">
        <v>165</v>
      </c>
      <c r="D65" s="4"/>
      <c r="E65" s="4"/>
      <c r="F65" s="4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9.2417279882812495E-2</v>
      </c>
      <c r="K65" s="3">
        <f>SUMIF(recipes!K:K,A65,recipes!T:T)</f>
        <v>0</v>
      </c>
      <c r="L65" s="92">
        <f>COUNTIF(recipes!K:K,A65)</f>
        <v>1</v>
      </c>
      <c r="M65" s="3"/>
    </row>
    <row r="66" spans="1:14" s="28" customFormat="1" x14ac:dyDescent="0.2">
      <c r="A66" s="18" t="s">
        <v>181</v>
      </c>
      <c r="B66" s="32" t="s">
        <v>196</v>
      </c>
      <c r="C66" s="4" t="s">
        <v>88</v>
      </c>
      <c r="D66" s="4"/>
      <c r="E66" s="4"/>
      <c r="F66" s="4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7</v>
      </c>
      <c r="L66" s="92">
        <f>COUNTIF(recipes!K:K,A66)</f>
        <v>1</v>
      </c>
      <c r="M66" s="3"/>
    </row>
    <row r="67" spans="1:14" x14ac:dyDescent="0.2">
      <c r="A67" s="18" t="s">
        <v>106</v>
      </c>
      <c r="B67" s="32" t="s">
        <v>196</v>
      </c>
      <c r="C67" s="4" t="s">
        <v>88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7.25</v>
      </c>
      <c r="L67" s="92">
        <f>COUNTIF(recipes!K:K,A67)</f>
        <v>1</v>
      </c>
      <c r="M67" s="3"/>
    </row>
    <row r="68" spans="1:14" x14ac:dyDescent="0.2">
      <c r="A68" s="18" t="s">
        <v>89</v>
      </c>
      <c r="B68" s="32" t="s">
        <v>196</v>
      </c>
      <c r="C68" s="4" t="s">
        <v>88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92">
        <f>COUNTIF(recipes!K:K,A68)</f>
        <v>1</v>
      </c>
      <c r="M68" s="3"/>
    </row>
    <row r="69" spans="1:14" x14ac:dyDescent="0.2">
      <c r="A69" s="18" t="s">
        <v>113</v>
      </c>
      <c r="B69" s="32"/>
      <c r="C69" s="4" t="s">
        <v>113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5.9147059124999998E-2</v>
      </c>
      <c r="K69" s="3">
        <f>SUMIF(recipes!K:K,A69,recipes!T:T)</f>
        <v>0</v>
      </c>
      <c r="L69" s="92">
        <f>COUNTIF(recipes!K:K,A69)</f>
        <v>1</v>
      </c>
      <c r="M69" s="3"/>
    </row>
    <row r="70" spans="1:14" s="28" customFormat="1" x14ac:dyDescent="0.2">
      <c r="A70" s="18" t="s">
        <v>285</v>
      </c>
      <c r="B70" s="32"/>
      <c r="C70" s="4" t="s">
        <v>285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0.47317647299999999</v>
      </c>
      <c r="K70" s="3">
        <f>SUMIF(recipes!K:K,A70,recipes!T:T)</f>
        <v>0</v>
      </c>
      <c r="L70" s="92">
        <f>COUNTIF(recipes!K:K,A70)</f>
        <v>1</v>
      </c>
      <c r="M70" s="3"/>
      <c r="N70" s="1"/>
    </row>
    <row r="71" spans="1:14" x14ac:dyDescent="0.2">
      <c r="A71" s="18" t="s">
        <v>392</v>
      </c>
      <c r="B71" s="32" t="s">
        <v>196</v>
      </c>
      <c r="C71" s="4" t="s">
        <v>391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0.35488235474999996</v>
      </c>
      <c r="K71" s="3">
        <f>SUMIF(recipes!K:K,A71,recipes!T:T)</f>
        <v>0</v>
      </c>
      <c r="L71" s="92">
        <f>COUNTIF(recipes!K:K,A71)</f>
        <v>1</v>
      </c>
      <c r="M71" s="3"/>
      <c r="N71" s="28"/>
    </row>
    <row r="72" spans="1:14" x14ac:dyDescent="0.2">
      <c r="A72" s="18" t="s">
        <v>311</v>
      </c>
      <c r="B72" s="32"/>
      <c r="C72" s="4" t="s">
        <v>311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0</v>
      </c>
      <c r="L72" s="92">
        <f>COUNTIF(recipes!K:K,A72)</f>
        <v>1</v>
      </c>
      <c r="M72" s="3"/>
    </row>
    <row r="73" spans="1:14" s="28" customFormat="1" x14ac:dyDescent="0.2">
      <c r="A73" s="18" t="s">
        <v>284</v>
      </c>
      <c r="B73" s="32"/>
      <c r="C73" s="4" t="s">
        <v>284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2.9573529562499999E-2</v>
      </c>
      <c r="K73" s="3">
        <f>SUMIF(recipes!K:K,A73,recipes!T:T)</f>
        <v>0</v>
      </c>
      <c r="L73" s="92">
        <f>COUNTIF(recipes!K:K,A73)</f>
        <v>1</v>
      </c>
      <c r="M73" s="3"/>
      <c r="N73" s="1"/>
    </row>
    <row r="74" spans="1:14" s="28" customFormat="1" x14ac:dyDescent="0.2">
      <c r="A74" s="18" t="s">
        <v>163</v>
      </c>
      <c r="B74" s="32"/>
      <c r="C74" s="4" t="s">
        <v>163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4.4360294343749995E-2</v>
      </c>
      <c r="K74" s="3">
        <f>SUMIF(recipes!K:K,A74,recipes!T:T)</f>
        <v>0</v>
      </c>
      <c r="L74" s="92">
        <f>COUNTIF(recipes!K:K,A74)</f>
        <v>1</v>
      </c>
      <c r="M74" s="3"/>
    </row>
    <row r="75" spans="1:14" x14ac:dyDescent="0.2">
      <c r="A75" s="18" t="s">
        <v>166</v>
      </c>
      <c r="B75" s="32"/>
      <c r="C75" s="4" t="s">
        <v>166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4.4360294343749995E-2</v>
      </c>
      <c r="K75" s="3">
        <f>SUMIF(recipes!K:K,A75,recipes!T:T)</f>
        <v>0</v>
      </c>
      <c r="L75" s="92">
        <f>COUNTIF(recipes!K:K,A75)</f>
        <v>2</v>
      </c>
      <c r="M75" s="3"/>
      <c r="N75" s="28"/>
    </row>
    <row r="76" spans="1:14" s="28" customFormat="1" x14ac:dyDescent="0.2">
      <c r="A76" s="18" t="s">
        <v>443</v>
      </c>
      <c r="B76" s="32"/>
      <c r="C76" s="4" t="s">
        <v>443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3.75</v>
      </c>
      <c r="L76" s="92">
        <f>COUNTIF(recipes!K:K,A76)</f>
        <v>1</v>
      </c>
      <c r="M76" s="3"/>
    </row>
    <row r="77" spans="1:14" s="28" customFormat="1" x14ac:dyDescent="0.2">
      <c r="A77" s="18" t="s">
        <v>444</v>
      </c>
      <c r="B77" s="32"/>
      <c r="C77" s="4" t="s">
        <v>444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2</v>
      </c>
      <c r="L77" s="92">
        <f>COUNTIF(recipes!K:K,A77)</f>
        <v>1</v>
      </c>
      <c r="M77" s="3"/>
      <c r="N77" s="1"/>
    </row>
    <row r="78" spans="1:14" s="28" customFormat="1" x14ac:dyDescent="0.2">
      <c r="A78" s="18" t="s">
        <v>445</v>
      </c>
      <c r="B78" s="32"/>
      <c r="C78" s="4" t="s">
        <v>445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4</v>
      </c>
      <c r="L78" s="92">
        <f>COUNTIF(recipes!K:K,A78)</f>
        <v>1</v>
      </c>
      <c r="M78" s="3"/>
    </row>
    <row r="79" spans="1:14" x14ac:dyDescent="0.2">
      <c r="A79" s="18" t="s">
        <v>446</v>
      </c>
      <c r="B79" s="32"/>
      <c r="C79" s="4" t="s">
        <v>446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4</v>
      </c>
      <c r="L79" s="92">
        <f>COUNTIF(recipes!K:K,A79)</f>
        <v>2</v>
      </c>
      <c r="M79" s="3"/>
      <c r="N79" s="28"/>
    </row>
    <row r="80" spans="1:14" s="28" customFormat="1" x14ac:dyDescent="0.2">
      <c r="A80" s="18" t="s">
        <v>447</v>
      </c>
      <c r="B80" s="32"/>
      <c r="C80" s="4" t="s">
        <v>447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4.75</v>
      </c>
      <c r="L80" s="92">
        <f>COUNTIF(recipes!K:K,A80)</f>
        <v>4</v>
      </c>
      <c r="M80" s="3"/>
      <c r="N80" s="1"/>
    </row>
    <row r="81" spans="1:14" x14ac:dyDescent="0.2">
      <c r="A81" s="18" t="s">
        <v>448</v>
      </c>
      <c r="B81" s="32"/>
      <c r="C81" s="4" t="s">
        <v>448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0.8872058868749999</v>
      </c>
      <c r="K81" s="3">
        <f>SUMIF(recipes!K:K,A81,recipes!T:T)</f>
        <v>0</v>
      </c>
      <c r="L81" s="92">
        <f>COUNTIF(recipes!K:K,A81)</f>
        <v>2</v>
      </c>
      <c r="M81" s="3"/>
      <c r="N81" s="28"/>
    </row>
    <row r="82" spans="1:14" x14ac:dyDescent="0.2">
      <c r="A82" s="18" t="s">
        <v>449</v>
      </c>
      <c r="B82" s="32"/>
      <c r="C82" s="4" t="s">
        <v>449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2</v>
      </c>
      <c r="L82" s="92">
        <f>COUNTIF(recipes!K:K,A82)</f>
        <v>1</v>
      </c>
      <c r="M82" s="3"/>
    </row>
    <row r="83" spans="1:14" s="28" customFormat="1" x14ac:dyDescent="0.2">
      <c r="A83" s="18" t="s">
        <v>450</v>
      </c>
      <c r="B83" s="32"/>
      <c r="C83" s="4" t="s">
        <v>450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0.94635294599999997</v>
      </c>
      <c r="K83" s="3">
        <f>SUMIF(recipes!K:K,A83,recipes!T:T)</f>
        <v>0</v>
      </c>
      <c r="L83" s="92">
        <f>COUNTIF(recipes!K:K,A83)</f>
        <v>1</v>
      </c>
      <c r="M83" s="3"/>
    </row>
    <row r="84" spans="1:14" x14ac:dyDescent="0.2">
      <c r="A84" s="18" t="s">
        <v>260</v>
      </c>
      <c r="B84" s="32" t="s">
        <v>196</v>
      </c>
      <c r="C84" s="4" t="s">
        <v>60</v>
      </c>
      <c r="D84" s="5"/>
      <c r="E84" s="5"/>
      <c r="F84" s="5"/>
      <c r="G84" s="3">
        <f t="shared" si="4"/>
        <v>0</v>
      </c>
      <c r="H84" s="3">
        <f t="shared" si="5"/>
        <v>0</v>
      </c>
      <c r="I84" s="3">
        <f>SUMIF(recipes!K:K,A84,recipes!R:R)</f>
        <v>0.5</v>
      </c>
      <c r="J84" s="3">
        <f>SUMIF(recipes!K:K,A84,recipes!S:S)</f>
        <v>1.0646470642499999</v>
      </c>
      <c r="K84" s="3">
        <f>SUMIF(recipes!K:K,A84,recipes!T:T)</f>
        <v>2.25</v>
      </c>
      <c r="L84" s="92">
        <f>COUNTIF(recipes!K:K,A84)</f>
        <v>3</v>
      </c>
      <c r="M84" s="3"/>
    </row>
    <row r="85" spans="1:14" x14ac:dyDescent="0.2">
      <c r="A85" s="18" t="s">
        <v>261</v>
      </c>
      <c r="B85" s="32" t="s">
        <v>196</v>
      </c>
      <c r="C85" s="4" t="s">
        <v>60</v>
      </c>
      <c r="D85" s="5"/>
      <c r="E85" s="5"/>
      <c r="F85" s="5"/>
      <c r="G85" s="3">
        <f t="shared" si="4"/>
        <v>0</v>
      </c>
      <c r="H85" s="3">
        <f t="shared" si="5"/>
        <v>0</v>
      </c>
      <c r="I85" s="3">
        <f>SUMIF(recipes!K:K,A85,recipes!R:R)</f>
        <v>0.75</v>
      </c>
      <c r="J85" s="3">
        <f>SUMIF(recipes!K:K,A85,recipes!S:S)</f>
        <v>0</v>
      </c>
      <c r="K85" s="3">
        <f>SUMIF(recipes!K:K,A85,recipes!T:T)</f>
        <v>0</v>
      </c>
      <c r="L85" s="92">
        <f>COUNTIF(recipes!K:K,A85)</f>
        <v>1</v>
      </c>
      <c r="M85" s="3"/>
    </row>
    <row r="86" spans="1:14" x14ac:dyDescent="0.2">
      <c r="A86" s="18" t="s">
        <v>304</v>
      </c>
      <c r="B86" s="32" t="s">
        <v>196</v>
      </c>
      <c r="C86" s="4" t="s">
        <v>68</v>
      </c>
      <c r="D86" s="3">
        <v>4</v>
      </c>
      <c r="E86" s="3">
        <v>0.53</v>
      </c>
      <c r="F86" s="3"/>
      <c r="G86" s="3">
        <f t="shared" si="4"/>
        <v>0.13250000000000001</v>
      </c>
      <c r="H86" s="3">
        <f t="shared" si="5"/>
        <v>0</v>
      </c>
      <c r="I86" s="3">
        <f>SUMIF(recipes!K:K,A86,recipes!R:R)</f>
        <v>1.7489999999999999</v>
      </c>
      <c r="J86" s="3">
        <f>SUMIF(recipes!K:K,A86,recipes!S:S)</f>
        <v>0</v>
      </c>
      <c r="K86" s="3">
        <f>SUMIF(recipes!K:K,A86,recipes!T:T)</f>
        <v>0</v>
      </c>
      <c r="L86" s="92">
        <f>COUNTIF(recipes!K:K,A86)</f>
        <v>1</v>
      </c>
      <c r="M86" s="3"/>
    </row>
    <row r="87" spans="1:14" x14ac:dyDescent="0.2">
      <c r="A87" s="18" t="s">
        <v>55</v>
      </c>
      <c r="B87" s="32"/>
      <c r="C87" s="4" t="s">
        <v>55</v>
      </c>
      <c r="D87" s="4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9.9012941489999999</v>
      </c>
      <c r="K87" s="3">
        <f>SUMIF(recipes!K:K,A87,recipes!T:T)</f>
        <v>0</v>
      </c>
      <c r="L87" s="92">
        <f>COUNTIF(recipes!K:K,A87)</f>
        <v>5</v>
      </c>
      <c r="M87" s="3"/>
    </row>
    <row r="88" spans="1:14" x14ac:dyDescent="0.2">
      <c r="A88" s="18" t="s">
        <v>56</v>
      </c>
      <c r="B88" s="32"/>
      <c r="C88" s="4" t="s">
        <v>56</v>
      </c>
      <c r="D88" s="5"/>
      <c r="E88" s="5"/>
      <c r="F88" s="5"/>
      <c r="G88" s="3">
        <f t="shared" si="4"/>
        <v>0</v>
      </c>
      <c r="H88" s="3">
        <f t="shared" si="5"/>
        <v>0</v>
      </c>
      <c r="I88" s="3">
        <f>SUMIF(recipes!K:K,A88,recipes!R:R)</f>
        <v>4.675E-2</v>
      </c>
      <c r="J88" s="3">
        <f>SUMIF(recipes!K:K,A88,recipes!S:S)</f>
        <v>0</v>
      </c>
      <c r="K88" s="3">
        <f>SUMIF(recipes!K:K,A88,recipes!T:T)</f>
        <v>0</v>
      </c>
      <c r="L88" s="92">
        <f>COUNTIF(recipes!K:K,A88)</f>
        <v>1</v>
      </c>
      <c r="M88" s="3"/>
    </row>
    <row r="89" spans="1:14" x14ac:dyDescent="0.2">
      <c r="A89" s="18" t="s">
        <v>111</v>
      </c>
      <c r="B89" s="32"/>
      <c r="C89" s="4" t="s">
        <v>47</v>
      </c>
      <c r="D89" s="4">
        <v>1</v>
      </c>
      <c r="E89" s="4">
        <v>1</v>
      </c>
      <c r="F89" s="4">
        <v>1</v>
      </c>
      <c r="G89" s="3">
        <f t="shared" si="4"/>
        <v>1</v>
      </c>
      <c r="H89" s="3">
        <f t="shared" si="5"/>
        <v>1</v>
      </c>
      <c r="I89" s="3">
        <f>SUMIF(recipes!K:K,A89,recipes!R:R)</f>
        <v>0.65061765037499997</v>
      </c>
      <c r="J89" s="3">
        <f>SUMIF(recipes!K:K,A89,recipes!S:S)</f>
        <v>0</v>
      </c>
      <c r="K89" s="3">
        <f>SUMIF(recipes!K:K,A89,recipes!T:T)</f>
        <v>0</v>
      </c>
      <c r="L89" s="92">
        <f>COUNTIF(recipes!K:K,A89)</f>
        <v>1</v>
      </c>
      <c r="M89" s="3"/>
    </row>
    <row r="90" spans="1:14" x14ac:dyDescent="0.2">
      <c r="A90" s="18" t="s">
        <v>47</v>
      </c>
      <c r="B90" s="32"/>
      <c r="C90" s="4" t="s">
        <v>47</v>
      </c>
      <c r="D90" s="4">
        <v>1</v>
      </c>
      <c r="E90" s="4">
        <v>1</v>
      </c>
      <c r="F90" s="4">
        <v>1</v>
      </c>
      <c r="G90" s="3">
        <f t="shared" si="4"/>
        <v>1</v>
      </c>
      <c r="H90" s="3">
        <f t="shared" si="5"/>
        <v>1</v>
      </c>
      <c r="I90" s="3">
        <f>SUMIF(recipes!K:K,A90,recipes!R:R)</f>
        <v>5.5811470796249996</v>
      </c>
      <c r="J90" s="3">
        <f>SUMIF(recipes!K:K,A90,recipes!S:S)</f>
        <v>0</v>
      </c>
      <c r="K90" s="3">
        <f>SUMIF(recipes!K:K,A90,recipes!T:T)</f>
        <v>0</v>
      </c>
      <c r="L90" s="92">
        <f>COUNTIF(recipes!K:K,A90)</f>
        <v>8</v>
      </c>
      <c r="M90" s="3"/>
    </row>
    <row r="91" spans="1:14" x14ac:dyDescent="0.2">
      <c r="A91" s="18" t="s">
        <v>98</v>
      </c>
      <c r="B91" s="32" t="s">
        <v>196</v>
      </c>
      <c r="C91" s="4" t="s">
        <v>69</v>
      </c>
      <c r="D91" s="4"/>
      <c r="E91" s="4"/>
      <c r="F91" s="3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13.25</v>
      </c>
      <c r="L91" s="92">
        <f>COUNTIF(recipes!K:K,A91)</f>
        <v>1</v>
      </c>
      <c r="M91" s="3"/>
    </row>
    <row r="92" spans="1:14" x14ac:dyDescent="0.2">
      <c r="A92" s="18" t="s">
        <v>168</v>
      </c>
      <c r="B92" s="32" t="s">
        <v>196</v>
      </c>
      <c r="C92" s="4" t="s">
        <v>167</v>
      </c>
      <c r="D92" s="3">
        <v>2</v>
      </c>
      <c r="E92" s="3">
        <v>0.377</v>
      </c>
      <c r="F92" s="3">
        <v>0.5</v>
      </c>
      <c r="G92" s="3">
        <f t="shared" si="4"/>
        <v>0.1885</v>
      </c>
      <c r="H92" s="3">
        <f t="shared" si="5"/>
        <v>0.25</v>
      </c>
      <c r="I92" s="3">
        <f>SUMIF(recipes!K:K,A92,recipes!R:R)</f>
        <v>0.47125</v>
      </c>
      <c r="J92" s="3">
        <f>SUMIF(recipes!K:K,A92,recipes!S:S)</f>
        <v>0</v>
      </c>
      <c r="K92" s="3">
        <f>SUMIF(recipes!K:K,A92,recipes!T:T)</f>
        <v>0</v>
      </c>
      <c r="L92" s="92">
        <f>COUNTIF(recipes!K:K,A92)</f>
        <v>1</v>
      </c>
      <c r="M92" s="3"/>
    </row>
    <row r="93" spans="1:14" s="28" customFormat="1" x14ac:dyDescent="0.2">
      <c r="A93" s="18" t="s">
        <v>187</v>
      </c>
      <c r="B93" s="32" t="s">
        <v>196</v>
      </c>
      <c r="C93" s="4" t="s">
        <v>65</v>
      </c>
      <c r="D93" s="4"/>
      <c r="E93" s="4"/>
      <c r="F93" s="4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4.75</v>
      </c>
      <c r="L93" s="92">
        <f>COUNTIF(recipes!K:K,A93)</f>
        <v>1</v>
      </c>
      <c r="M93" s="3"/>
    </row>
    <row r="94" spans="1:14" ht="13.5" thickBot="1" x14ac:dyDescent="0.25">
      <c r="A94" s="19" t="s">
        <v>105</v>
      </c>
      <c r="B94" s="33" t="s">
        <v>196</v>
      </c>
      <c r="C94" s="16" t="s">
        <v>65</v>
      </c>
      <c r="D94" s="104"/>
      <c r="E94" s="104"/>
      <c r="F94" s="104"/>
      <c r="G94" s="7">
        <f t="shared" si="4"/>
        <v>0</v>
      </c>
      <c r="H94" s="7">
        <f t="shared" si="5"/>
        <v>0</v>
      </c>
      <c r="I94" s="7">
        <f>SUMIF(recipes!K:K,A94,recipes!R:R)</f>
        <v>0</v>
      </c>
      <c r="J94" s="7">
        <f>SUMIF(recipes!K:K,A94,recipes!S:S)</f>
        <v>0</v>
      </c>
      <c r="K94" s="7">
        <f>SUMIF(recipes!K:K,A94,recipes!T:T)</f>
        <v>5.25</v>
      </c>
      <c r="L94" s="93">
        <f>COUNTIF(recipes!K:K,A94)</f>
        <v>1</v>
      </c>
      <c r="M94" s="3"/>
    </row>
    <row r="95" spans="1:14" ht="14.25" thickTop="1" thickBot="1" x14ac:dyDescent="0.25">
      <c r="A95" s="8" t="s">
        <v>50</v>
      </c>
      <c r="B95" s="34"/>
      <c r="M95" s="3"/>
    </row>
  </sheetData>
  <sortState xmlns:xlrd2="http://schemas.microsoft.com/office/spreadsheetml/2017/richdata2" ref="A2:L94">
    <sortCondition ref="C2:C94"/>
    <sortCondition ref="A2:A94"/>
  </sortState>
  <conditionalFormatting sqref="G29:J31 G66:J81 G26:J27 G55:J55 G34:J39 G46:J50 M47:M50 M35:M39 M56 M27:M28 M67:M82 M30:M32 G2:M11 M84:M95 G83:L94 M62:M65 G61:L64 M18:M25 G17:L24 M16 G41:J42 M41:M45 G44:L44 M52:M54 G52:L53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5:J65 M66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2:J82 M83">
    <cfRule type="cellIs" dxfId="95" priority="77" operator="equal">
      <formula>0</formula>
    </cfRule>
  </conditionalFormatting>
  <conditionalFormatting sqref="G56:J56 M57">
    <cfRule type="cellIs" dxfId="94" priority="75" operator="equal">
      <formula>0</formula>
    </cfRule>
  </conditionalFormatting>
  <conditionalFormatting sqref="G59:J59 M60">
    <cfRule type="cellIs" dxfId="93" priority="74" operator="equal">
      <formula>0</formula>
    </cfRule>
  </conditionalFormatting>
  <conditionalFormatting sqref="G60:J60 M61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4:J54 M55">
    <cfRule type="cellIs" dxfId="89" priority="70" operator="equal">
      <formula>0</formula>
    </cfRule>
  </conditionalFormatting>
  <conditionalFormatting sqref="G57:J57 M58">
    <cfRule type="cellIs" dxfId="88" priority="69" operator="equal">
      <formula>0</formula>
    </cfRule>
  </conditionalFormatting>
  <conditionalFormatting sqref="G58:J58 M59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5:J45 M46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6:L81 L26:L27 L55 L34:L39 L46:L50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5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2">
    <cfRule type="cellIs" dxfId="78" priority="58" operator="equal">
      <formula>0</formula>
    </cfRule>
  </conditionalFormatting>
  <conditionalFormatting sqref="L56">
    <cfRule type="cellIs" dxfId="77" priority="57" operator="equal">
      <formula>0</formula>
    </cfRule>
  </conditionalFormatting>
  <conditionalFormatting sqref="L59">
    <cfRule type="cellIs" dxfId="76" priority="56" operator="equal">
      <formula>0</formula>
    </cfRule>
  </conditionalFormatting>
  <conditionalFormatting sqref="L60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4">
    <cfRule type="cellIs" dxfId="72" priority="52" operator="equal">
      <formula>0</formula>
    </cfRule>
  </conditionalFormatting>
  <conditionalFormatting sqref="L57">
    <cfRule type="cellIs" dxfId="71" priority="51" operator="equal">
      <formula>0</formula>
    </cfRule>
  </conditionalFormatting>
  <conditionalFormatting sqref="L58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5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6:K81 K26:K27 K55 K34:K39 K46:K50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5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2">
    <cfRule type="cellIs" dxfId="62" priority="41" operator="equal">
      <formula>0</formula>
    </cfRule>
  </conditionalFormatting>
  <conditionalFormatting sqref="K56">
    <cfRule type="cellIs" dxfId="61" priority="40" operator="equal">
      <formula>0</formula>
    </cfRule>
  </conditionalFormatting>
  <conditionalFormatting sqref="K59">
    <cfRule type="cellIs" dxfId="60" priority="39" operator="equal">
      <formula>0</formula>
    </cfRule>
  </conditionalFormatting>
  <conditionalFormatting sqref="K60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4">
    <cfRule type="cellIs" dxfId="56" priority="35" operator="equal">
      <formula>0</formula>
    </cfRule>
  </conditionalFormatting>
  <conditionalFormatting sqref="K57">
    <cfRule type="cellIs" dxfId="55" priority="34" operator="equal">
      <formula>0</formula>
    </cfRule>
  </conditionalFormatting>
  <conditionalFormatting sqref="K58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5">
    <cfRule type="cellIs" dxfId="52" priority="31" operator="equal">
      <formula>0</formula>
    </cfRule>
  </conditionalFormatting>
  <conditionalFormatting sqref="L2:L11 L16:L39 L41:L50 L52:L94">
    <cfRule type="cellIs" dxfId="51" priority="29" operator="equal">
      <formula>0</formula>
    </cfRule>
  </conditionalFormatting>
  <conditionalFormatting sqref="M51 G51:J51">
    <cfRule type="cellIs" dxfId="50" priority="28" operator="equal">
      <formula>0</formula>
    </cfRule>
  </conditionalFormatting>
  <conditionalFormatting sqref="L51">
    <cfRule type="cellIs" dxfId="49" priority="27" operator="equal">
      <formula>0</formula>
    </cfRule>
  </conditionalFormatting>
  <conditionalFormatting sqref="K51">
    <cfRule type="cellIs" dxfId="48" priority="26" operator="equal">
      <formula>0</formula>
    </cfRule>
  </conditionalFormatting>
  <conditionalFormatting sqref="L51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4" xr:uid="{124AB2BC-86CC-4B23-9BC2-BB9FD1721E5B}">
      <formula1>shoppingNames</formula1>
    </dataValidation>
    <dataValidation type="list" allowBlank="1" showInputMessage="1" showErrorMessage="1" sqref="B2:B94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2"/>
  <sheetViews>
    <sheetView tabSelected="1" zoomScale="70" zoomScaleNormal="70" workbookViewId="0">
      <selection activeCell="S17" sqref="S17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4" customWidth="1"/>
    <col min="7" max="7" width="33.85546875" style="2" bestFit="1" customWidth="1"/>
    <col min="8" max="8" width="8.28515625" style="94" bestFit="1" customWidth="1"/>
    <col min="9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459</v>
      </c>
      <c r="B1" s="12" t="s">
        <v>70</v>
      </c>
      <c r="C1" s="13" t="s">
        <v>109</v>
      </c>
      <c r="D1" s="13" t="s">
        <v>110</v>
      </c>
      <c r="E1" s="13" t="s">
        <v>108</v>
      </c>
      <c r="F1" s="90" t="s">
        <v>411</v>
      </c>
      <c r="G1" s="13" t="s">
        <v>170</v>
      </c>
      <c r="H1" s="90" t="s">
        <v>412</v>
      </c>
    </row>
    <row r="2" spans="1:15" ht="13.5" thickBot="1" x14ac:dyDescent="0.25">
      <c r="A2" s="112" t="s">
        <v>453</v>
      </c>
      <c r="B2" s="110" t="s">
        <v>309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5">
        <f>SUMIF(support!C:C,B2,support!L:L)</f>
        <v>1</v>
      </c>
      <c r="G2" s="21"/>
      <c r="H2" s="22" t="b">
        <f t="shared" ref="H2:H33" si="0">OR(COUNTIF(C2:E2, "&lt;&gt;0") &gt; 1, F2 = 0)</f>
        <v>0</v>
      </c>
      <c r="K2" s="1" t="s">
        <v>395</v>
      </c>
    </row>
    <row r="3" spans="1:15" x14ac:dyDescent="0.2">
      <c r="A3" s="113" t="s">
        <v>453</v>
      </c>
      <c r="B3" s="107" t="s">
        <v>60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6">
        <f>SUMIF(support!C:C,B3,support!L:L)</f>
        <v>4</v>
      </c>
      <c r="G3" s="3"/>
      <c r="H3" s="24" t="b">
        <f t="shared" si="0"/>
        <v>1</v>
      </c>
      <c r="K3" s="1" t="s">
        <v>397</v>
      </c>
      <c r="O3" s="108" t="s">
        <v>451</v>
      </c>
    </row>
    <row r="4" spans="1:15" x14ac:dyDescent="0.2">
      <c r="A4" s="113" t="s">
        <v>453</v>
      </c>
      <c r="B4" s="107" t="s">
        <v>56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6">
        <f>SUMIF(support!C:C,B4,support!L:L)</f>
        <v>1</v>
      </c>
      <c r="G4" s="3" t="s">
        <v>462</v>
      </c>
      <c r="H4" s="24" t="b">
        <f t="shared" si="0"/>
        <v>0</v>
      </c>
      <c r="K4" s="1" t="s">
        <v>398</v>
      </c>
      <c r="O4" s="109" t="s">
        <v>452</v>
      </c>
    </row>
    <row r="5" spans="1:15" x14ac:dyDescent="0.2">
      <c r="A5" s="113" t="s">
        <v>451</v>
      </c>
      <c r="B5" s="107" t="s">
        <v>310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6">
        <f>SUMIF(support!C:C,B5,support!L:L)</f>
        <v>1</v>
      </c>
      <c r="G5" s="3"/>
      <c r="H5" s="24" t="b">
        <f t="shared" si="0"/>
        <v>0</v>
      </c>
      <c r="K5" s="1" t="s">
        <v>399</v>
      </c>
      <c r="O5" s="109" t="s">
        <v>453</v>
      </c>
    </row>
    <row r="6" spans="1:15" x14ac:dyDescent="0.2">
      <c r="A6" s="113" t="s">
        <v>451</v>
      </c>
      <c r="B6" s="107" t="s">
        <v>86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6">
        <f>SUMIF(support!C:C,B6,support!L:L)</f>
        <v>1</v>
      </c>
      <c r="G6" s="3"/>
      <c r="H6" s="24" t="b">
        <f t="shared" si="0"/>
        <v>0</v>
      </c>
      <c r="K6" s="28" t="s">
        <v>396</v>
      </c>
      <c r="O6" s="109" t="s">
        <v>458</v>
      </c>
    </row>
    <row r="7" spans="1:15" s="28" customFormat="1" x14ac:dyDescent="0.2">
      <c r="A7" s="113" t="s">
        <v>451</v>
      </c>
      <c r="B7" s="107" t="s">
        <v>87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6">
        <f>SUMIF(support!C:C,B7,support!L:L)</f>
        <v>1</v>
      </c>
      <c r="G7" s="3"/>
      <c r="H7" s="24" t="b">
        <f t="shared" si="0"/>
        <v>0</v>
      </c>
      <c r="O7" s="109" t="s">
        <v>457</v>
      </c>
    </row>
    <row r="8" spans="1:15" x14ac:dyDescent="0.2">
      <c r="A8" s="113" t="s">
        <v>451</v>
      </c>
      <c r="B8" s="107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6">
        <f>SUMIF(support!C:C,B8,support!L:L)</f>
        <v>9</v>
      </c>
      <c r="G8" s="3"/>
      <c r="H8" s="24" t="b">
        <f t="shared" si="0"/>
        <v>0</v>
      </c>
      <c r="O8" s="109" t="s">
        <v>454</v>
      </c>
    </row>
    <row r="9" spans="1:15" s="28" customFormat="1" x14ac:dyDescent="0.2">
      <c r="A9" s="113" t="s">
        <v>452</v>
      </c>
      <c r="B9" s="107" t="s">
        <v>85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6">
        <f>SUMIF(support!C:C,B9,support!L:L)</f>
        <v>2</v>
      </c>
      <c r="G9" s="3"/>
      <c r="H9" s="24" t="b">
        <f t="shared" si="0"/>
        <v>0</v>
      </c>
      <c r="O9" s="109" t="s">
        <v>455</v>
      </c>
    </row>
    <row r="10" spans="1:15" s="28" customFormat="1" ht="13.5" thickBot="1" x14ac:dyDescent="0.25">
      <c r="A10" s="113" t="s">
        <v>452</v>
      </c>
      <c r="B10" s="107" t="s">
        <v>48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6">
        <f>SUMIF(support!C:C,B10,support!L:L)</f>
        <v>1</v>
      </c>
      <c r="G10" s="3"/>
      <c r="H10" s="24" t="b">
        <f t="shared" si="0"/>
        <v>0</v>
      </c>
      <c r="O10" s="8" t="s">
        <v>456</v>
      </c>
    </row>
    <row r="11" spans="1:15" s="28" customFormat="1" x14ac:dyDescent="0.2">
      <c r="A11" s="113" t="s">
        <v>452</v>
      </c>
      <c r="B11" s="107" t="s">
        <v>101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6">
        <f>SUMIF(support!C:C,B11,support!L:L)</f>
        <v>3</v>
      </c>
      <c r="G11" s="3"/>
      <c r="H11" s="24" t="b">
        <f t="shared" si="0"/>
        <v>0</v>
      </c>
    </row>
    <row r="12" spans="1:15" s="28" customFormat="1" x14ac:dyDescent="0.2">
      <c r="A12" s="113" t="s">
        <v>452</v>
      </c>
      <c r="B12" s="107" t="s">
        <v>49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6">
        <f>SUMIF(support!C:C,B12,support!L:L)</f>
        <v>1</v>
      </c>
      <c r="G12" s="3"/>
      <c r="H12" s="24" t="b">
        <f t="shared" si="0"/>
        <v>0</v>
      </c>
    </row>
    <row r="13" spans="1:15" s="28" customFormat="1" x14ac:dyDescent="0.2">
      <c r="A13" s="113" t="s">
        <v>452</v>
      </c>
      <c r="B13" s="107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6">
        <f>SUMIF(support!C:C,B13,support!L:L)</f>
        <v>2</v>
      </c>
      <c r="G13" s="3"/>
      <c r="H13" s="24" t="b">
        <f t="shared" si="0"/>
        <v>0</v>
      </c>
    </row>
    <row r="14" spans="1:15" x14ac:dyDescent="0.2">
      <c r="A14" s="113" t="s">
        <v>452</v>
      </c>
      <c r="B14" s="107" t="s">
        <v>100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6">
        <f>SUMIF(support!C:C,B14,support!L:L)</f>
        <v>1</v>
      </c>
      <c r="G14" s="3"/>
      <c r="H14" s="24" t="b">
        <f t="shared" si="0"/>
        <v>0</v>
      </c>
      <c r="O14" s="28"/>
    </row>
    <row r="15" spans="1:15" x14ac:dyDescent="0.2">
      <c r="A15" s="113" t="s">
        <v>452</v>
      </c>
      <c r="B15" s="107" t="s">
        <v>277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6">
        <f>SUMIF(support!C:C,B15,support!L:L)</f>
        <v>1</v>
      </c>
      <c r="G15" s="3"/>
      <c r="H15" s="24" t="b">
        <f t="shared" si="0"/>
        <v>0</v>
      </c>
      <c r="O15" s="28"/>
    </row>
    <row r="16" spans="1:15" x14ac:dyDescent="0.2">
      <c r="A16" s="113" t="s">
        <v>452</v>
      </c>
      <c r="B16" s="107" t="s">
        <v>94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6">
        <f>SUMIF(support!C:C,B16,support!L:L)</f>
        <v>1</v>
      </c>
      <c r="G16" s="3"/>
      <c r="H16" s="24" t="b">
        <f t="shared" si="0"/>
        <v>0</v>
      </c>
    </row>
    <row r="17" spans="1:15" x14ac:dyDescent="0.2">
      <c r="A17" s="113" t="s">
        <v>452</v>
      </c>
      <c r="B17" s="107" t="s">
        <v>95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6">
        <f>SUMIF(support!C:C,B17,support!L:L)</f>
        <v>1</v>
      </c>
      <c r="G17" s="3"/>
      <c r="H17" s="24" t="b">
        <f t="shared" si="0"/>
        <v>0</v>
      </c>
    </row>
    <row r="18" spans="1:15" x14ac:dyDescent="0.2">
      <c r="A18" s="113" t="s">
        <v>452</v>
      </c>
      <c r="B18" s="107" t="s">
        <v>279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6">
        <f>SUMIF(support!C:C,B18,support!L:L)</f>
        <v>1</v>
      </c>
      <c r="G18" s="3"/>
      <c r="H18" s="24" t="b">
        <f t="shared" si="0"/>
        <v>0</v>
      </c>
    </row>
    <row r="19" spans="1:15" s="28" customFormat="1" x14ac:dyDescent="0.2">
      <c r="A19" s="113" t="s">
        <v>452</v>
      </c>
      <c r="B19" s="107" t="s">
        <v>193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6">
        <f>SUMIF(support!C:C,B19,support!L:L)</f>
        <v>2</v>
      </c>
      <c r="G19" s="3"/>
      <c r="H19" s="24" t="b">
        <f t="shared" si="0"/>
        <v>0</v>
      </c>
      <c r="O19" s="1"/>
    </row>
    <row r="20" spans="1:15" s="28" customFormat="1" x14ac:dyDescent="0.2">
      <c r="A20" s="113" t="s">
        <v>452</v>
      </c>
      <c r="B20" s="107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6">
        <f>SUMIF(support!C:C,B20,support!L:L)</f>
        <v>1</v>
      </c>
      <c r="G20" s="3"/>
      <c r="H20" s="24" t="b">
        <f t="shared" si="0"/>
        <v>0</v>
      </c>
      <c r="O20" s="1"/>
    </row>
    <row r="21" spans="1:15" x14ac:dyDescent="0.2">
      <c r="A21" s="113" t="s">
        <v>452</v>
      </c>
      <c r="B21" s="107" t="s">
        <v>149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6">
        <f>SUMIF(support!C:C,B21,support!L:L)</f>
        <v>2</v>
      </c>
      <c r="G21" s="3"/>
      <c r="H21" s="24" t="b">
        <f t="shared" si="0"/>
        <v>0</v>
      </c>
      <c r="O21" s="28"/>
    </row>
    <row r="22" spans="1:15" s="28" customFormat="1" x14ac:dyDescent="0.2">
      <c r="A22" s="113" t="s">
        <v>452</v>
      </c>
      <c r="B22" s="107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6">
        <f>SUMIF(support!C:C,B22,support!L:L)</f>
        <v>3</v>
      </c>
      <c r="G22" s="3"/>
      <c r="H22" s="24" t="b">
        <f t="shared" si="0"/>
        <v>0</v>
      </c>
    </row>
    <row r="23" spans="1:15" x14ac:dyDescent="0.2">
      <c r="A23" s="113" t="s">
        <v>452</v>
      </c>
      <c r="B23" s="107" t="s">
        <v>305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6">
        <f>SUMIF(support!C:C,B23,support!L:L)</f>
        <v>6</v>
      </c>
      <c r="G23" s="3"/>
      <c r="H23" s="24" t="b">
        <f t="shared" si="0"/>
        <v>0</v>
      </c>
    </row>
    <row r="24" spans="1:15" x14ac:dyDescent="0.2">
      <c r="A24" s="113" t="s">
        <v>452</v>
      </c>
      <c r="B24" s="107" t="s">
        <v>99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6">
        <f>SUMIF(support!C:C,B24,support!L:L)</f>
        <v>1</v>
      </c>
      <c r="G24" s="3"/>
      <c r="H24" s="24" t="b">
        <f t="shared" si="0"/>
        <v>0</v>
      </c>
      <c r="O24" s="28"/>
    </row>
    <row r="25" spans="1:15" x14ac:dyDescent="0.2">
      <c r="A25" s="113" t="s">
        <v>457</v>
      </c>
      <c r="B25" s="107" t="s">
        <v>442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6">
        <f>SUMIF(support!C:C,B25,support!L:L)</f>
        <v>1</v>
      </c>
      <c r="G25" s="3"/>
      <c r="H25" s="24" t="b">
        <f t="shared" si="0"/>
        <v>0</v>
      </c>
    </row>
    <row r="26" spans="1:15" x14ac:dyDescent="0.2">
      <c r="A26" s="113" t="s">
        <v>454</v>
      </c>
      <c r="B26" s="107" t="s">
        <v>177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6">
        <f>SUMIF(support!C:C,B26,support!L:L)</f>
        <v>1</v>
      </c>
      <c r="G26" s="3"/>
      <c r="H26" s="24" t="b">
        <f t="shared" si="0"/>
        <v>0</v>
      </c>
    </row>
    <row r="27" spans="1:15" x14ac:dyDescent="0.2">
      <c r="A27" s="113" t="s">
        <v>454</v>
      </c>
      <c r="B27" s="107" t="s">
        <v>112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6">
        <f>SUMIF(support!C:C,B27,support!L:L)</f>
        <v>1</v>
      </c>
      <c r="G27" s="3"/>
      <c r="H27" s="24" t="b">
        <f t="shared" si="0"/>
        <v>0</v>
      </c>
    </row>
    <row r="28" spans="1:15" x14ac:dyDescent="0.2">
      <c r="A28" s="113" t="s">
        <v>454</v>
      </c>
      <c r="B28" s="107" t="s">
        <v>71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6">
        <f>SUMIF(support!C:C,B28,support!L:L)</f>
        <v>2</v>
      </c>
      <c r="G28" s="3"/>
      <c r="H28" s="24" t="b">
        <f t="shared" si="0"/>
        <v>0</v>
      </c>
    </row>
    <row r="29" spans="1:15" x14ac:dyDescent="0.2">
      <c r="A29" s="113" t="s">
        <v>454</v>
      </c>
      <c r="B29" s="107" t="s">
        <v>186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6">
        <f>SUMIF(support!C:C,B29,support!L:L)</f>
        <v>1</v>
      </c>
      <c r="G29" s="98" t="s">
        <v>180</v>
      </c>
      <c r="H29" s="29" t="b">
        <f t="shared" si="0"/>
        <v>0</v>
      </c>
    </row>
    <row r="30" spans="1:15" x14ac:dyDescent="0.2">
      <c r="A30" s="113" t="s">
        <v>454</v>
      </c>
      <c r="B30" s="107" t="s">
        <v>76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6">
        <f>SUMIF(support!C:C,B30,support!L:L)</f>
        <v>4</v>
      </c>
      <c r="G30" s="3"/>
      <c r="H30" s="24" t="b">
        <f t="shared" si="0"/>
        <v>0</v>
      </c>
    </row>
    <row r="31" spans="1:15" x14ac:dyDescent="0.2">
      <c r="A31" s="113" t="s">
        <v>454</v>
      </c>
      <c r="B31" s="107" t="s">
        <v>57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6">
        <f>SUMIF(support!C:C,B31,support!L:L)</f>
        <v>1</v>
      </c>
      <c r="G31" s="3"/>
      <c r="H31" s="24" t="b">
        <f t="shared" si="0"/>
        <v>0</v>
      </c>
    </row>
    <row r="32" spans="1:15" x14ac:dyDescent="0.2">
      <c r="A32" s="113" t="s">
        <v>454</v>
      </c>
      <c r="B32" s="107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6">
        <f>SUMIF(support!C:C,B32,support!L:L)</f>
        <v>7</v>
      </c>
      <c r="G32" s="3"/>
      <c r="H32" s="24" t="b">
        <f t="shared" si="0"/>
        <v>0</v>
      </c>
    </row>
    <row r="33" spans="1:15" s="28" customFormat="1" x14ac:dyDescent="0.2">
      <c r="A33" s="113" t="s">
        <v>454</v>
      </c>
      <c r="B33" s="107" t="s">
        <v>73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6">
        <f>SUMIF(support!C:C,B33,support!L:L)</f>
        <v>1</v>
      </c>
      <c r="G33" s="3"/>
      <c r="H33" s="24" t="b">
        <f t="shared" si="0"/>
        <v>0</v>
      </c>
      <c r="O33" s="1"/>
    </row>
    <row r="34" spans="1:15" x14ac:dyDescent="0.2">
      <c r="A34" s="113" t="s">
        <v>454</v>
      </c>
      <c r="B34" s="107" t="s">
        <v>104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6">
        <f>SUMIF(support!C:C,B34,support!L:L)</f>
        <v>2</v>
      </c>
      <c r="G34" s="3"/>
      <c r="H34" s="24" t="b">
        <f t="shared" ref="H34:H65" si="1">OR(COUNTIF(C34:E34, "&lt;&gt;0") &gt; 1, F34 = 0)</f>
        <v>0</v>
      </c>
    </row>
    <row r="35" spans="1:15" x14ac:dyDescent="0.2">
      <c r="A35" s="113" t="s">
        <v>454</v>
      </c>
      <c r="B35" s="107" t="s">
        <v>115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6">
        <f>SUMIF(support!C:C,B35,support!L:L)</f>
        <v>1</v>
      </c>
      <c r="G35" s="3"/>
      <c r="H35" s="24" t="b">
        <f t="shared" si="1"/>
        <v>0</v>
      </c>
      <c r="O35" s="28"/>
    </row>
    <row r="36" spans="1:15" x14ac:dyDescent="0.2">
      <c r="A36" s="113" t="s">
        <v>454</v>
      </c>
      <c r="B36" s="107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6">
        <f>SUMIF(support!C:C,B36,support!L:L)</f>
        <v>10</v>
      </c>
      <c r="G36" s="3"/>
      <c r="H36" s="24" t="b">
        <f t="shared" si="1"/>
        <v>0</v>
      </c>
    </row>
    <row r="37" spans="1:15" s="28" customFormat="1" x14ac:dyDescent="0.2">
      <c r="A37" s="113" t="s">
        <v>454</v>
      </c>
      <c r="B37" s="107" t="s">
        <v>165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6">
        <f>SUMIF(support!C:C,B37,support!L:L)</f>
        <v>1</v>
      </c>
      <c r="G37" s="3"/>
      <c r="H37" s="24" t="b">
        <f t="shared" si="1"/>
        <v>0</v>
      </c>
      <c r="O37" s="1"/>
    </row>
    <row r="38" spans="1:15" s="28" customFormat="1" x14ac:dyDescent="0.2">
      <c r="A38" s="113" t="s">
        <v>454</v>
      </c>
      <c r="B38" s="107" t="s">
        <v>113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6">
        <f>SUMIF(support!C:C,B38,support!L:L)</f>
        <v>1</v>
      </c>
      <c r="G38" s="98" t="s">
        <v>180</v>
      </c>
      <c r="H38" s="29" t="b">
        <f t="shared" si="1"/>
        <v>0</v>
      </c>
      <c r="O38" s="1"/>
    </row>
    <row r="39" spans="1:15" x14ac:dyDescent="0.2">
      <c r="A39" s="113" t="s">
        <v>454</v>
      </c>
      <c r="B39" s="107" t="s">
        <v>285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6">
        <f>SUMIF(support!C:C,B39,support!L:L)</f>
        <v>1</v>
      </c>
      <c r="G39" s="3"/>
      <c r="H39" s="24" t="b">
        <f t="shared" si="1"/>
        <v>0</v>
      </c>
      <c r="O39" s="28"/>
    </row>
    <row r="40" spans="1:15" x14ac:dyDescent="0.2">
      <c r="A40" s="113" t="s">
        <v>454</v>
      </c>
      <c r="B40" s="107" t="s">
        <v>311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6">
        <f>SUMIF(support!C:C,B40,support!L:L)</f>
        <v>1</v>
      </c>
      <c r="G40" s="3"/>
      <c r="H40" s="24" t="b">
        <f t="shared" si="1"/>
        <v>0</v>
      </c>
      <c r="O40" s="28"/>
    </row>
    <row r="41" spans="1:15" s="28" customFormat="1" x14ac:dyDescent="0.2">
      <c r="A41" s="113" t="s">
        <v>454</v>
      </c>
      <c r="B41" s="107" t="s">
        <v>284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6">
        <f>SUMIF(support!C:C,B41,support!L:L)</f>
        <v>1</v>
      </c>
      <c r="G41" s="3"/>
      <c r="H41" s="24" t="b">
        <f t="shared" si="1"/>
        <v>0</v>
      </c>
      <c r="O41" s="1"/>
    </row>
    <row r="42" spans="1:15" x14ac:dyDescent="0.2">
      <c r="A42" s="113" t="s">
        <v>454</v>
      </c>
      <c r="B42" s="107" t="s">
        <v>163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6">
        <f>SUMIF(support!C:C,B42,support!L:L)</f>
        <v>1</v>
      </c>
      <c r="G42" s="3"/>
      <c r="H42" s="24" t="b">
        <f t="shared" si="1"/>
        <v>0</v>
      </c>
    </row>
    <row r="43" spans="1:15" x14ac:dyDescent="0.2">
      <c r="A43" s="113" t="s">
        <v>454</v>
      </c>
      <c r="B43" s="107" t="s">
        <v>166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6">
        <f>SUMIF(support!C:C,B43,support!L:L)</f>
        <v>2</v>
      </c>
      <c r="G43" s="3"/>
      <c r="H43" s="24" t="b">
        <f t="shared" si="1"/>
        <v>0</v>
      </c>
      <c r="O43" s="28"/>
    </row>
    <row r="44" spans="1:15" s="28" customFormat="1" x14ac:dyDescent="0.2">
      <c r="A44" s="113" t="s">
        <v>454</v>
      </c>
      <c r="B44" s="107" t="s">
        <v>443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6">
        <f>SUMIF(support!C:C,B44,support!L:L)</f>
        <v>1</v>
      </c>
      <c r="G44" s="3" t="s">
        <v>171</v>
      </c>
      <c r="H44" s="24" t="b">
        <f t="shared" si="1"/>
        <v>0</v>
      </c>
      <c r="O44" s="1"/>
    </row>
    <row r="45" spans="1:15" x14ac:dyDescent="0.2">
      <c r="A45" s="113" t="s">
        <v>454</v>
      </c>
      <c r="B45" s="107" t="s">
        <v>444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6">
        <f>SUMIF(support!C:C,B45,support!L:L)</f>
        <v>1</v>
      </c>
      <c r="G45" s="3"/>
      <c r="H45" s="24" t="b">
        <f t="shared" si="1"/>
        <v>0</v>
      </c>
    </row>
    <row r="46" spans="1:15" x14ac:dyDescent="0.2">
      <c r="A46" s="113" t="s">
        <v>454</v>
      </c>
      <c r="B46" s="107" t="s">
        <v>445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6">
        <f>SUMIF(support!C:C,B46,support!L:L)</f>
        <v>1</v>
      </c>
      <c r="G46" s="3" t="s">
        <v>461</v>
      </c>
      <c r="H46" s="24" t="b">
        <f t="shared" si="1"/>
        <v>0</v>
      </c>
      <c r="O46" s="28"/>
    </row>
    <row r="47" spans="1:15" s="28" customFormat="1" x14ac:dyDescent="0.2">
      <c r="A47" s="113" t="s">
        <v>454</v>
      </c>
      <c r="B47" s="107" t="s">
        <v>446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6">
        <f>SUMIF(support!C:C,B47,support!L:L)</f>
        <v>2</v>
      </c>
      <c r="G47" s="3" t="s">
        <v>460</v>
      </c>
      <c r="H47" s="24" t="b">
        <f t="shared" si="1"/>
        <v>0</v>
      </c>
      <c r="O47" s="1"/>
    </row>
    <row r="48" spans="1:15" s="28" customFormat="1" x14ac:dyDescent="0.2">
      <c r="A48" s="113" t="s">
        <v>454</v>
      </c>
      <c r="B48" s="107" t="s">
        <v>447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6">
        <f>SUMIF(support!C:C,B48,support!L:L)</f>
        <v>4</v>
      </c>
      <c r="G48" s="3" t="s">
        <v>393</v>
      </c>
      <c r="H48" s="24" t="b">
        <f t="shared" si="1"/>
        <v>0</v>
      </c>
      <c r="O48" s="1"/>
    </row>
    <row r="49" spans="1:15" x14ac:dyDescent="0.2">
      <c r="A49" s="113" t="s">
        <v>454</v>
      </c>
      <c r="B49" s="107" t="s">
        <v>448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6">
        <f>SUMIF(support!C:C,B49,support!L:L)</f>
        <v>2</v>
      </c>
      <c r="G49" s="3" t="s">
        <v>393</v>
      </c>
      <c r="H49" s="24" t="b">
        <f t="shared" si="1"/>
        <v>0</v>
      </c>
      <c r="O49" s="28"/>
    </row>
    <row r="50" spans="1:15" x14ac:dyDescent="0.2">
      <c r="A50" s="113" t="s">
        <v>454</v>
      </c>
      <c r="B50" s="107" t="s">
        <v>449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6">
        <f>SUMIF(support!C:C,B50,support!L:L)</f>
        <v>1</v>
      </c>
      <c r="G50" s="3"/>
      <c r="H50" s="24" t="b">
        <f t="shared" si="1"/>
        <v>0</v>
      </c>
      <c r="O50" s="28"/>
    </row>
    <row r="51" spans="1:15" x14ac:dyDescent="0.2">
      <c r="A51" s="113" t="s">
        <v>454</v>
      </c>
      <c r="B51" s="107" t="s">
        <v>450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6">
        <f>SUMIF(support!C:C,B51,support!L:L)</f>
        <v>1</v>
      </c>
      <c r="G51" s="6" t="s">
        <v>295</v>
      </c>
      <c r="H51" s="24" t="b">
        <f t="shared" si="1"/>
        <v>0</v>
      </c>
    </row>
    <row r="52" spans="1:15" x14ac:dyDescent="0.2">
      <c r="A52" s="113" t="s">
        <v>458</v>
      </c>
      <c r="B52" s="107" t="s">
        <v>72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6">
        <f>SUMIF(support!C:C,B52,support!L:L)</f>
        <v>1</v>
      </c>
      <c r="G52" s="3"/>
      <c r="H52" s="24" t="b">
        <f t="shared" si="1"/>
        <v>0</v>
      </c>
    </row>
    <row r="53" spans="1:15" x14ac:dyDescent="0.2">
      <c r="A53" s="113" t="s">
        <v>458</v>
      </c>
      <c r="B53" s="107" t="s">
        <v>55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6">
        <f>SUMIF(support!C:C,B53,support!L:L)</f>
        <v>5</v>
      </c>
      <c r="G53" s="6" t="s">
        <v>293</v>
      </c>
      <c r="H53" s="24" t="b">
        <f t="shared" si="1"/>
        <v>0</v>
      </c>
    </row>
    <row r="54" spans="1:15" x14ac:dyDescent="0.2">
      <c r="A54" s="113" t="s">
        <v>455</v>
      </c>
      <c r="B54" s="107" t="s">
        <v>418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6">
        <f>SUMIF(support!C:C,B54,support!L:L)</f>
        <v>1</v>
      </c>
      <c r="G54" s="98" t="s">
        <v>433</v>
      </c>
      <c r="H54" s="24" t="b">
        <f t="shared" si="1"/>
        <v>0</v>
      </c>
    </row>
    <row r="55" spans="1:15" x14ac:dyDescent="0.2">
      <c r="A55" s="113" t="s">
        <v>455</v>
      </c>
      <c r="B55" s="107" t="s">
        <v>419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6">
        <f>SUMIF(support!C:C,B55,support!L:L)</f>
        <v>1</v>
      </c>
      <c r="G55" s="3"/>
      <c r="H55" s="24" t="b">
        <f t="shared" si="1"/>
        <v>0</v>
      </c>
    </row>
    <row r="56" spans="1:15" s="28" customFormat="1" x14ac:dyDescent="0.2">
      <c r="A56" s="113" t="s">
        <v>455</v>
      </c>
      <c r="B56" s="107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6">
        <f>SUMIF(support!C:C,B56,support!L:L)</f>
        <v>3</v>
      </c>
      <c r="G56" s="3"/>
      <c r="H56" s="24" t="b">
        <f t="shared" si="1"/>
        <v>1</v>
      </c>
      <c r="O56" s="1"/>
    </row>
    <row r="57" spans="1:15" s="28" customFormat="1" x14ac:dyDescent="0.2">
      <c r="A57" s="113" t="s">
        <v>455</v>
      </c>
      <c r="B57" s="107" t="s">
        <v>62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6">
        <f>SUMIF(support!C:C,B57,support!L:L)</f>
        <v>9</v>
      </c>
      <c r="G57" s="3"/>
      <c r="H57" s="24" t="b">
        <f t="shared" si="1"/>
        <v>1</v>
      </c>
      <c r="O57" s="1"/>
    </row>
    <row r="58" spans="1:15" s="28" customFormat="1" x14ac:dyDescent="0.2">
      <c r="A58" s="113" t="s">
        <v>455</v>
      </c>
      <c r="B58" s="107" t="s">
        <v>156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6">
        <f>SUMIF(support!C:C,B58,support!L:L)</f>
        <v>3</v>
      </c>
      <c r="G58" s="3"/>
      <c r="H58" s="24" t="b">
        <f t="shared" si="1"/>
        <v>0</v>
      </c>
    </row>
    <row r="59" spans="1:15" s="28" customFormat="1" x14ac:dyDescent="0.2">
      <c r="A59" s="113" t="s">
        <v>455</v>
      </c>
      <c r="B59" s="107" t="s">
        <v>61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6">
        <f>SUMIF(support!C:C,B59,support!L:L)</f>
        <v>8</v>
      </c>
      <c r="G59" s="3"/>
      <c r="H59" s="24" t="b">
        <f t="shared" si="1"/>
        <v>0</v>
      </c>
    </row>
    <row r="60" spans="1:15" s="28" customFormat="1" x14ac:dyDescent="0.2">
      <c r="A60" s="113" t="s">
        <v>455</v>
      </c>
      <c r="B60" s="107" t="s">
        <v>155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6">
        <f>SUMIF(support!C:C,B60,support!L:L)</f>
        <v>1</v>
      </c>
      <c r="G60" s="3"/>
      <c r="H60" s="24" t="b">
        <f t="shared" si="1"/>
        <v>0</v>
      </c>
    </row>
    <row r="61" spans="1:15" s="28" customFormat="1" x14ac:dyDescent="0.2">
      <c r="A61" s="113" t="s">
        <v>455</v>
      </c>
      <c r="B61" s="107" t="s">
        <v>80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6">
        <f>SUMIF(support!C:C,B61,support!L:L)</f>
        <v>1</v>
      </c>
      <c r="G61" s="3"/>
      <c r="H61" s="24" t="b">
        <f t="shared" si="1"/>
        <v>0</v>
      </c>
    </row>
    <row r="62" spans="1:15" x14ac:dyDescent="0.2">
      <c r="A62" s="113" t="s">
        <v>455</v>
      </c>
      <c r="B62" s="107" t="s">
        <v>75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6">
        <f>SUMIF(support!C:C,B62,support!L:L)</f>
        <v>3</v>
      </c>
      <c r="G62" s="3"/>
      <c r="H62" s="24" t="b">
        <f t="shared" si="1"/>
        <v>0</v>
      </c>
      <c r="O62" s="28"/>
    </row>
    <row r="63" spans="1:15" s="28" customFormat="1" x14ac:dyDescent="0.2">
      <c r="A63" s="113" t="s">
        <v>455</v>
      </c>
      <c r="B63" s="107" t="s">
        <v>66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6">
        <f>SUMIF(support!C:C,B63,support!L:L)</f>
        <v>5</v>
      </c>
      <c r="G63" s="3"/>
      <c r="H63" s="24" t="b">
        <f t="shared" si="1"/>
        <v>0</v>
      </c>
    </row>
    <row r="64" spans="1:15" x14ac:dyDescent="0.2">
      <c r="A64" s="113" t="s">
        <v>455</v>
      </c>
      <c r="B64" s="107" t="s">
        <v>67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6">
        <f>SUMIF(support!C:C,B64,support!L:L)</f>
        <v>8</v>
      </c>
      <c r="G64" s="3"/>
      <c r="H64" s="24" t="b">
        <f t="shared" si="1"/>
        <v>0</v>
      </c>
    </row>
    <row r="65" spans="1:15" x14ac:dyDescent="0.2">
      <c r="A65" s="113" t="s">
        <v>455</v>
      </c>
      <c r="B65" s="107" t="s">
        <v>427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6">
        <f>SUMIF(support!C:C,B65,support!L:L)</f>
        <v>1</v>
      </c>
      <c r="G65" s="3" t="s">
        <v>426</v>
      </c>
      <c r="H65" s="24" t="b">
        <f t="shared" si="1"/>
        <v>0</v>
      </c>
      <c r="O65" s="28"/>
    </row>
    <row r="66" spans="1:15" x14ac:dyDescent="0.2">
      <c r="A66" s="113" t="s">
        <v>455</v>
      </c>
      <c r="B66" s="107" t="s">
        <v>172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6">
        <f>SUMIF(support!C:C,B66,support!L:L)</f>
        <v>1</v>
      </c>
      <c r="G66" s="6" t="s">
        <v>173</v>
      </c>
      <c r="H66" s="24" t="b">
        <f t="shared" ref="H66:H81" si="2">OR(COUNTIF(C66:E66, "&lt;&gt;0") &gt; 1, F66 = 0)</f>
        <v>0</v>
      </c>
    </row>
    <row r="67" spans="1:15" s="28" customFormat="1" x14ac:dyDescent="0.2">
      <c r="A67" s="113" t="s">
        <v>455</v>
      </c>
      <c r="B67" s="107" t="s">
        <v>157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6">
        <f>SUMIF(support!C:C,B67,support!L:L)</f>
        <v>2</v>
      </c>
      <c r="G67" s="3"/>
      <c r="H67" s="24" t="b">
        <f t="shared" si="2"/>
        <v>0</v>
      </c>
      <c r="O67" s="1"/>
    </row>
    <row r="68" spans="1:15" s="28" customFormat="1" x14ac:dyDescent="0.2">
      <c r="A68" s="113" t="s">
        <v>455</v>
      </c>
      <c r="B68" s="107" t="s">
        <v>3</v>
      </c>
      <c r="C68" s="23">
        <f>SUMIF(support!C:C,B68,support!I:I)</f>
        <v>7.2249999999999996</v>
      </c>
      <c r="D68" s="3">
        <f>SUMIF(support!C:C,B68,support!J:J)</f>
        <v>0.70976470949999992</v>
      </c>
      <c r="E68" s="3">
        <f>SUMIF(support!C:C,B68,support!K:K)</f>
        <v>0</v>
      </c>
      <c r="F68" s="96">
        <f>SUMIF(support!C:C,B68,support!L:L)</f>
        <v>4</v>
      </c>
      <c r="G68" s="3"/>
      <c r="H68" s="24" t="b">
        <f t="shared" si="2"/>
        <v>1</v>
      </c>
    </row>
    <row r="69" spans="1:15" x14ac:dyDescent="0.2">
      <c r="A69" s="113" t="s">
        <v>455</v>
      </c>
      <c r="B69" s="107" t="s">
        <v>154</v>
      </c>
      <c r="C69" s="23">
        <f>SUMIF(support!C:C,B69,support!I:I)</f>
        <v>0</v>
      </c>
      <c r="D69" s="3">
        <f>SUMIF(support!C:C,B69,support!J:J)</f>
        <v>0</v>
      </c>
      <c r="E69" s="3">
        <f>SUMIF(support!C:C,B69,support!K:K)</f>
        <v>4.25</v>
      </c>
      <c r="F69" s="96">
        <f>SUMIF(support!C:C,B69,support!L:L)</f>
        <v>2</v>
      </c>
      <c r="G69" s="3"/>
      <c r="H69" s="24" t="b">
        <f t="shared" si="2"/>
        <v>0</v>
      </c>
    </row>
    <row r="70" spans="1:15" s="28" customFormat="1" x14ac:dyDescent="0.2">
      <c r="A70" s="113" t="s">
        <v>455</v>
      </c>
      <c r="B70" s="107" t="s">
        <v>158</v>
      </c>
      <c r="C70" s="23">
        <f>SUMIF(support!C:C,B70,support!I:I)</f>
        <v>5.5703999999999994</v>
      </c>
      <c r="D70" s="3">
        <f>SUMIF(support!C:C,B70,support!J:J)</f>
        <v>0</v>
      </c>
      <c r="E70" s="3">
        <f>SUMIF(support!C:C,B70,support!K:K)</f>
        <v>0</v>
      </c>
      <c r="F70" s="96">
        <f>SUMIF(support!C:C,B70,support!L:L)</f>
        <v>1</v>
      </c>
      <c r="G70" s="3"/>
      <c r="H70" s="24" t="b">
        <f t="shared" si="2"/>
        <v>0</v>
      </c>
    </row>
    <row r="71" spans="1:15" x14ac:dyDescent="0.2">
      <c r="A71" s="113" t="s">
        <v>455</v>
      </c>
      <c r="B71" s="107" t="s">
        <v>63</v>
      </c>
      <c r="C71" s="23">
        <f>SUMIF(support!C:C,B71,support!I:I)</f>
        <v>1.5725000000000002</v>
      </c>
      <c r="D71" s="3">
        <f>SUMIF(support!C:C,B71,support!J:J)</f>
        <v>0</v>
      </c>
      <c r="E71" s="3">
        <f>SUMIF(support!C:C,B71,support!K:K)</f>
        <v>0</v>
      </c>
      <c r="F71" s="96">
        <f>SUMIF(support!C:C,B71,support!L:L)</f>
        <v>4</v>
      </c>
      <c r="G71" s="3"/>
      <c r="H71" s="24" t="b">
        <f t="shared" si="2"/>
        <v>0</v>
      </c>
      <c r="O71" s="28"/>
    </row>
    <row r="72" spans="1:15" s="28" customFormat="1" x14ac:dyDescent="0.2">
      <c r="A72" s="113" t="s">
        <v>455</v>
      </c>
      <c r="B72" s="107" t="s">
        <v>421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15.4</v>
      </c>
      <c r="F72" s="96">
        <f>SUMIF(support!C:C,B72,support!L:L)</f>
        <v>1</v>
      </c>
      <c r="G72" s="3"/>
      <c r="H72" s="24" t="b">
        <f t="shared" si="2"/>
        <v>0</v>
      </c>
      <c r="O72" s="1"/>
    </row>
    <row r="73" spans="1:15" x14ac:dyDescent="0.2">
      <c r="A73" s="113" t="s">
        <v>455</v>
      </c>
      <c r="B73" s="107" t="s">
        <v>420</v>
      </c>
      <c r="C73" s="23">
        <f>SUMIF(support!C:C,B73,support!I:I)</f>
        <v>0</v>
      </c>
      <c r="D73" s="3">
        <f>SUMIF(support!C:C,B73,support!J:J)</f>
        <v>0</v>
      </c>
      <c r="E73" s="3">
        <f>SUMIF(support!C:C,B73,support!K:K)</f>
        <v>15.4</v>
      </c>
      <c r="F73" s="96">
        <f>SUMIF(support!C:C,B73,support!L:L)</f>
        <v>1</v>
      </c>
      <c r="G73" s="3"/>
      <c r="H73" s="24" t="b">
        <f t="shared" si="2"/>
        <v>0</v>
      </c>
    </row>
    <row r="74" spans="1:15" x14ac:dyDescent="0.2">
      <c r="A74" s="113" t="s">
        <v>455</v>
      </c>
      <c r="B74" s="107" t="s">
        <v>64</v>
      </c>
      <c r="C74" s="23">
        <f>SUMIF(support!C:C,B74,support!I:I)</f>
        <v>4.6749999999999998</v>
      </c>
      <c r="D74" s="3">
        <f>SUMIF(support!C:C,B74,support!J:J)</f>
        <v>0</v>
      </c>
      <c r="E74" s="3">
        <f>SUMIF(support!C:C,B74,support!K:K)</f>
        <v>0</v>
      </c>
      <c r="F74" s="96">
        <f>SUMIF(support!C:C,B74,support!L:L)</f>
        <v>3</v>
      </c>
      <c r="G74" s="3"/>
      <c r="H74" s="24" t="b">
        <f t="shared" si="2"/>
        <v>0</v>
      </c>
      <c r="O74" s="28"/>
    </row>
    <row r="75" spans="1:15" x14ac:dyDescent="0.2">
      <c r="A75" s="113" t="s">
        <v>455</v>
      </c>
      <c r="B75" s="107" t="s">
        <v>388</v>
      </c>
      <c r="C75" s="23">
        <f>SUMIF(support!C:C,B75,support!I:I)</f>
        <v>0.2675812954815</v>
      </c>
      <c r="D75" s="3">
        <f>SUMIF(support!C:C,B75,support!J:J)</f>
        <v>0</v>
      </c>
      <c r="E75" s="3">
        <f>SUMIF(support!C:C,B75,support!K:K)</f>
        <v>0</v>
      </c>
      <c r="F75" s="96">
        <f>SUMIF(support!C:C,B75,support!L:L)</f>
        <v>1</v>
      </c>
      <c r="G75" s="3"/>
      <c r="H75" s="24" t="b">
        <f t="shared" si="2"/>
        <v>0</v>
      </c>
    </row>
    <row r="76" spans="1:15" x14ac:dyDescent="0.2">
      <c r="A76" s="113" t="s">
        <v>455</v>
      </c>
      <c r="B76" s="107" t="s">
        <v>88</v>
      </c>
      <c r="C76" s="23">
        <f>SUMIF(support!C:C,B76,support!I:I)</f>
        <v>0</v>
      </c>
      <c r="D76" s="3">
        <f>SUMIF(support!C:C,B76,support!J:J)</f>
        <v>0</v>
      </c>
      <c r="E76" s="3">
        <f>SUMIF(support!C:C,B76,support!K:K)</f>
        <v>14.25</v>
      </c>
      <c r="F76" s="96">
        <f>SUMIF(support!C:C,B76,support!L:L)</f>
        <v>3</v>
      </c>
      <c r="G76" s="3"/>
      <c r="H76" s="24" t="b">
        <f t="shared" si="2"/>
        <v>0</v>
      </c>
    </row>
    <row r="77" spans="1:15" x14ac:dyDescent="0.2">
      <c r="A77" s="113" t="s">
        <v>455</v>
      </c>
      <c r="B77" s="107" t="s">
        <v>391</v>
      </c>
      <c r="C77" s="23">
        <f>SUMIF(support!C:C,B77,support!I:I)</f>
        <v>0</v>
      </c>
      <c r="D77" s="3">
        <f>SUMIF(support!C:C,B77,support!J:J)</f>
        <v>0.35488235474999996</v>
      </c>
      <c r="E77" s="3">
        <f>SUMIF(support!C:C,B77,support!K:K)</f>
        <v>0</v>
      </c>
      <c r="F77" s="96">
        <f>SUMIF(support!C:C,B77,support!L:L)</f>
        <v>1</v>
      </c>
      <c r="G77" s="3"/>
      <c r="H77" s="24" t="b">
        <f t="shared" si="2"/>
        <v>0</v>
      </c>
    </row>
    <row r="78" spans="1:15" x14ac:dyDescent="0.2">
      <c r="A78" s="113" t="s">
        <v>455</v>
      </c>
      <c r="B78" s="107" t="s">
        <v>68</v>
      </c>
      <c r="C78" s="23">
        <f>SUMIF(support!C:C,B78,support!I:I)</f>
        <v>1.7489999999999999</v>
      </c>
      <c r="D78" s="3">
        <f>SUMIF(support!C:C,B78,support!J:J)</f>
        <v>0</v>
      </c>
      <c r="E78" s="3">
        <f>SUMIF(support!C:C,B78,support!K:K)</f>
        <v>0</v>
      </c>
      <c r="F78" s="96">
        <f>SUMIF(support!C:C,B78,support!L:L)</f>
        <v>1</v>
      </c>
      <c r="G78" s="3"/>
      <c r="H78" s="24" t="b">
        <f t="shared" si="2"/>
        <v>0</v>
      </c>
    </row>
    <row r="79" spans="1:15" x14ac:dyDescent="0.2">
      <c r="A79" s="113" t="s">
        <v>455</v>
      </c>
      <c r="B79" s="107" t="s">
        <v>69</v>
      </c>
      <c r="C79" s="23">
        <f>SUMIF(support!C:C,B79,support!I:I)</f>
        <v>0</v>
      </c>
      <c r="D79" s="3">
        <f>SUMIF(support!C:C,B79,support!J:J)</f>
        <v>0</v>
      </c>
      <c r="E79" s="3">
        <f>SUMIF(support!C:C,B79,support!K:K)</f>
        <v>13.25</v>
      </c>
      <c r="F79" s="96">
        <f>SUMIF(support!C:C,B79,support!L:L)</f>
        <v>1</v>
      </c>
      <c r="G79" s="3"/>
      <c r="H79" s="24" t="b">
        <f t="shared" si="2"/>
        <v>0</v>
      </c>
    </row>
    <row r="80" spans="1:15" x14ac:dyDescent="0.2">
      <c r="A80" s="113" t="s">
        <v>455</v>
      </c>
      <c r="B80" s="107" t="s">
        <v>167</v>
      </c>
      <c r="C80" s="23">
        <f>SUMIF(support!C:C,B80,support!I:I)</f>
        <v>0.47125</v>
      </c>
      <c r="D80" s="3">
        <f>SUMIF(support!C:C,B80,support!J:J)</f>
        <v>0</v>
      </c>
      <c r="E80" s="3">
        <f>SUMIF(support!C:C,B80,support!K:K)</f>
        <v>0</v>
      </c>
      <c r="F80" s="96">
        <f>SUMIF(support!C:C,B80,support!L:L)</f>
        <v>1</v>
      </c>
      <c r="G80" s="3"/>
      <c r="H80" s="24" t="b">
        <f t="shared" si="2"/>
        <v>0</v>
      </c>
    </row>
    <row r="81" spans="1:8" ht="13.5" thickBot="1" x14ac:dyDescent="0.25">
      <c r="A81" s="114" t="s">
        <v>455</v>
      </c>
      <c r="B81" s="111" t="s">
        <v>65</v>
      </c>
      <c r="C81" s="25">
        <f>SUMIF(support!C:C,B81,support!I:I)</f>
        <v>0</v>
      </c>
      <c r="D81" s="26">
        <f>SUMIF(support!C:C,B81,support!J:J)</f>
        <v>0</v>
      </c>
      <c r="E81" s="26">
        <f>SUMIF(support!C:C,B81,support!K:K)</f>
        <v>10</v>
      </c>
      <c r="F81" s="97">
        <f>SUMIF(support!C:C,B81,support!L:L)</f>
        <v>2</v>
      </c>
      <c r="G81" s="26"/>
      <c r="H81" s="27" t="b">
        <f t="shared" si="2"/>
        <v>0</v>
      </c>
    </row>
    <row r="82" spans="1:8" ht="13.5" thickBot="1" x14ac:dyDescent="0.25">
      <c r="B82" s="8" t="s">
        <v>107</v>
      </c>
    </row>
  </sheetData>
  <sortState xmlns:xlrd2="http://schemas.microsoft.com/office/spreadsheetml/2017/richdata2" ref="A2:H81">
    <sortCondition ref="A2:A81"/>
    <sortCondition ref="B2:B81"/>
  </sortState>
  <conditionalFormatting sqref="C20:E32 C38:E43 C82:F1048576 H1 H82:H1048576 C73:E81 C1:F8 C45:E55 F13:F32 C13:E18 F34:F43 C34:E36 C62:E71 F45:F81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2:E72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13:H32 H34:H43 H45:H81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2018-11-14T04:10:29Z</dcterms:modified>
</cp:coreProperties>
</file>