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33E1BF9C-CED5-4946-B15F-2880CB4D0983}" xr6:coauthVersionLast="38" xr6:coauthVersionMax="38" xr10:uidLastSave="{00000000-0000-0000-0000-000000000000}"/>
  <bookViews>
    <workbookView xWindow="0" yWindow="0" windowWidth="28770" windowHeight="11520" activeTab="3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support!$G$2:$G$94</definedName>
    <definedName name="itemMlPerQty">support!$H$2:$H$94</definedName>
    <definedName name="itemNames">support!$A$2:$A$94</definedName>
    <definedName name="itemPrepMethods">support!$B$2:$B$94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shopping!$B$2:$B$81</definedName>
    <definedName name="sources">shopping!$O$3:$O$9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0" i="2" l="1"/>
  <c r="A390" i="2"/>
  <c r="F357" i="2"/>
  <c r="A357" i="2"/>
  <c r="F322" i="2"/>
  <c r="A322" i="2"/>
  <c r="F288" i="2"/>
  <c r="A288" i="2"/>
  <c r="F261" i="2"/>
  <c r="A261" i="2"/>
  <c r="F234" i="2"/>
  <c r="A234" i="2"/>
  <c r="F201" i="2"/>
  <c r="A201" i="2"/>
  <c r="F167" i="2"/>
  <c r="A167" i="2"/>
  <c r="F143" i="2"/>
  <c r="A143" i="2"/>
  <c r="F106" i="2"/>
  <c r="A106" i="2"/>
  <c r="F79" i="2"/>
  <c r="A79" i="2"/>
  <c r="F56" i="2"/>
  <c r="A56" i="2"/>
  <c r="A3" i="2"/>
  <c r="A16" i="2"/>
  <c r="A34" i="2"/>
  <c r="K3" i="5"/>
  <c r="K4" i="5"/>
  <c r="F6" i="2"/>
  <c r="L40" i="1"/>
  <c r="O190" i="2"/>
  <c r="F168" i="2"/>
  <c r="Q190" i="2"/>
  <c r="F170" i="2"/>
  <c r="F171" i="2"/>
  <c r="R190" i="2"/>
  <c r="S190" i="2"/>
  <c r="T190" i="2"/>
  <c r="K40" i="1"/>
  <c r="J40" i="1"/>
  <c r="I40" i="1"/>
  <c r="H40" i="1"/>
  <c r="G40" i="1"/>
  <c r="C65" i="3"/>
  <c r="D65" i="3"/>
  <c r="E65" i="3"/>
  <c r="F65" i="3"/>
  <c r="H65" i="3"/>
  <c r="L61" i="1"/>
  <c r="F80" i="2"/>
  <c r="Q85" i="2"/>
  <c r="G61" i="1"/>
  <c r="G14" i="1"/>
  <c r="M85" i="2"/>
  <c r="F82" i="2"/>
  <c r="F83" i="2"/>
  <c r="R85" i="2"/>
  <c r="H61" i="1"/>
  <c r="H14" i="1"/>
  <c r="N85" i="2"/>
  <c r="S85" i="2"/>
  <c r="T85" i="2"/>
  <c r="F144" i="2"/>
  <c r="Q148" i="2"/>
  <c r="M148" i="2"/>
  <c r="F146" i="2"/>
  <c r="F147" i="2"/>
  <c r="R148" i="2"/>
  <c r="N148" i="2"/>
  <c r="S148" i="2"/>
  <c r="T148" i="2"/>
  <c r="F289" i="2"/>
  <c r="Q298" i="2"/>
  <c r="M298" i="2"/>
  <c r="F291" i="2"/>
  <c r="F292" i="2"/>
  <c r="R298" i="2"/>
  <c r="N298" i="2"/>
  <c r="S298" i="2"/>
  <c r="T298" i="2"/>
  <c r="F4" i="2"/>
  <c r="Q9" i="2"/>
  <c r="M9" i="2"/>
  <c r="F7" i="2"/>
  <c r="R9" i="2"/>
  <c r="N9" i="2"/>
  <c r="S9" i="2"/>
  <c r="T9" i="2"/>
  <c r="K61" i="1"/>
  <c r="J61" i="1"/>
  <c r="I61" i="1"/>
  <c r="L3" i="1"/>
  <c r="G2" i="1"/>
  <c r="H2" i="1"/>
  <c r="Q8" i="2"/>
  <c r="G3" i="1"/>
  <c r="M8" i="2"/>
  <c r="R8" i="2"/>
  <c r="H3" i="1"/>
  <c r="N8" i="2"/>
  <c r="S8" i="2"/>
  <c r="T8" i="2"/>
  <c r="K3" i="1"/>
  <c r="J3" i="1"/>
  <c r="I3" i="1"/>
  <c r="L2" i="1"/>
  <c r="Q7" i="2"/>
  <c r="M7" i="2"/>
  <c r="R7" i="2"/>
  <c r="N7" i="2"/>
  <c r="S7" i="2"/>
  <c r="T7" i="2"/>
  <c r="K2" i="1"/>
  <c r="J2" i="1"/>
  <c r="I2" i="1"/>
  <c r="L57" i="1"/>
  <c r="G57" i="1"/>
  <c r="H57" i="1"/>
  <c r="Q10" i="2"/>
  <c r="M10" i="2"/>
  <c r="R10" i="2"/>
  <c r="N10" i="2"/>
  <c r="S10" i="2"/>
  <c r="T10" i="2"/>
  <c r="K57" i="1"/>
  <c r="J57" i="1"/>
  <c r="I57" i="1"/>
  <c r="C72" i="3"/>
  <c r="D72" i="3"/>
  <c r="E72" i="3"/>
  <c r="F72" i="3"/>
  <c r="H72" i="3"/>
  <c r="C54" i="3"/>
  <c r="D54" i="3"/>
  <c r="E54" i="3"/>
  <c r="F54" i="3"/>
  <c r="H54" i="3"/>
  <c r="C73" i="3"/>
  <c r="D73" i="3"/>
  <c r="E73" i="3"/>
  <c r="F73" i="3"/>
  <c r="H73" i="3"/>
  <c r="C55" i="3"/>
  <c r="D55" i="3"/>
  <c r="E55" i="3"/>
  <c r="F55" i="3"/>
  <c r="H55" i="3"/>
  <c r="AA11" i="2"/>
  <c r="AD11" i="2"/>
  <c r="AC11" i="2"/>
  <c r="AB11" i="2"/>
  <c r="V11" i="2"/>
  <c r="Y11" i="2"/>
  <c r="X11" i="2"/>
  <c r="W11" i="2"/>
  <c r="G49" i="1"/>
  <c r="H49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49" i="1"/>
  <c r="F323" i="2"/>
  <c r="Q349" i="2"/>
  <c r="G50" i="1"/>
  <c r="M349" i="2"/>
  <c r="F325" i="2"/>
  <c r="F326" i="2"/>
  <c r="R349" i="2"/>
  <c r="H50" i="1"/>
  <c r="N349" i="2"/>
  <c r="S349" i="2"/>
  <c r="T349" i="2"/>
  <c r="Q6" i="2"/>
  <c r="M6" i="2"/>
  <c r="R6" i="2"/>
  <c r="N6" i="2"/>
  <c r="S6" i="2"/>
  <c r="T6" i="2"/>
  <c r="K49" i="1"/>
  <c r="J49" i="1"/>
  <c r="I49" i="1"/>
  <c r="C25" i="3"/>
  <c r="D25" i="3"/>
  <c r="E25" i="3"/>
  <c r="F25" i="3"/>
  <c r="H25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F107" i="2"/>
  <c r="Q118" i="2"/>
  <c r="G93" i="1"/>
  <c r="M118" i="2"/>
  <c r="F109" i="2"/>
  <c r="F110" i="2"/>
  <c r="R118" i="2"/>
  <c r="I93" i="1"/>
  <c r="F358" i="2"/>
  <c r="Q376" i="2"/>
  <c r="G94" i="1"/>
  <c r="M376" i="2"/>
  <c r="F360" i="2"/>
  <c r="F361" i="2"/>
  <c r="R376" i="2"/>
  <c r="I94" i="1"/>
  <c r="C81" i="3"/>
  <c r="H93" i="1"/>
  <c r="N118" i="2"/>
  <c r="S118" i="2"/>
  <c r="J93" i="1"/>
  <c r="H94" i="1"/>
  <c r="N376" i="2"/>
  <c r="S376" i="2"/>
  <c r="J94" i="1"/>
  <c r="D81" i="3"/>
  <c r="T118" i="2"/>
  <c r="K93" i="1"/>
  <c r="T376" i="2"/>
  <c r="K94" i="1"/>
  <c r="E81" i="3"/>
  <c r="L93" i="1"/>
  <c r="L94" i="1"/>
  <c r="F81" i="3"/>
  <c r="H81" i="3"/>
  <c r="Q184" i="2"/>
  <c r="G92" i="1"/>
  <c r="M184" i="2"/>
  <c r="R184" i="2"/>
  <c r="I92" i="1"/>
  <c r="C80" i="3"/>
  <c r="H92" i="1"/>
  <c r="N184" i="2"/>
  <c r="S184" i="2"/>
  <c r="J92" i="1"/>
  <c r="D80" i="3"/>
  <c r="T184" i="2"/>
  <c r="K92" i="1"/>
  <c r="E80" i="3"/>
  <c r="L92" i="1"/>
  <c r="F80" i="3"/>
  <c r="H80" i="3"/>
  <c r="F262" i="2"/>
  <c r="Q267" i="2"/>
  <c r="G91" i="1"/>
  <c r="M267" i="2"/>
  <c r="F264" i="2"/>
  <c r="F265" i="2"/>
  <c r="R267" i="2"/>
  <c r="I91" i="1"/>
  <c r="C79" i="3"/>
  <c r="H91" i="1"/>
  <c r="N267" i="2"/>
  <c r="S267" i="2"/>
  <c r="J91" i="1"/>
  <c r="D79" i="3"/>
  <c r="T267" i="2"/>
  <c r="K91" i="1"/>
  <c r="E79" i="3"/>
  <c r="L91" i="1"/>
  <c r="F79" i="3"/>
  <c r="H79" i="3"/>
  <c r="H89" i="1"/>
  <c r="N238" i="2"/>
  <c r="G89" i="1"/>
  <c r="M238" i="2"/>
  <c r="O238" i="2"/>
  <c r="P238" i="2"/>
  <c r="F235" i="2"/>
  <c r="Q238" i="2"/>
  <c r="F237" i="2"/>
  <c r="F238" i="2"/>
  <c r="R238" i="2"/>
  <c r="I89" i="1"/>
  <c r="H90" i="1"/>
  <c r="N95" i="2"/>
  <c r="G90" i="1"/>
  <c r="M95" i="2"/>
  <c r="O95" i="2"/>
  <c r="P95" i="2"/>
  <c r="Q95" i="2"/>
  <c r="R95" i="2"/>
  <c r="N121" i="2"/>
  <c r="M121" i="2"/>
  <c r="O121" i="2"/>
  <c r="P121" i="2"/>
  <c r="Q121" i="2"/>
  <c r="R121" i="2"/>
  <c r="N182" i="2"/>
  <c r="M182" i="2"/>
  <c r="O182" i="2"/>
  <c r="P182" i="2"/>
  <c r="Q182" i="2"/>
  <c r="R182" i="2"/>
  <c r="N405" i="2"/>
  <c r="M405" i="2"/>
  <c r="O405" i="2"/>
  <c r="P405" i="2"/>
  <c r="F391" i="2"/>
  <c r="Q405" i="2"/>
  <c r="F393" i="2"/>
  <c r="F394" i="2"/>
  <c r="R405" i="2"/>
  <c r="I90" i="1"/>
  <c r="C8" i="3"/>
  <c r="S238" i="2"/>
  <c r="J89" i="1"/>
  <c r="S95" i="2"/>
  <c r="S121" i="2"/>
  <c r="S182" i="2"/>
  <c r="S405" i="2"/>
  <c r="J90" i="1"/>
  <c r="D8" i="3"/>
  <c r="T238" i="2"/>
  <c r="K89" i="1"/>
  <c r="T95" i="2"/>
  <c r="T121" i="2"/>
  <c r="T182" i="2"/>
  <c r="T405" i="2"/>
  <c r="K90" i="1"/>
  <c r="E8" i="3"/>
  <c r="L89" i="1"/>
  <c r="L90" i="1"/>
  <c r="F8" i="3"/>
  <c r="H8" i="3"/>
  <c r="O278" i="2"/>
  <c r="Q278" i="2"/>
  <c r="R278" i="2"/>
  <c r="I88" i="1"/>
  <c r="C4" i="3"/>
  <c r="S278" i="2"/>
  <c r="J88" i="1"/>
  <c r="D4" i="3"/>
  <c r="T278" i="2"/>
  <c r="K88" i="1"/>
  <c r="E4" i="3"/>
  <c r="L88" i="1"/>
  <c r="F4" i="3"/>
  <c r="H4" i="3"/>
  <c r="H87" i="1"/>
  <c r="N152" i="2"/>
  <c r="O152" i="2"/>
  <c r="P152" i="2"/>
  <c r="Q152" i="2"/>
  <c r="R152" i="2"/>
  <c r="N204" i="2"/>
  <c r="O204" i="2"/>
  <c r="P204" i="2"/>
  <c r="F202" i="2"/>
  <c r="Q204" i="2"/>
  <c r="F204" i="2"/>
  <c r="F205" i="2"/>
  <c r="R204" i="2"/>
  <c r="N270" i="2"/>
  <c r="O270" i="2"/>
  <c r="P270" i="2"/>
  <c r="Q270" i="2"/>
  <c r="R270" i="2"/>
  <c r="N340" i="2"/>
  <c r="O340" i="2"/>
  <c r="P340" i="2"/>
  <c r="Q340" i="2"/>
  <c r="R340" i="2"/>
  <c r="F17" i="2"/>
  <c r="Q19" i="2"/>
  <c r="G19" i="1"/>
  <c r="M19" i="2"/>
  <c r="K5" i="5"/>
  <c r="K6" i="5"/>
  <c r="F19" i="2"/>
  <c r="F20" i="2"/>
  <c r="R19" i="2"/>
  <c r="Q20" i="2"/>
  <c r="G9" i="1"/>
  <c r="M20" i="2"/>
  <c r="R20" i="2"/>
  <c r="Q21" i="2"/>
  <c r="G15" i="1"/>
  <c r="M21" i="2"/>
  <c r="R21" i="2"/>
  <c r="Q22" i="2"/>
  <c r="G43" i="1"/>
  <c r="M22" i="2"/>
  <c r="R22" i="2"/>
  <c r="Q23" i="2"/>
  <c r="G51" i="1"/>
  <c r="M23" i="2"/>
  <c r="R23" i="2"/>
  <c r="G34" i="1"/>
  <c r="G32" i="1"/>
  <c r="G72" i="1"/>
  <c r="Q29" i="2"/>
  <c r="G86" i="1"/>
  <c r="M29" i="2"/>
  <c r="R29" i="2"/>
  <c r="F35" i="2"/>
  <c r="G37" i="1"/>
  <c r="F37" i="2"/>
  <c r="F38" i="2"/>
  <c r="H38" i="1"/>
  <c r="N37" i="2"/>
  <c r="O37" i="2"/>
  <c r="P37" i="2"/>
  <c r="Q37" i="2"/>
  <c r="R37" i="2"/>
  <c r="H30" i="1"/>
  <c r="N38" i="2"/>
  <c r="O38" i="2"/>
  <c r="P38" i="2"/>
  <c r="Q38" i="2"/>
  <c r="R38" i="2"/>
  <c r="H84" i="1"/>
  <c r="N39" i="2"/>
  <c r="O39" i="2"/>
  <c r="P39" i="2"/>
  <c r="Q39" i="2"/>
  <c r="R39" i="2"/>
  <c r="H7" i="1"/>
  <c r="N42" i="2"/>
  <c r="G7" i="1"/>
  <c r="M42" i="2"/>
  <c r="O42" i="2"/>
  <c r="P42" i="2"/>
  <c r="Q42" i="2"/>
  <c r="R42" i="2"/>
  <c r="H48" i="1"/>
  <c r="N43" i="2"/>
  <c r="O43" i="2"/>
  <c r="P43" i="2"/>
  <c r="Q43" i="2"/>
  <c r="R43" i="2"/>
  <c r="H6" i="1"/>
  <c r="N44" i="2"/>
  <c r="O44" i="2"/>
  <c r="P44" i="2"/>
  <c r="Q44" i="2"/>
  <c r="R44" i="2"/>
  <c r="H63" i="1"/>
  <c r="N45" i="2"/>
  <c r="G63" i="1"/>
  <c r="M45" i="2"/>
  <c r="O45" i="2"/>
  <c r="P45" i="2"/>
  <c r="Q45" i="2"/>
  <c r="R45" i="2"/>
  <c r="H81" i="1"/>
  <c r="N48" i="2"/>
  <c r="O48" i="2"/>
  <c r="P48" i="2"/>
  <c r="Q48" i="2"/>
  <c r="R48" i="2"/>
  <c r="H39" i="1"/>
  <c r="N51" i="2"/>
  <c r="O51" i="2"/>
  <c r="P51" i="2"/>
  <c r="Q51" i="2"/>
  <c r="R51" i="2"/>
  <c r="H71" i="1"/>
  <c r="N52" i="2"/>
  <c r="O52" i="2"/>
  <c r="P52" i="2"/>
  <c r="Q52" i="2"/>
  <c r="R52" i="2"/>
  <c r="H45" i="1"/>
  <c r="N53" i="2"/>
  <c r="O53" i="2"/>
  <c r="P53" i="2"/>
  <c r="Q53" i="2"/>
  <c r="R53" i="2"/>
  <c r="O59" i="2"/>
  <c r="F57" i="2"/>
  <c r="Q59" i="2"/>
  <c r="F59" i="2"/>
  <c r="F60" i="2"/>
  <c r="R59" i="2"/>
  <c r="H28" i="1"/>
  <c r="N60" i="2"/>
  <c r="G28" i="1"/>
  <c r="M60" i="2"/>
  <c r="O60" i="2"/>
  <c r="P60" i="2"/>
  <c r="Q60" i="2"/>
  <c r="R60" i="2"/>
  <c r="Q63" i="2"/>
  <c r="M63" i="2"/>
  <c r="R63" i="2"/>
  <c r="Q64" i="2"/>
  <c r="G56" i="1"/>
  <c r="M64" i="2"/>
  <c r="R64" i="2"/>
  <c r="H21" i="1"/>
  <c r="N67" i="2"/>
  <c r="G21" i="1"/>
  <c r="M67" i="2"/>
  <c r="O67" i="2"/>
  <c r="P67" i="2"/>
  <c r="Q67" i="2"/>
  <c r="R67" i="2"/>
  <c r="H36" i="1"/>
  <c r="N68" i="2"/>
  <c r="G36" i="1"/>
  <c r="M68" i="2"/>
  <c r="O68" i="2"/>
  <c r="P68" i="2"/>
  <c r="Q68" i="2"/>
  <c r="R68" i="2"/>
  <c r="H47" i="1"/>
  <c r="N69" i="2"/>
  <c r="G47" i="1"/>
  <c r="M69" i="2"/>
  <c r="O69" i="2"/>
  <c r="P69" i="2"/>
  <c r="Q69" i="2"/>
  <c r="R69" i="2"/>
  <c r="H46" i="1"/>
  <c r="N70" i="2"/>
  <c r="G46" i="1"/>
  <c r="M70" i="2"/>
  <c r="O70" i="2"/>
  <c r="P70" i="2"/>
  <c r="Q70" i="2"/>
  <c r="R70" i="2"/>
  <c r="H64" i="1"/>
  <c r="N71" i="2"/>
  <c r="G64" i="1"/>
  <c r="M71" i="2"/>
  <c r="O71" i="2"/>
  <c r="P71" i="2"/>
  <c r="Q71" i="2"/>
  <c r="R71" i="2"/>
  <c r="H25" i="1"/>
  <c r="N82" i="2"/>
  <c r="G25" i="1"/>
  <c r="M82" i="2"/>
  <c r="O82" i="2"/>
  <c r="P82" i="2"/>
  <c r="Q82" i="2"/>
  <c r="R82" i="2"/>
  <c r="Q86" i="2"/>
  <c r="G8" i="1"/>
  <c r="M86" i="2"/>
  <c r="R86" i="2"/>
  <c r="N87" i="2"/>
  <c r="M87" i="2"/>
  <c r="O87" i="2"/>
  <c r="P87" i="2"/>
  <c r="Q87" i="2"/>
  <c r="R87" i="2"/>
  <c r="H58" i="1"/>
  <c r="N90" i="2"/>
  <c r="G58" i="1"/>
  <c r="M90" i="2"/>
  <c r="O90" i="2"/>
  <c r="P90" i="2"/>
  <c r="Q90" i="2"/>
  <c r="R90" i="2"/>
  <c r="N91" i="2"/>
  <c r="M91" i="2"/>
  <c r="O91" i="2"/>
  <c r="P91" i="2"/>
  <c r="Q91" i="2"/>
  <c r="R91" i="2"/>
  <c r="H23" i="1"/>
  <c r="N92" i="2"/>
  <c r="G23" i="1"/>
  <c r="M92" i="2"/>
  <c r="O92" i="2"/>
  <c r="P92" i="2"/>
  <c r="Q92" i="2"/>
  <c r="R92" i="2"/>
  <c r="H18" i="1"/>
  <c r="N93" i="2"/>
  <c r="G18" i="1"/>
  <c r="M93" i="2"/>
  <c r="O93" i="2"/>
  <c r="P93" i="2"/>
  <c r="Q93" i="2"/>
  <c r="R93" i="2"/>
  <c r="Q94" i="2"/>
  <c r="G4" i="1"/>
  <c r="M94" i="2"/>
  <c r="R94" i="2"/>
  <c r="G42" i="1"/>
  <c r="M100" i="2"/>
  <c r="O100" i="2"/>
  <c r="H42" i="1"/>
  <c r="N100" i="2"/>
  <c r="P100" i="2"/>
  <c r="Q100" i="2"/>
  <c r="R100" i="2"/>
  <c r="H26" i="1"/>
  <c r="N109" i="2"/>
  <c r="G26" i="1"/>
  <c r="M109" i="2"/>
  <c r="O109" i="2"/>
  <c r="P109" i="2"/>
  <c r="Q109" i="2"/>
  <c r="R109" i="2"/>
  <c r="N113" i="2"/>
  <c r="M113" i="2"/>
  <c r="O113" i="2"/>
  <c r="P113" i="2"/>
  <c r="Q113" i="2"/>
  <c r="R113" i="2"/>
  <c r="H54" i="1"/>
  <c r="N114" i="2"/>
  <c r="O114" i="2"/>
  <c r="P114" i="2"/>
  <c r="Q114" i="2"/>
  <c r="R114" i="2"/>
  <c r="Q117" i="2"/>
  <c r="G79" i="1"/>
  <c r="M117" i="2"/>
  <c r="R117" i="2"/>
  <c r="N122" i="2"/>
  <c r="M122" i="2"/>
  <c r="O122" i="2"/>
  <c r="P122" i="2"/>
  <c r="Q122" i="2"/>
  <c r="R122" i="2"/>
  <c r="N123" i="2"/>
  <c r="O123" i="2"/>
  <c r="P123" i="2"/>
  <c r="Q123" i="2"/>
  <c r="R123" i="2"/>
  <c r="N131" i="2"/>
  <c r="O131" i="2"/>
  <c r="P131" i="2"/>
  <c r="Q131" i="2"/>
  <c r="R131" i="2"/>
  <c r="H20" i="1"/>
  <c r="N134" i="2"/>
  <c r="G20" i="1"/>
  <c r="M134" i="2"/>
  <c r="O134" i="2"/>
  <c r="P134" i="2"/>
  <c r="Q134" i="2"/>
  <c r="R134" i="2"/>
  <c r="H5" i="1"/>
  <c r="N135" i="2"/>
  <c r="G5" i="1"/>
  <c r="M135" i="2"/>
  <c r="O135" i="2"/>
  <c r="P135" i="2"/>
  <c r="Q135" i="2"/>
  <c r="R135" i="2"/>
  <c r="N146" i="2"/>
  <c r="O146" i="2"/>
  <c r="P146" i="2"/>
  <c r="Q146" i="2"/>
  <c r="R146" i="2"/>
  <c r="Q147" i="2"/>
  <c r="M147" i="2"/>
  <c r="R147" i="2"/>
  <c r="Q151" i="2"/>
  <c r="M151" i="2"/>
  <c r="R151" i="2"/>
  <c r="Q153" i="2"/>
  <c r="G33" i="1"/>
  <c r="M153" i="2"/>
  <c r="R153" i="2"/>
  <c r="Q154" i="2"/>
  <c r="G35" i="1"/>
  <c r="M154" i="2"/>
  <c r="R154" i="2"/>
  <c r="Q155" i="2"/>
  <c r="M155" i="2"/>
  <c r="R155" i="2"/>
  <c r="O158" i="2"/>
  <c r="G68" i="1"/>
  <c r="M158" i="2"/>
  <c r="P158" i="2"/>
  <c r="Q158" i="2"/>
  <c r="H68" i="1"/>
  <c r="N158" i="2"/>
  <c r="R158" i="2"/>
  <c r="O171" i="2"/>
  <c r="Q171" i="2"/>
  <c r="R171" i="2"/>
  <c r="H74" i="1"/>
  <c r="N172" i="2"/>
  <c r="O172" i="2"/>
  <c r="P172" i="2"/>
  <c r="Q172" i="2"/>
  <c r="R172" i="2"/>
  <c r="H65" i="1"/>
  <c r="N175" i="2"/>
  <c r="O175" i="2"/>
  <c r="P175" i="2"/>
  <c r="Q175" i="2"/>
  <c r="R175" i="2"/>
  <c r="H75" i="1"/>
  <c r="N176" i="2"/>
  <c r="O176" i="2"/>
  <c r="P176" i="2"/>
  <c r="Q176" i="2"/>
  <c r="R176" i="2"/>
  <c r="Q177" i="2"/>
  <c r="M177" i="2"/>
  <c r="R177" i="2"/>
  <c r="N178" i="2"/>
  <c r="O178" i="2"/>
  <c r="P178" i="2"/>
  <c r="Q178" i="2"/>
  <c r="R178" i="2"/>
  <c r="Q179" i="2"/>
  <c r="G12" i="1"/>
  <c r="M179" i="2"/>
  <c r="R179" i="2"/>
  <c r="Q183" i="2"/>
  <c r="G6" i="1"/>
  <c r="M183" i="2"/>
  <c r="R183" i="2"/>
  <c r="Q185" i="2"/>
  <c r="M185" i="2"/>
  <c r="R185" i="2"/>
  <c r="Q186" i="2"/>
  <c r="G76" i="1"/>
  <c r="M186" i="2"/>
  <c r="R186" i="2"/>
  <c r="Q189" i="2"/>
  <c r="M189" i="2"/>
  <c r="R189" i="2"/>
  <c r="Q191" i="2"/>
  <c r="G80" i="1"/>
  <c r="M191" i="2"/>
  <c r="R191" i="2"/>
  <c r="H11" i="1"/>
  <c r="N196" i="2"/>
  <c r="O196" i="2"/>
  <c r="P196" i="2"/>
  <c r="Q196" i="2"/>
  <c r="R196" i="2"/>
  <c r="Q207" i="2"/>
  <c r="G48" i="1"/>
  <c r="M207" i="2"/>
  <c r="R207" i="2"/>
  <c r="Q208" i="2"/>
  <c r="M208" i="2"/>
  <c r="R208" i="2"/>
  <c r="Q216" i="2"/>
  <c r="G82" i="1"/>
  <c r="M216" i="2"/>
  <c r="R216" i="2"/>
  <c r="H22" i="1"/>
  <c r="N217" i="2"/>
  <c r="O217" i="2"/>
  <c r="P217" i="2"/>
  <c r="Q217" i="2"/>
  <c r="R217" i="2"/>
  <c r="H55" i="1"/>
  <c r="N218" i="2"/>
  <c r="O218" i="2"/>
  <c r="P218" i="2"/>
  <c r="Q218" i="2"/>
  <c r="R218" i="2"/>
  <c r="N221" i="2"/>
  <c r="M221" i="2"/>
  <c r="O221" i="2"/>
  <c r="P221" i="2"/>
  <c r="Q221" i="2"/>
  <c r="R221" i="2"/>
  <c r="H53" i="1"/>
  <c r="N222" i="2"/>
  <c r="O222" i="2"/>
  <c r="P222" i="2"/>
  <c r="Q222" i="2"/>
  <c r="R222" i="2"/>
  <c r="H59" i="1"/>
  <c r="N237" i="2"/>
  <c r="O237" i="2"/>
  <c r="P237" i="2"/>
  <c r="Q237" i="2"/>
  <c r="R237" i="2"/>
  <c r="H17" i="1"/>
  <c r="N241" i="2"/>
  <c r="O241" i="2"/>
  <c r="P241" i="2"/>
  <c r="Q241" i="2"/>
  <c r="R241" i="2"/>
  <c r="H69" i="1"/>
  <c r="N242" i="2"/>
  <c r="O242" i="2"/>
  <c r="P242" i="2"/>
  <c r="Q242" i="2"/>
  <c r="R242" i="2"/>
  <c r="Q245" i="2"/>
  <c r="G84" i="1"/>
  <c r="M245" i="2"/>
  <c r="R245" i="2"/>
  <c r="Q248" i="2"/>
  <c r="M248" i="2"/>
  <c r="R248" i="2"/>
  <c r="Q249" i="2"/>
  <c r="M249" i="2"/>
  <c r="R249" i="2"/>
  <c r="N250" i="2"/>
  <c r="O250" i="2"/>
  <c r="P250" i="2"/>
  <c r="Q250" i="2"/>
  <c r="R250" i="2"/>
  <c r="Q253" i="2"/>
  <c r="M253" i="2"/>
  <c r="R253" i="2"/>
  <c r="Q254" i="2"/>
  <c r="M254" i="2"/>
  <c r="R254" i="2"/>
  <c r="H60" i="1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Q265" i="2"/>
  <c r="G10" i="1"/>
  <c r="M265" i="2"/>
  <c r="R265" i="2"/>
  <c r="Q266" i="2"/>
  <c r="G16" i="1"/>
  <c r="M266" i="2"/>
  <c r="R266" i="2"/>
  <c r="O275" i="2"/>
  <c r="Q275" i="2"/>
  <c r="R275" i="2"/>
  <c r="H52" i="1"/>
  <c r="N281" i="2"/>
  <c r="O281" i="2"/>
  <c r="P281" i="2"/>
  <c r="Q281" i="2"/>
  <c r="R281" i="2"/>
  <c r="H24" i="1"/>
  <c r="N293" i="2"/>
  <c r="O293" i="2"/>
  <c r="P293" i="2"/>
  <c r="Q293" i="2"/>
  <c r="R293" i="2"/>
  <c r="Q294" i="2"/>
  <c r="G62" i="1"/>
  <c r="M294" i="2"/>
  <c r="R294" i="2"/>
  <c r="Q297" i="2"/>
  <c r="M297" i="2"/>
  <c r="R297" i="2"/>
  <c r="H27" i="1"/>
  <c r="N299" i="2"/>
  <c r="O299" i="2"/>
  <c r="P299" i="2"/>
  <c r="Q299" i="2"/>
  <c r="R299" i="2"/>
  <c r="H83" i="1"/>
  <c r="N302" i="2"/>
  <c r="O302" i="2"/>
  <c r="P302" i="2"/>
  <c r="Q302" i="2"/>
  <c r="R302" i="2"/>
  <c r="H73" i="1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H70" i="1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Q332" i="2"/>
  <c r="G13" i="1"/>
  <c r="M332" i="2"/>
  <c r="R332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Q341" i="2"/>
  <c r="M341" i="2"/>
  <c r="R341" i="2"/>
  <c r="Q342" i="2"/>
  <c r="M342" i="2"/>
  <c r="R342" i="2"/>
  <c r="Q343" i="2"/>
  <c r="G77" i="1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Q362" i="2"/>
  <c r="M362" i="2"/>
  <c r="R362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Q371" i="2"/>
  <c r="M371" i="2"/>
  <c r="R371" i="2"/>
  <c r="Q372" i="2"/>
  <c r="M372" i="2"/>
  <c r="R372" i="2"/>
  <c r="Q375" i="2"/>
  <c r="M375" i="2"/>
  <c r="R375" i="2"/>
  <c r="Q377" i="2"/>
  <c r="G67" i="1"/>
  <c r="M377" i="2"/>
  <c r="R377" i="2"/>
  <c r="N378" i="2"/>
  <c r="M378" i="2"/>
  <c r="O378" i="2"/>
  <c r="P378" i="2"/>
  <c r="Q378" i="2"/>
  <c r="R378" i="2"/>
  <c r="Q381" i="2"/>
  <c r="M381" i="2"/>
  <c r="R381" i="2"/>
  <c r="Q382" i="2"/>
  <c r="G78" i="1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Q406" i="2"/>
  <c r="M406" i="2"/>
  <c r="R406" i="2"/>
  <c r="Q407" i="2"/>
  <c r="M407" i="2"/>
  <c r="R407" i="2"/>
  <c r="Q408" i="2"/>
  <c r="G66" i="1"/>
  <c r="M408" i="2"/>
  <c r="R408" i="2"/>
  <c r="Q411" i="2"/>
  <c r="M411" i="2"/>
  <c r="R411" i="2"/>
  <c r="I87" i="1"/>
  <c r="C53" i="3"/>
  <c r="S152" i="2"/>
  <c r="S204" i="2"/>
  <c r="S270" i="2"/>
  <c r="S340" i="2"/>
  <c r="S19" i="2"/>
  <c r="H9" i="1"/>
  <c r="N20" i="2"/>
  <c r="S20" i="2"/>
  <c r="H15" i="1"/>
  <c r="N21" i="2"/>
  <c r="S21" i="2"/>
  <c r="H43" i="1"/>
  <c r="N22" i="2"/>
  <c r="S22" i="2"/>
  <c r="S23" i="2"/>
  <c r="H34" i="1"/>
  <c r="H32" i="1"/>
  <c r="H72" i="1"/>
  <c r="S29" i="2"/>
  <c r="H37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H8" i="1"/>
  <c r="N86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79" i="1"/>
  <c r="N117" i="2"/>
  <c r="S117" i="2"/>
  <c r="S122" i="2"/>
  <c r="S123" i="2"/>
  <c r="S131" i="2"/>
  <c r="S134" i="2"/>
  <c r="S135" i="2"/>
  <c r="S146" i="2"/>
  <c r="N147" i="2"/>
  <c r="S147" i="2"/>
  <c r="N151" i="2"/>
  <c r="S151" i="2"/>
  <c r="H33" i="1"/>
  <c r="N153" i="2"/>
  <c r="S153" i="2"/>
  <c r="H35" i="1"/>
  <c r="N154" i="2"/>
  <c r="S154" i="2"/>
  <c r="N155" i="2"/>
  <c r="S155" i="2"/>
  <c r="S158" i="2"/>
  <c r="S171" i="2"/>
  <c r="S172" i="2"/>
  <c r="S175" i="2"/>
  <c r="S176" i="2"/>
  <c r="S177" i="2"/>
  <c r="S178" i="2"/>
  <c r="H12" i="1"/>
  <c r="N179" i="2"/>
  <c r="S179" i="2"/>
  <c r="S183" i="2"/>
  <c r="N185" i="2"/>
  <c r="S185" i="2"/>
  <c r="H76" i="1"/>
  <c r="N186" i="2"/>
  <c r="S186" i="2"/>
  <c r="N189" i="2"/>
  <c r="S189" i="2"/>
  <c r="H80" i="1"/>
  <c r="N191" i="2"/>
  <c r="S191" i="2"/>
  <c r="S196" i="2"/>
  <c r="S207" i="2"/>
  <c r="S208" i="2"/>
  <c r="H82" i="1"/>
  <c r="N216" i="2"/>
  <c r="S216" i="2"/>
  <c r="S217" i="2"/>
  <c r="S218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H10" i="1"/>
  <c r="N265" i="2"/>
  <c r="S265" i="2"/>
  <c r="H16" i="1"/>
  <c r="N266" i="2"/>
  <c r="S266" i="2"/>
  <c r="S275" i="2"/>
  <c r="S281" i="2"/>
  <c r="S293" i="2"/>
  <c r="S294" i="2"/>
  <c r="N297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3" i="1"/>
  <c r="N332" i="2"/>
  <c r="S332" i="2"/>
  <c r="S333" i="2"/>
  <c r="S334" i="2"/>
  <c r="S335" i="2"/>
  <c r="S336" i="2"/>
  <c r="S337" i="2"/>
  <c r="S341" i="2"/>
  <c r="S342" i="2"/>
  <c r="H77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H67" i="1"/>
  <c r="N377" i="2"/>
  <c r="S377" i="2"/>
  <c r="S378" i="2"/>
  <c r="N381" i="2"/>
  <c r="S381" i="2"/>
  <c r="H78" i="1"/>
  <c r="N382" i="2"/>
  <c r="S382" i="2"/>
  <c r="S395" i="2"/>
  <c r="S398" i="2"/>
  <c r="N399" i="2"/>
  <c r="S399" i="2"/>
  <c r="S400" i="2"/>
  <c r="S401" i="2"/>
  <c r="S402" i="2"/>
  <c r="S406" i="2"/>
  <c r="N407" i="2"/>
  <c r="S407" i="2"/>
  <c r="H66" i="1"/>
  <c r="N408" i="2"/>
  <c r="S408" i="2"/>
  <c r="N411" i="2"/>
  <c r="S411" i="2"/>
  <c r="J87" i="1"/>
  <c r="D53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18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2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7" i="2"/>
  <c r="T408" i="2"/>
  <c r="T411" i="2"/>
  <c r="K87" i="1"/>
  <c r="E53" i="3"/>
  <c r="L87" i="1"/>
  <c r="F53" i="3"/>
  <c r="H53" i="3"/>
  <c r="I86" i="1"/>
  <c r="C78" i="3"/>
  <c r="J86" i="1"/>
  <c r="D78" i="3"/>
  <c r="K86" i="1"/>
  <c r="E78" i="3"/>
  <c r="L86" i="1"/>
  <c r="F78" i="3"/>
  <c r="H78" i="3"/>
  <c r="I84" i="1"/>
  <c r="I85" i="1"/>
  <c r="C3" i="3"/>
  <c r="J84" i="1"/>
  <c r="J85" i="1"/>
  <c r="D3" i="3"/>
  <c r="K84" i="1"/>
  <c r="K85" i="1"/>
  <c r="E3" i="3"/>
  <c r="L84" i="1"/>
  <c r="L85" i="1"/>
  <c r="F3" i="3"/>
  <c r="H3" i="3"/>
  <c r="I83" i="1"/>
  <c r="C51" i="3"/>
  <c r="J83" i="1"/>
  <c r="D51" i="3"/>
  <c r="K83" i="1"/>
  <c r="E51" i="3"/>
  <c r="L83" i="1"/>
  <c r="F51" i="3"/>
  <c r="H51" i="3"/>
  <c r="I82" i="1"/>
  <c r="C50" i="3"/>
  <c r="J82" i="1"/>
  <c r="D50" i="3"/>
  <c r="K82" i="1"/>
  <c r="E50" i="3"/>
  <c r="L82" i="1"/>
  <c r="F50" i="3"/>
  <c r="H50" i="3"/>
  <c r="I81" i="1"/>
  <c r="C49" i="3"/>
  <c r="J81" i="1"/>
  <c r="D49" i="3"/>
  <c r="K81" i="1"/>
  <c r="E49" i="3"/>
  <c r="L81" i="1"/>
  <c r="F49" i="3"/>
  <c r="H49" i="3"/>
  <c r="I80" i="1"/>
  <c r="C48" i="3"/>
  <c r="J80" i="1"/>
  <c r="D48" i="3"/>
  <c r="K80" i="1"/>
  <c r="E48" i="3"/>
  <c r="L80" i="1"/>
  <c r="F48" i="3"/>
  <c r="H48" i="3"/>
  <c r="I79" i="1"/>
  <c r="C47" i="3"/>
  <c r="J79" i="1"/>
  <c r="D47" i="3"/>
  <c r="K79" i="1"/>
  <c r="E47" i="3"/>
  <c r="L79" i="1"/>
  <c r="F47" i="3"/>
  <c r="H47" i="3"/>
  <c r="I78" i="1"/>
  <c r="C46" i="3"/>
  <c r="J78" i="1"/>
  <c r="D46" i="3"/>
  <c r="K78" i="1"/>
  <c r="E46" i="3"/>
  <c r="L78" i="1"/>
  <c r="F46" i="3"/>
  <c r="H46" i="3"/>
  <c r="I77" i="1"/>
  <c r="C45" i="3"/>
  <c r="J77" i="1"/>
  <c r="D45" i="3"/>
  <c r="K77" i="1"/>
  <c r="E45" i="3"/>
  <c r="L77" i="1"/>
  <c r="F45" i="3"/>
  <c r="H45" i="3"/>
  <c r="I76" i="1"/>
  <c r="C44" i="3"/>
  <c r="J76" i="1"/>
  <c r="D44" i="3"/>
  <c r="K76" i="1"/>
  <c r="E44" i="3"/>
  <c r="L76" i="1"/>
  <c r="F44" i="3"/>
  <c r="H44" i="3"/>
  <c r="I75" i="1"/>
  <c r="C43" i="3"/>
  <c r="J75" i="1"/>
  <c r="D43" i="3"/>
  <c r="K75" i="1"/>
  <c r="E43" i="3"/>
  <c r="L75" i="1"/>
  <c r="F43" i="3"/>
  <c r="H43" i="3"/>
  <c r="I74" i="1"/>
  <c r="C42" i="3"/>
  <c r="J74" i="1"/>
  <c r="D42" i="3"/>
  <c r="K74" i="1"/>
  <c r="E42" i="3"/>
  <c r="L74" i="1"/>
  <c r="F42" i="3"/>
  <c r="H42" i="3"/>
  <c r="I73" i="1"/>
  <c r="C41" i="3"/>
  <c r="J73" i="1"/>
  <c r="D41" i="3"/>
  <c r="K73" i="1"/>
  <c r="E41" i="3"/>
  <c r="L73" i="1"/>
  <c r="F41" i="3"/>
  <c r="H41" i="3"/>
  <c r="I72" i="1"/>
  <c r="C40" i="3"/>
  <c r="J72" i="1"/>
  <c r="D40" i="3"/>
  <c r="K72" i="1"/>
  <c r="E40" i="3"/>
  <c r="L72" i="1"/>
  <c r="F40" i="3"/>
  <c r="H40" i="3"/>
  <c r="I71" i="1"/>
  <c r="C77" i="3"/>
  <c r="J71" i="1"/>
  <c r="D77" i="3"/>
  <c r="K71" i="1"/>
  <c r="E77" i="3"/>
  <c r="L71" i="1"/>
  <c r="F77" i="3"/>
  <c r="H77" i="3"/>
  <c r="I70" i="1"/>
  <c r="C39" i="3"/>
  <c r="J70" i="1"/>
  <c r="D39" i="3"/>
  <c r="K70" i="1"/>
  <c r="E39" i="3"/>
  <c r="L70" i="1"/>
  <c r="F39" i="3"/>
  <c r="H39" i="3"/>
  <c r="I69" i="1"/>
  <c r="C38" i="3"/>
  <c r="J69" i="1"/>
  <c r="D38" i="3"/>
  <c r="K69" i="1"/>
  <c r="E38" i="3"/>
  <c r="L69" i="1"/>
  <c r="F38" i="3"/>
  <c r="H38" i="3"/>
  <c r="I66" i="1"/>
  <c r="I67" i="1"/>
  <c r="I68" i="1"/>
  <c r="C76" i="3"/>
  <c r="J66" i="1"/>
  <c r="J67" i="1"/>
  <c r="J68" i="1"/>
  <c r="D76" i="3"/>
  <c r="K66" i="1"/>
  <c r="K67" i="1"/>
  <c r="K68" i="1"/>
  <c r="E76" i="3"/>
  <c r="L66" i="1"/>
  <c r="L67" i="1"/>
  <c r="L68" i="1"/>
  <c r="F76" i="3"/>
  <c r="H76" i="3"/>
  <c r="I65" i="1"/>
  <c r="C37" i="3"/>
  <c r="J65" i="1"/>
  <c r="D37" i="3"/>
  <c r="K65" i="1"/>
  <c r="E37" i="3"/>
  <c r="L65" i="1"/>
  <c r="F37" i="3"/>
  <c r="H37" i="3"/>
  <c r="I64" i="1"/>
  <c r="C36" i="3"/>
  <c r="J64" i="1"/>
  <c r="D36" i="3"/>
  <c r="K64" i="1"/>
  <c r="E36" i="3"/>
  <c r="L64" i="1"/>
  <c r="F36" i="3"/>
  <c r="H36" i="3"/>
  <c r="I63" i="1"/>
  <c r="C75" i="3"/>
  <c r="J63" i="1"/>
  <c r="D75" i="3"/>
  <c r="K63" i="1"/>
  <c r="E75" i="3"/>
  <c r="L63" i="1"/>
  <c r="F75" i="3"/>
  <c r="H75" i="3"/>
  <c r="I62" i="1"/>
  <c r="C74" i="3"/>
  <c r="J62" i="1"/>
  <c r="D74" i="3"/>
  <c r="K62" i="1"/>
  <c r="E74" i="3"/>
  <c r="L62" i="1"/>
  <c r="F74" i="3"/>
  <c r="H74" i="3"/>
  <c r="I60" i="1"/>
  <c r="C35" i="3"/>
  <c r="J60" i="1"/>
  <c r="D35" i="3"/>
  <c r="K60" i="1"/>
  <c r="E35" i="3"/>
  <c r="L60" i="1"/>
  <c r="F35" i="3"/>
  <c r="H35" i="3"/>
  <c r="I59" i="1"/>
  <c r="C34" i="3"/>
  <c r="J59" i="1"/>
  <c r="D34" i="3"/>
  <c r="K59" i="1"/>
  <c r="E34" i="3"/>
  <c r="L59" i="1"/>
  <c r="F34" i="3"/>
  <c r="H34" i="3"/>
  <c r="I58" i="1"/>
  <c r="C24" i="3"/>
  <c r="J58" i="1"/>
  <c r="D24" i="3"/>
  <c r="K58" i="1"/>
  <c r="E24" i="3"/>
  <c r="L58" i="1"/>
  <c r="F24" i="3"/>
  <c r="H24" i="3"/>
  <c r="I56" i="1"/>
  <c r="C71" i="3"/>
  <c r="J56" i="1"/>
  <c r="D71" i="3"/>
  <c r="K56" i="1"/>
  <c r="E71" i="3"/>
  <c r="L56" i="1"/>
  <c r="F71" i="3"/>
  <c r="H71" i="3"/>
  <c r="I55" i="1"/>
  <c r="C33" i="3"/>
  <c r="J55" i="1"/>
  <c r="D33" i="3"/>
  <c r="K55" i="1"/>
  <c r="E33" i="3"/>
  <c r="L55" i="1"/>
  <c r="F33" i="3"/>
  <c r="H33" i="3"/>
  <c r="I54" i="1"/>
  <c r="C32" i="3"/>
  <c r="J54" i="1"/>
  <c r="D32" i="3"/>
  <c r="K54" i="1"/>
  <c r="E32" i="3"/>
  <c r="L54" i="1"/>
  <c r="F32" i="3"/>
  <c r="H32" i="3"/>
  <c r="I53" i="1"/>
  <c r="C52" i="3"/>
  <c r="J53" i="1"/>
  <c r="D52" i="3"/>
  <c r="K53" i="1"/>
  <c r="E52" i="3"/>
  <c r="L53" i="1"/>
  <c r="F52" i="3"/>
  <c r="H52" i="3"/>
  <c r="I52" i="1"/>
  <c r="C31" i="3"/>
  <c r="J52" i="1"/>
  <c r="D31" i="3"/>
  <c r="K52" i="1"/>
  <c r="E31" i="3"/>
  <c r="L52" i="1"/>
  <c r="F31" i="3"/>
  <c r="H31" i="3"/>
  <c r="I51" i="1"/>
  <c r="C70" i="3"/>
  <c r="J51" i="1"/>
  <c r="D70" i="3"/>
  <c r="K51" i="1"/>
  <c r="E70" i="3"/>
  <c r="L51" i="1"/>
  <c r="F70" i="3"/>
  <c r="H70" i="3"/>
  <c r="I50" i="1"/>
  <c r="C69" i="3"/>
  <c r="J50" i="1"/>
  <c r="D69" i="3"/>
  <c r="K50" i="1"/>
  <c r="E69" i="3"/>
  <c r="L50" i="1"/>
  <c r="F69" i="3"/>
  <c r="H69" i="3"/>
  <c r="I48" i="1"/>
  <c r="C68" i="3"/>
  <c r="J48" i="1"/>
  <c r="D68" i="3"/>
  <c r="K48" i="1"/>
  <c r="E68" i="3"/>
  <c r="L48" i="1"/>
  <c r="F68" i="3"/>
  <c r="H68" i="3"/>
  <c r="I47" i="1"/>
  <c r="C23" i="3"/>
  <c r="J47" i="1"/>
  <c r="D23" i="3"/>
  <c r="K47" i="1"/>
  <c r="E23" i="3"/>
  <c r="L47" i="1"/>
  <c r="F23" i="3"/>
  <c r="H23" i="3"/>
  <c r="I46" i="1"/>
  <c r="C22" i="3"/>
  <c r="J46" i="1"/>
  <c r="D22" i="3"/>
  <c r="K46" i="1"/>
  <c r="E22" i="3"/>
  <c r="L46" i="1"/>
  <c r="F22" i="3"/>
  <c r="H22" i="3"/>
  <c r="I45" i="1"/>
  <c r="C21" i="3"/>
  <c r="J45" i="1"/>
  <c r="D21" i="3"/>
  <c r="K45" i="1"/>
  <c r="E21" i="3"/>
  <c r="L45" i="1"/>
  <c r="F21" i="3"/>
  <c r="H21" i="3"/>
  <c r="I44" i="1"/>
  <c r="C30" i="3"/>
  <c r="J44" i="1"/>
  <c r="D30" i="3"/>
  <c r="K44" i="1"/>
  <c r="E30" i="3"/>
  <c r="L44" i="1"/>
  <c r="F30" i="3"/>
  <c r="H30" i="3"/>
  <c r="I42" i="1"/>
  <c r="I43" i="1"/>
  <c r="C67" i="3"/>
  <c r="J42" i="1"/>
  <c r="J43" i="1"/>
  <c r="D67" i="3"/>
  <c r="K42" i="1"/>
  <c r="K43" i="1"/>
  <c r="E67" i="3"/>
  <c r="L42" i="1"/>
  <c r="L43" i="1"/>
  <c r="F67" i="3"/>
  <c r="H67" i="3"/>
  <c r="I41" i="1"/>
  <c r="C66" i="3"/>
  <c r="J41" i="1"/>
  <c r="D66" i="3"/>
  <c r="K41" i="1"/>
  <c r="E66" i="3"/>
  <c r="L41" i="1"/>
  <c r="F66" i="3"/>
  <c r="H66" i="3"/>
  <c r="I39" i="1"/>
  <c r="C29" i="3"/>
  <c r="J39" i="1"/>
  <c r="D29" i="3"/>
  <c r="K39" i="1"/>
  <c r="E29" i="3"/>
  <c r="L39" i="1"/>
  <c r="F29" i="3"/>
  <c r="H29" i="3"/>
  <c r="I38" i="1"/>
  <c r="C64" i="3"/>
  <c r="J38" i="1"/>
  <c r="D64" i="3"/>
  <c r="K38" i="1"/>
  <c r="E64" i="3"/>
  <c r="L38" i="1"/>
  <c r="F64" i="3"/>
  <c r="H64" i="3"/>
  <c r="I37" i="1"/>
  <c r="C63" i="3"/>
  <c r="J37" i="1"/>
  <c r="D63" i="3"/>
  <c r="K37" i="1"/>
  <c r="E63" i="3"/>
  <c r="L37" i="1"/>
  <c r="F63" i="3"/>
  <c r="H63" i="3"/>
  <c r="I36" i="1"/>
  <c r="C20" i="3"/>
  <c r="J36" i="1"/>
  <c r="D20" i="3"/>
  <c r="K36" i="1"/>
  <c r="E20" i="3"/>
  <c r="L36" i="1"/>
  <c r="F20" i="3"/>
  <c r="H20" i="3"/>
  <c r="I35" i="1"/>
  <c r="C7" i="3"/>
  <c r="J35" i="1"/>
  <c r="D7" i="3"/>
  <c r="K35" i="1"/>
  <c r="E7" i="3"/>
  <c r="L35" i="1"/>
  <c r="F7" i="3"/>
  <c r="H7" i="3"/>
  <c r="I34" i="1"/>
  <c r="C2" i="3"/>
  <c r="J34" i="1"/>
  <c r="D2" i="3"/>
  <c r="K34" i="1"/>
  <c r="E2" i="3"/>
  <c r="L34" i="1"/>
  <c r="F2" i="3"/>
  <c r="H2" i="3"/>
  <c r="I33" i="1"/>
  <c r="C6" i="3"/>
  <c r="J33" i="1"/>
  <c r="D6" i="3"/>
  <c r="K33" i="1"/>
  <c r="E6" i="3"/>
  <c r="L33" i="1"/>
  <c r="F6" i="3"/>
  <c r="H6" i="3"/>
  <c r="I32" i="1"/>
  <c r="C5" i="3"/>
  <c r="J32" i="1"/>
  <c r="D5" i="3"/>
  <c r="K32" i="1"/>
  <c r="E5" i="3"/>
  <c r="L32" i="1"/>
  <c r="F5" i="3"/>
  <c r="H5" i="3"/>
  <c r="I30" i="1"/>
  <c r="I31" i="1"/>
  <c r="C62" i="3"/>
  <c r="J30" i="1"/>
  <c r="J31" i="1"/>
  <c r="D62" i="3"/>
  <c r="K30" i="1"/>
  <c r="K31" i="1"/>
  <c r="E62" i="3"/>
  <c r="L30" i="1"/>
  <c r="L31" i="1"/>
  <c r="F62" i="3"/>
  <c r="H62" i="3"/>
  <c r="I29" i="1"/>
  <c r="C61" i="3"/>
  <c r="J29" i="1"/>
  <c r="D61" i="3"/>
  <c r="K29" i="1"/>
  <c r="E61" i="3"/>
  <c r="L29" i="1"/>
  <c r="F61" i="3"/>
  <c r="H61" i="3"/>
  <c r="I28" i="1"/>
  <c r="C19" i="3"/>
  <c r="J28" i="1"/>
  <c r="D19" i="3"/>
  <c r="K28" i="1"/>
  <c r="E19" i="3"/>
  <c r="L28" i="1"/>
  <c r="F19" i="3"/>
  <c r="H19" i="3"/>
  <c r="I27" i="1"/>
  <c r="C18" i="3"/>
  <c r="J27" i="1"/>
  <c r="D18" i="3"/>
  <c r="K27" i="1"/>
  <c r="E18" i="3"/>
  <c r="L27" i="1"/>
  <c r="F18" i="3"/>
  <c r="H18" i="3"/>
  <c r="I26" i="1"/>
  <c r="C17" i="3"/>
  <c r="J26" i="1"/>
  <c r="D17" i="3"/>
  <c r="K26" i="1"/>
  <c r="E17" i="3"/>
  <c r="L26" i="1"/>
  <c r="F17" i="3"/>
  <c r="H17" i="3"/>
  <c r="I25" i="1"/>
  <c r="C16" i="3"/>
  <c r="J25" i="1"/>
  <c r="D16" i="3"/>
  <c r="K25" i="1"/>
  <c r="E16" i="3"/>
  <c r="L25" i="1"/>
  <c r="F16" i="3"/>
  <c r="H16" i="3"/>
  <c r="I24" i="1"/>
  <c r="C15" i="3"/>
  <c r="J24" i="1"/>
  <c r="D15" i="3"/>
  <c r="K24" i="1"/>
  <c r="E15" i="3"/>
  <c r="L24" i="1"/>
  <c r="F15" i="3"/>
  <c r="H15" i="3"/>
  <c r="I23" i="1"/>
  <c r="C14" i="3"/>
  <c r="J23" i="1"/>
  <c r="D14" i="3"/>
  <c r="K23" i="1"/>
  <c r="E14" i="3"/>
  <c r="L23" i="1"/>
  <c r="F14" i="3"/>
  <c r="H14" i="3"/>
  <c r="I22" i="1"/>
  <c r="C28" i="3"/>
  <c r="J22" i="1"/>
  <c r="D28" i="3"/>
  <c r="K22" i="1"/>
  <c r="E28" i="3"/>
  <c r="L22" i="1"/>
  <c r="F28" i="3"/>
  <c r="H28" i="3"/>
  <c r="I21" i="1"/>
  <c r="C13" i="3"/>
  <c r="J21" i="1"/>
  <c r="D13" i="3"/>
  <c r="K21" i="1"/>
  <c r="E13" i="3"/>
  <c r="L21" i="1"/>
  <c r="F13" i="3"/>
  <c r="H13" i="3"/>
  <c r="I20" i="1"/>
  <c r="C12" i="3"/>
  <c r="J20" i="1"/>
  <c r="D12" i="3"/>
  <c r="K20" i="1"/>
  <c r="E12" i="3"/>
  <c r="L20" i="1"/>
  <c r="F12" i="3"/>
  <c r="H12" i="3"/>
  <c r="I19" i="1"/>
  <c r="C60" i="3"/>
  <c r="J19" i="1"/>
  <c r="D60" i="3"/>
  <c r="K19" i="1"/>
  <c r="E60" i="3"/>
  <c r="L19" i="1"/>
  <c r="F60" i="3"/>
  <c r="H60" i="3"/>
  <c r="I18" i="1"/>
  <c r="C11" i="3"/>
  <c r="J18" i="1"/>
  <c r="D11" i="3"/>
  <c r="K18" i="1"/>
  <c r="E11" i="3"/>
  <c r="L18" i="1"/>
  <c r="F11" i="3"/>
  <c r="H11" i="3"/>
  <c r="I17" i="1"/>
  <c r="C27" i="3"/>
  <c r="J17" i="1"/>
  <c r="D27" i="3"/>
  <c r="K17" i="1"/>
  <c r="E27" i="3"/>
  <c r="L17" i="1"/>
  <c r="F27" i="3"/>
  <c r="H27" i="3"/>
  <c r="I13" i="1"/>
  <c r="I14" i="1"/>
  <c r="I15" i="1"/>
  <c r="I16" i="1"/>
  <c r="C59" i="3"/>
  <c r="J13" i="1"/>
  <c r="J14" i="1"/>
  <c r="J15" i="1"/>
  <c r="J16" i="1"/>
  <c r="D59" i="3"/>
  <c r="K13" i="1"/>
  <c r="K14" i="1"/>
  <c r="K15" i="1"/>
  <c r="K16" i="1"/>
  <c r="E59" i="3"/>
  <c r="L13" i="1"/>
  <c r="L14" i="1"/>
  <c r="L15" i="1"/>
  <c r="L16" i="1"/>
  <c r="F59" i="3"/>
  <c r="H59" i="3"/>
  <c r="I12" i="1"/>
  <c r="C58" i="3"/>
  <c r="J12" i="1"/>
  <c r="D58" i="3"/>
  <c r="K12" i="1"/>
  <c r="E58" i="3"/>
  <c r="L12" i="1"/>
  <c r="F58" i="3"/>
  <c r="H58" i="3"/>
  <c r="I11" i="1"/>
  <c r="C26" i="3"/>
  <c r="J11" i="1"/>
  <c r="D26" i="3"/>
  <c r="K11" i="1"/>
  <c r="E26" i="3"/>
  <c r="L11" i="1"/>
  <c r="F26" i="3"/>
  <c r="H26" i="3"/>
  <c r="I7" i="1"/>
  <c r="I8" i="1"/>
  <c r="I9" i="1"/>
  <c r="I4" i="1"/>
  <c r="I5" i="1"/>
  <c r="I6" i="1"/>
  <c r="I10" i="1"/>
  <c r="C57" i="3"/>
  <c r="J7" i="1"/>
  <c r="J8" i="1"/>
  <c r="J9" i="1"/>
  <c r="J4" i="1"/>
  <c r="J5" i="1"/>
  <c r="J6" i="1"/>
  <c r="J10" i="1"/>
  <c r="D57" i="3"/>
  <c r="K7" i="1"/>
  <c r="K8" i="1"/>
  <c r="K9" i="1"/>
  <c r="K4" i="1"/>
  <c r="K5" i="1"/>
  <c r="K6" i="1"/>
  <c r="K10" i="1"/>
  <c r="E57" i="3"/>
  <c r="L7" i="1"/>
  <c r="L8" i="1"/>
  <c r="L9" i="1"/>
  <c r="L4" i="1"/>
  <c r="L5" i="1"/>
  <c r="L6" i="1"/>
  <c r="L10" i="1"/>
  <c r="F57" i="3"/>
  <c r="H57" i="3"/>
  <c r="C56" i="3"/>
  <c r="D56" i="3"/>
  <c r="E56" i="3"/>
  <c r="F56" i="3"/>
  <c r="H56" i="3"/>
  <c r="C10" i="3"/>
  <c r="D10" i="3"/>
  <c r="E10" i="3"/>
  <c r="F10" i="3"/>
  <c r="H10" i="3"/>
  <c r="C9" i="3"/>
  <c r="D9" i="3"/>
  <c r="E9" i="3"/>
  <c r="F9" i="3"/>
  <c r="H9" i="3"/>
  <c r="G71" i="1"/>
  <c r="M52" i="2"/>
  <c r="AA51" i="2"/>
  <c r="AD51" i="2"/>
  <c r="AC51" i="2"/>
  <c r="AB51" i="2"/>
  <c r="V51" i="2"/>
  <c r="Y51" i="2"/>
  <c r="X51" i="2"/>
  <c r="W51" i="2"/>
  <c r="G39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0" i="1"/>
  <c r="V147" i="2"/>
  <c r="W147" i="2"/>
  <c r="G45" i="1"/>
  <c r="M53" i="2"/>
  <c r="K8" i="5"/>
  <c r="K7" i="5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1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H19" i="1"/>
  <c r="N19" i="2"/>
  <c r="P19" i="2"/>
  <c r="O19" i="2"/>
  <c r="C19" i="2"/>
  <c r="B19" i="2"/>
  <c r="O29" i="2"/>
  <c r="H86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G70" i="1"/>
  <c r="M315" i="2"/>
  <c r="G22" i="1"/>
  <c r="M312" i="2"/>
  <c r="G73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83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G27" i="1"/>
  <c r="M299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O297" i="2"/>
  <c r="P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2" i="1"/>
  <c r="N294" i="2"/>
  <c r="O294" i="2"/>
  <c r="P294" i="2"/>
  <c r="D294" i="2"/>
  <c r="C294" i="2"/>
  <c r="B294" i="2"/>
  <c r="G24" i="1"/>
  <c r="AA293" i="2"/>
  <c r="AD293" i="2"/>
  <c r="AC293" i="2"/>
  <c r="AB293" i="2"/>
  <c r="V293" i="2"/>
  <c r="Y293" i="2"/>
  <c r="X293" i="2"/>
  <c r="W293" i="2"/>
  <c r="M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56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41" i="1"/>
  <c r="M190" i="2"/>
  <c r="H41" i="1"/>
  <c r="N190" i="2"/>
  <c r="P411" i="2"/>
  <c r="O411" i="2"/>
  <c r="P408" i="2"/>
  <c r="O408" i="2"/>
  <c r="P407" i="2"/>
  <c r="O407" i="2"/>
  <c r="N406" i="2"/>
  <c r="P406" i="2"/>
  <c r="O406" i="2"/>
  <c r="G38" i="1"/>
  <c r="M402" i="2"/>
  <c r="P399" i="2"/>
  <c r="O399" i="2"/>
  <c r="G54" i="1"/>
  <c r="M398" i="2"/>
  <c r="G11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75" i="1"/>
  <c r="M176" i="2"/>
  <c r="G65" i="1"/>
  <c r="M175" i="2"/>
  <c r="G74" i="1"/>
  <c r="M172" i="2"/>
  <c r="M171" i="2"/>
  <c r="P171" i="2"/>
  <c r="N171" i="2"/>
  <c r="P349" i="2"/>
  <c r="O349" i="2"/>
  <c r="P348" i="2"/>
  <c r="O348" i="2"/>
  <c r="P343" i="2"/>
  <c r="O343" i="2"/>
  <c r="N342" i="2"/>
  <c r="P342" i="2"/>
  <c r="O342" i="2"/>
  <c r="N341" i="2"/>
  <c r="P341" i="2"/>
  <c r="O341" i="2"/>
  <c r="G87" i="1"/>
  <c r="M340" i="2"/>
  <c r="M335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2" i="1"/>
  <c r="M281" i="2"/>
  <c r="G88" i="1"/>
  <c r="M278" i="2"/>
  <c r="P278" i="2"/>
  <c r="H88" i="1"/>
  <c r="N278" i="2"/>
  <c r="G85" i="1"/>
  <c r="M275" i="2"/>
  <c r="P275" i="2"/>
  <c r="H85" i="1"/>
  <c r="N275" i="2"/>
  <c r="M270" i="2"/>
  <c r="P267" i="2"/>
  <c r="O267" i="2"/>
  <c r="P266" i="2"/>
  <c r="O266" i="2"/>
  <c r="P265" i="2"/>
  <c r="O265" i="2"/>
  <c r="M264" i="2"/>
  <c r="G81" i="1"/>
  <c r="M256" i="2"/>
  <c r="G60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69" i="1"/>
  <c r="M242" i="2"/>
  <c r="G17" i="1"/>
  <c r="M241" i="2"/>
  <c r="G59" i="1"/>
  <c r="M237" i="2"/>
  <c r="G55" i="1"/>
  <c r="M218" i="2"/>
  <c r="G53" i="1"/>
  <c r="M222" i="2"/>
  <c r="M217" i="2"/>
  <c r="P216" i="2"/>
  <c r="O216" i="2"/>
  <c r="M204" i="2"/>
  <c r="N208" i="2"/>
  <c r="P208" i="2"/>
  <c r="O208" i="2"/>
  <c r="N207" i="2"/>
  <c r="P207" i="2"/>
  <c r="O207" i="2"/>
  <c r="P381" i="2"/>
  <c r="O381" i="2"/>
  <c r="P377" i="2"/>
  <c r="O377" i="2"/>
  <c r="P376" i="2"/>
  <c r="O376" i="2"/>
  <c r="P375" i="2"/>
  <c r="O375" i="2"/>
  <c r="N372" i="2"/>
  <c r="P372" i="2"/>
  <c r="O372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P147" i="2"/>
  <c r="O147" i="2"/>
  <c r="M146" i="2"/>
  <c r="P94" i="2"/>
  <c r="O94" i="2"/>
  <c r="P86" i="2"/>
  <c r="O86" i="2"/>
  <c r="P85" i="2"/>
  <c r="O85" i="2"/>
  <c r="P63" i="2"/>
  <c r="O63" i="2"/>
  <c r="N64" i="2"/>
  <c r="P64" i="2"/>
  <c r="O64" i="2"/>
  <c r="M59" i="2"/>
  <c r="N59" i="2"/>
  <c r="P59" i="2"/>
  <c r="M43" i="2"/>
  <c r="M44" i="2"/>
  <c r="M48" i="2"/>
  <c r="M39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4" i="1"/>
  <c r="G44" i="1"/>
  <c r="H31" i="1"/>
  <c r="G31" i="1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</author>
  </authors>
  <commentList>
    <comment ref="B29" authorId="0" shapeId="0" xr:uid="{F1485E56-271E-43C4-A8C6-E342E7A77D5C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4 but I think that's because it's not scaled properly</t>
        </r>
      </text>
    </comment>
    <comment ref="B100" authorId="0" shapeId="0" xr:uid="{E721FE31-B006-4869-8B26-CFCBCFA9DBE6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1 cup but that's because he's trying to fix the 0 the wrong way</t>
        </r>
      </text>
    </comment>
    <comment ref="B158" authorId="0" shapeId="0" xr:uid="{10757BA0-4898-4CB9-B1EB-ACF882F0160F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Damin suggested 3 because he doesn't understand the 0</t>
        </r>
      </text>
    </comment>
  </commentList>
</comments>
</file>

<file path=xl/sharedStrings.xml><?xml version="1.0" encoding="utf-8"?>
<sst xmlns="http://schemas.openxmlformats.org/spreadsheetml/2006/main" count="1692" uniqueCount="463">
  <si>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</si>
  <si>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</si>
  <si>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</si>
  <si>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</si>
  <si>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</si>
  <si>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</si>
  <si>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</si>
  <si>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</si>
  <si>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</si>
  <si>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</si>
  <si>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</si>
  <si>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</si>
  <si>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</si>
  <si>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</si>
  <si>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</si>
  <si>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</si>
  <si>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</si>
  <si>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</si>
  <si>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</si>
  <si>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</si>
  <si>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</si>
  <si>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</si>
  <si>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</si>
  <si>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</si>
  <si>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</si>
  <si>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</si>
  <si>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</si>
  <si>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</si>
  <si>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</si>
  <si>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</si>
  <si>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</si>
  <si>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</si>
  <si>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</si>
  <si>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</si>
  <si>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</si>
  <si>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</si>
  <si>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</si>
  <si>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</si>
  <si>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</si>
  <si>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</si>
  <si>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</si>
  <si>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</si>
  <si>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</si>
  <si>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</si>
  <si>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</si>
  <si>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</si>
  <si>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</si>
  <si>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</si>
  <si>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</si>
  <si>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</si>
  <si>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</si>
  <si>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</si>
  <si>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</si>
  <si>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</si>
  <si>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</si>
  <si>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</si>
  <si>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</si>
  <si>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</si>
  <si>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</si>
  <si>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</si>
  <si>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</si>
  <si>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</si>
  <si>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</si>
  <si>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</si>
  <si>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</si>
  <si>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</si>
  <si>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</si>
  <si>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</si>
  <si>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</si>
  <si>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</si>
  <si>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</si>
  <si>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</si>
  <si>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</si>
  <si>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</si>
  <si>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</si>
  <si>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</si>
  <si>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</si>
  <si>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</si>
  <si>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</si>
  <si>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</si>
  <si>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</si>
  <si>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</si>
  <si>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</si>
  <si>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</si>
  <si>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</si>
  <si>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</si>
  <si>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</si>
  <si>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</si>
  <si>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</si>
  <si>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</si>
  <si>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</si>
  <si>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</si>
  <si>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</si>
  <si>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</si>
  <si>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</si>
  <si>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</si>
  <si>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</si>
  <si>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</si>
  <si>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</si>
  <si>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</si>
  <si>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</si>
  <si>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</si>
  <si>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</si>
  <si>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</si>
  <si>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</si>
  <si>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</si>
  <si>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</si>
  <si>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</si>
  <si>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</si>
  <si>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</si>
  <si>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</si>
  <si>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</si>
  <si>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</si>
  <si>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</si>
  <si>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</si>
  <si>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</si>
  <si>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</si>
  <si>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</si>
  <si>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</si>
  <si>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</si>
  <si>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</si>
  <si>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</si>
  <si>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</si>
  <si>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</si>
  <si>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</si>
  <si>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</si>
  <si>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</si>
  <si>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</si>
  <si>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</si>
  <si>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</si>
  <si>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</si>
  <si>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</si>
  <si>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</si>
  <si>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</si>
  <si>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</si>
  <si>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</si>
  <si>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</si>
  <si>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</si>
  <si>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</si>
  <si>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</si>
  <si>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</si>
  <si>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</si>
  <si>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</si>
  <si>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</si>
  <si>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</si>
  <si>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</si>
  <si>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</si>
  <si>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</si>
  <si>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</si>
  <si>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</si>
  <si>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</si>
  <si>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</si>
  <si>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</si>
  <si>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</si>
  <si>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</si>
  <si>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</si>
  <si>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</si>
  <si>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</si>
  <si>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</si>
  <si>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</si>
  <si>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</si>
  <si>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</si>
  <si>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</si>
  <si>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</si>
  <si>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</si>
  <si>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</si>
  <si>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</si>
  <si>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</si>
  <si>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</si>
  <si>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</si>
  <si>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</si>
  <si>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</si>
  <si>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</si>
  <si>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</si>
  <si>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</si>
  <si>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</si>
  <si>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</si>
  <si>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</si>
  <si>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</si>
  <si>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</si>
  <si>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</si>
  <si>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</si>
  <si>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</si>
  <si>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</si>
  <si>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</si>
  <si>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</si>
  <si>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</si>
  <si>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</si>
  <si>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</si>
  <si>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</si>
  <si>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</si>
  <si>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</si>
  <si>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</si>
  <si>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</si>
  <si>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</si>
  <si>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</si>
  <si>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</si>
  <si>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</si>
  <si>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</si>
  <si>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</si>
  <si>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</si>
  <si>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</si>
  <si>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</si>
  <si>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</si>
  <si>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</si>
  <si>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</si>
  <si>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</si>
  <si>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</si>
  <si>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</si>
  <si>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</si>
  <si>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</si>
  <si>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</si>
  <si>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</si>
  <si>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</si>
  <si>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</si>
  <si>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</si>
  <si>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</si>
  <si>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</si>
  <si>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</si>
  <si>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</si>
  <si>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</si>
  <si>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</si>
  <si>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</si>
  <si>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</si>
  <si>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</si>
  <si>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</si>
  <si>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</si>
  <si>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</si>
  <si>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</si>
  <si>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</si>
  <si>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</si>
  <si>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</si>
  <si>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</si>
  <si>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</si>
  <si>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</si>
  <si>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</si>
  <si>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</si>
  <si>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</si>
  <si>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</si>
  <si>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</si>
  <si>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</si>
  <si>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</si>
  <si>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</si>
  <si>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</si>
  <si>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</si>
  <si>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</si>
  <si>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</si>
  <si>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</si>
  <si>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</si>
  <si>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</si>
  <si>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</si>
  <si>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</si>
  <si>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</si>
  <si>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</si>
  <si>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</si>
  <si>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</si>
  <si>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</si>
  <si>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</si>
  <si>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</si>
  <si>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</si>
  <si>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</si>
  <si>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</si>
  <si>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</si>
  <si>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</si>
  <si>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</si>
  <si>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</si>
  <si>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</si>
  <si>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</si>
  <si>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</si>
  <si>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</si>
  <si>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</si>
  <si>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</si>
  <si>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</si>
  <si>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</si>
  <si>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</si>
  <si>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</si>
  <si>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</si>
  <si>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</si>
  <si>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</si>
  <si>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</si>
  <si>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</si>
  <si>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</si>
  <si>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</si>
  <si>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</si>
  <si>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</si>
  <si>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</si>
  <si>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</si>
  <si>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</si>
  <si>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</si>
  <si>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</si>
  <si>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</si>
  <si>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</si>
  <si>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</si>
  <si>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</si>
  <si>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</si>
  <si>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</si>
  <si>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</si>
  <si>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</si>
  <si>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</si>
  <si>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</si>
  <si>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</si>
  <si>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</si>
  <si>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</si>
  <si>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</si>
  <si>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</si>
  <si>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</si>
  <si>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</si>
  <si>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</si>
  <si>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</si>
  <si>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</si>
  <si>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</si>
  <si>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</si>
  <si>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</si>
  <si>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</si>
  <si>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</si>
  <si>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</si>
  <si>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</si>
  <si>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</si>
  <si>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</si>
  <si>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</si>
  <si>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</si>
  <si>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</si>
  <si>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</si>
  <si>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</si>
  <si>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</si>
  <si>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</si>
  <si>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</si>
  <si>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</si>
  <si>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</si>
  <si>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</si>
  <si>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</si>
  <si>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</si>
  <si>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</si>
  <si>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</si>
  <si>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</si>
  <si>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</si>
  <si>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</si>
  <si>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</si>
  <si>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</si>
  <si>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</si>
  <si>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</si>
  <si>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</si>
  <si>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</si>
  <si>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</si>
  <si>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</si>
  <si>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</si>
  <si>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</si>
  <si>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</si>
  <si>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</si>
  <si>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</si>
  <si>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</si>
  <si>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</si>
  <si>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</si>
  <si>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</si>
  <si>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</si>
  <si>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</si>
  <si>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</si>
  <si>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</si>
  <si>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</si>
  <si>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</si>
  <si>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</si>
  <si>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</si>
  <si>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</si>
  <si>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</si>
  <si>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</si>
  <si>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</si>
  <si>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</si>
  <si>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</si>
  <si>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</si>
  <si>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</si>
  <si>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</si>
  <si>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</si>
  <si>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</si>
  <si>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</si>
  <si>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</si>
  <si>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</si>
  <si>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</si>
  <si>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</si>
  <si>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</si>
  <si>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</si>
  <si>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</si>
  <si>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</si>
  <si>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</si>
  <si>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</si>
  <si>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</si>
  <si>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</si>
  <si>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</si>
  <si>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</si>
  <si>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</si>
  <si>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</si>
  <si>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</si>
  <si>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</si>
  <si>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</si>
  <si>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</si>
  <si>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</si>
  <si>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</si>
  <si>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</si>
  <si>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</si>
  <si>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</si>
  <si>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</si>
  <si>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</si>
  <si>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</si>
  <si>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</si>
  <si>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</si>
  <si>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</si>
  <si>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</si>
  <si>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</si>
  <si>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</si>
  <si>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</si>
  <si>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</si>
  <si>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</si>
  <si>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</si>
  <si>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</si>
  <si>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</si>
  <si>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</si>
  <si>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</si>
  <si>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</si>
  <si>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</si>
  <si>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</si>
  <si>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</si>
  <si>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</si>
  <si>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</si>
  <si>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</si>
  <si>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</si>
  <si>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</si>
  <si>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</si>
  <si>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</si>
  <si>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</si>
  <si>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</si>
  <si>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</si>
  <si>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</si>
  <si>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</si>
  <si>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</si>
  <si>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</si>
  <si>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</si>
  <si>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</si>
  <si>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</si>
  <si>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</si>
  <si>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</si>
  <si>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</si>
  <si>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</si>
  <si>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</si>
  <si>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</si>
  <si>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</si>
  <si>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</si>
  <si>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</si>
  <si>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</si>
  <si>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</si>
  <si>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</si>
  <si>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</si>
  <si>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</si>
  <si>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</si>
  <si>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</si>
  <si>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</si>
  <si>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</si>
  <si>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</si>
  <si>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</si>
  <si>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</si>
  <si>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</si>
  <si>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</si>
  <si>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</si>
  <si>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</si>
  <si>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2x 50g packets left over from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</si>
</sst>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3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2" fillId="4" borderId="24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0" fontId="2" fillId="9" borderId="30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5" fillId="6" borderId="0" xfId="0" applyNumberFormat="1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7" xfId="0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A12" sqref="A12"/>
    </sheetView>
  </sheetViews>
  <sheetFormatPr defaultRowHeight="12.75" x14ac:dyDescent="0.2"/>
  <cols>
    <col min="1" max="1" width="11.85546875" style="74" bestFit="1" customWidth="1"/>
    <col min="2" max="3" width="8.28515625" style="28" bestFit="1" customWidth="1"/>
    <col min="4" max="4" width="8.85546875" style="28" bestFit="1" customWidth="1"/>
    <col min="5" max="5" width="8" style="28" bestFit="1" customWidth="1"/>
    <col min="6" max="6" width="8.5703125" style="28" bestFit="1" customWidth="1"/>
    <col min="7" max="7" width="8" style="28" bestFit="1" customWidth="1"/>
    <col min="8" max="8" width="7.7109375" style="28" bestFit="1" customWidth="1"/>
    <col min="9" max="9" width="5.28515625" style="28" bestFit="1" customWidth="1"/>
    <col min="10" max="10" width="9.140625" style="28"/>
    <col min="11" max="11" width="5.5703125" style="28" bestFit="1" customWidth="1"/>
    <col min="12" max="12" width="11.85546875" style="28" bestFit="1" customWidth="1"/>
    <col min="13" max="16384" width="9.140625" style="28"/>
  </cols>
  <sheetData>
    <row r="2" spans="1:12" ht="13.5" thickBot="1" x14ac:dyDescent="0.25">
      <c r="B2" s="75" t="s">
        <v>329</v>
      </c>
      <c r="C2" s="75" t="s">
        <v>330</v>
      </c>
      <c r="D2" s="75" t="s">
        <v>331</v>
      </c>
      <c r="E2" s="75" t="s">
        <v>332</v>
      </c>
      <c r="F2" s="75" t="s">
        <v>333</v>
      </c>
      <c r="G2" s="75" t="s">
        <v>334</v>
      </c>
      <c r="H2" s="75" t="s">
        <v>335</v>
      </c>
      <c r="K2" s="75" t="s">
        <v>328</v>
      </c>
    </row>
    <row r="3" spans="1:12" ht="13.5" thickBot="1" x14ac:dyDescent="0.25">
      <c r="A3" s="76" t="s">
        <v>336</v>
      </c>
      <c r="B3" s="83">
        <v>10</v>
      </c>
      <c r="C3" s="83">
        <v>10</v>
      </c>
      <c r="D3" s="83">
        <v>10</v>
      </c>
      <c r="E3" s="83">
        <v>10</v>
      </c>
      <c r="F3" s="83">
        <v>10</v>
      </c>
      <c r="G3" s="83">
        <v>10</v>
      </c>
      <c r="H3" s="83">
        <v>10</v>
      </c>
      <c r="I3" s="77" t="s">
        <v>321</v>
      </c>
      <c r="K3" s="83">
        <f t="shared" ref="K3:K8" si="0">SUM(B3:H3)</f>
        <v>70</v>
      </c>
      <c r="L3" s="77" t="s">
        <v>342</v>
      </c>
    </row>
    <row r="4" spans="1:12" ht="13.5" thickBot="1" x14ac:dyDescent="0.25">
      <c r="A4" s="76" t="s">
        <v>337</v>
      </c>
      <c r="B4" s="83">
        <v>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5">
        <v>1</v>
      </c>
      <c r="I4" s="78" t="s">
        <v>324</v>
      </c>
      <c r="K4" s="83">
        <f t="shared" si="0"/>
        <v>7</v>
      </c>
      <c r="L4" s="77" t="s">
        <v>343</v>
      </c>
    </row>
    <row r="5" spans="1:12" ht="13.5" thickBot="1" x14ac:dyDescent="0.25">
      <c r="A5" s="76" t="s">
        <v>338</v>
      </c>
      <c r="B5" s="83">
        <v>10</v>
      </c>
      <c r="C5" s="83">
        <v>10</v>
      </c>
      <c r="D5" s="83">
        <v>10</v>
      </c>
      <c r="E5" s="83">
        <v>10</v>
      </c>
      <c r="F5" s="83">
        <v>10</v>
      </c>
      <c r="G5" s="84">
        <v>10</v>
      </c>
      <c r="H5" s="86"/>
      <c r="I5" s="78" t="s">
        <v>322</v>
      </c>
      <c r="K5" s="83">
        <f t="shared" si="0"/>
        <v>60</v>
      </c>
      <c r="L5" s="77" t="s">
        <v>344</v>
      </c>
    </row>
    <row r="6" spans="1:12" ht="13.5" thickBot="1" x14ac:dyDescent="0.25">
      <c r="A6" s="76" t="s">
        <v>339</v>
      </c>
      <c r="B6" s="83">
        <v>1</v>
      </c>
      <c r="C6" s="83">
        <v>1</v>
      </c>
      <c r="D6" s="83">
        <v>1</v>
      </c>
      <c r="E6" s="83">
        <v>1</v>
      </c>
      <c r="F6" s="83">
        <v>1</v>
      </c>
      <c r="G6" s="84">
        <v>1</v>
      </c>
      <c r="H6" s="86"/>
      <c r="I6" s="78" t="s">
        <v>325</v>
      </c>
      <c r="K6" s="83">
        <f t="shared" si="0"/>
        <v>6</v>
      </c>
      <c r="L6" s="77" t="s">
        <v>345</v>
      </c>
    </row>
    <row r="7" spans="1:12" ht="13.5" thickBot="1" x14ac:dyDescent="0.25">
      <c r="A7" s="76" t="s">
        <v>340</v>
      </c>
      <c r="B7" s="83">
        <v>10</v>
      </c>
      <c r="C7" s="83">
        <v>10</v>
      </c>
      <c r="D7" s="83">
        <v>10</v>
      </c>
      <c r="E7" s="83">
        <v>10</v>
      </c>
      <c r="F7" s="83">
        <v>10</v>
      </c>
      <c r="G7" s="84">
        <v>10</v>
      </c>
      <c r="H7" s="86"/>
      <c r="I7" s="78" t="s">
        <v>323</v>
      </c>
      <c r="K7" s="83">
        <f t="shared" si="0"/>
        <v>60</v>
      </c>
      <c r="L7" s="77" t="s">
        <v>346</v>
      </c>
    </row>
    <row r="8" spans="1:12" ht="13.5" thickBot="1" x14ac:dyDescent="0.25">
      <c r="A8" s="76" t="s">
        <v>341</v>
      </c>
      <c r="B8" s="83">
        <v>1</v>
      </c>
      <c r="C8" s="83">
        <v>1</v>
      </c>
      <c r="D8" s="83">
        <v>1</v>
      </c>
      <c r="E8" s="83">
        <v>1</v>
      </c>
      <c r="F8" s="83">
        <v>1</v>
      </c>
      <c r="G8" s="84">
        <v>1</v>
      </c>
      <c r="H8" s="86"/>
      <c r="I8" s="79" t="s">
        <v>326</v>
      </c>
      <c r="K8" s="83">
        <f t="shared" si="0"/>
        <v>6</v>
      </c>
      <c r="L8" s="77" t="s">
        <v>347</v>
      </c>
    </row>
    <row r="9" spans="1:12" ht="13.5" thickBot="1" x14ac:dyDescent="0.25">
      <c r="B9" s="80" t="s">
        <v>314</v>
      </c>
      <c r="C9" s="81" t="s">
        <v>315</v>
      </c>
      <c r="D9" s="81" t="s">
        <v>316</v>
      </c>
      <c r="E9" s="81" t="s">
        <v>317</v>
      </c>
      <c r="F9" s="81" t="s">
        <v>318</v>
      </c>
      <c r="G9" s="81" t="s">
        <v>319</v>
      </c>
      <c r="H9" s="82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28"/>
  <sheetViews>
    <sheetView topLeftCell="A164" zoomScaleNormal="100" workbookViewId="0">
      <selection activeCell="D191" sqref="D191"/>
    </sheetView>
  </sheetViews>
  <sheetFormatPr defaultRowHeight="15" x14ac:dyDescent="0.25"/>
  <cols>
    <col min="1" max="1" width="2.140625" style="37" bestFit="1" customWidth="1"/>
    <col min="2" max="2" width="10.42578125" style="37" bestFit="1" customWidth="1"/>
    <col min="3" max="3" width="4.85546875" style="36" bestFit="1" customWidth="1"/>
    <col min="4" max="4" width="78" style="37" customWidth="1"/>
    <col min="5" max="5" width="14.140625" style="41" bestFit="1" customWidth="1"/>
    <col min="6" max="6" width="4.85546875" style="41" bestFit="1" customWidth="1"/>
    <col min="7" max="7" width="14.7109375" style="41" bestFit="1" customWidth="1"/>
    <col min="8" max="8" width="2.7109375" style="41" customWidth="1"/>
    <col min="9" max="9" width="5.7109375" style="42" bestFit="1" customWidth="1"/>
    <col min="10" max="10" width="4.42578125" style="41" bestFit="1" customWidth="1"/>
    <col min="11" max="11" width="28.5703125" style="41" bestFit="1" customWidth="1"/>
    <col min="12" max="12" width="4.42578125" style="43" bestFit="1" customWidth="1"/>
    <col min="13" max="13" width="5.7109375" style="44" bestFit="1" customWidth="1"/>
    <col min="14" max="14" width="4.42578125" style="44" bestFit="1" customWidth="1"/>
    <col min="15" max="16" width="4" style="44" bestFit="1" customWidth="1"/>
    <col min="17" max="17" width="5.7109375" style="44" bestFit="1" customWidth="1"/>
    <col min="18" max="19" width="4.28515625" style="44" bestFit="1" customWidth="1"/>
    <col min="20" max="20" width="4.85546875" style="44" bestFit="1" customWidth="1"/>
    <col min="21" max="21" width="28.140625" style="41" customWidth="1"/>
    <col min="22" max="22" width="5.28515625" style="41" bestFit="1" customWidth="1"/>
    <col min="23" max="23" width="6.42578125" style="45" bestFit="1" customWidth="1"/>
    <col min="24" max="24" width="4.42578125" style="41" bestFit="1" customWidth="1"/>
    <col min="25" max="25" width="28.5703125" style="41" bestFit="1" customWidth="1"/>
    <col min="26" max="26" width="46.5703125" style="46" customWidth="1"/>
    <col min="27" max="27" width="5.28515625" style="41" bestFit="1" customWidth="1"/>
    <col min="28" max="29" width="4.42578125" style="41" bestFit="1" customWidth="1"/>
    <col min="30" max="30" width="9.140625" style="41" bestFit="1" customWidth="1"/>
    <col min="31" max="16384" width="9.140625" style="41"/>
  </cols>
  <sheetData>
    <row r="1" spans="1:30" s="102" customFormat="1" ht="15.75" x14ac:dyDescent="0.25">
      <c r="A1" s="117" t="s">
        <v>431</v>
      </c>
      <c r="B1" s="117"/>
      <c r="C1" s="117"/>
      <c r="D1" s="117"/>
      <c r="E1" s="40" t="s">
        <v>413</v>
      </c>
      <c r="F1" s="100" t="s">
        <v>414</v>
      </c>
      <c r="G1" s="100"/>
      <c r="I1" s="42"/>
      <c r="L1" s="43"/>
      <c r="M1" s="44"/>
      <c r="N1" s="44"/>
      <c r="O1" s="44"/>
      <c r="P1" s="44"/>
      <c r="Q1" s="44"/>
      <c r="R1" s="44"/>
      <c r="S1" s="44"/>
      <c r="T1" s="44"/>
      <c r="W1" s="45"/>
      <c r="Z1" s="46"/>
    </row>
    <row r="2" spans="1:30" s="102" customFormat="1" ht="24" x14ac:dyDescent="0.2">
      <c r="A2" s="117" t="s">
        <v>432</v>
      </c>
      <c r="B2" s="117"/>
      <c r="C2" s="117"/>
      <c r="D2" s="117"/>
      <c r="E2" s="100" t="s">
        <v>53</v>
      </c>
      <c r="F2" s="87">
        <v>10</v>
      </c>
      <c r="G2" s="44"/>
      <c r="I2" s="67" t="s">
        <v>434</v>
      </c>
      <c r="J2" s="68" t="s">
        <v>435</v>
      </c>
      <c r="K2" s="68" t="s">
        <v>17</v>
      </c>
      <c r="L2" s="69" t="s">
        <v>438</v>
      </c>
      <c r="M2" s="67" t="s">
        <v>141</v>
      </c>
      <c r="N2" s="67" t="s">
        <v>142</v>
      </c>
      <c r="O2" s="67" t="s">
        <v>436</v>
      </c>
      <c r="P2" s="67" t="s">
        <v>437</v>
      </c>
      <c r="Q2" s="68" t="s">
        <v>353</v>
      </c>
      <c r="R2" s="67" t="s">
        <v>354</v>
      </c>
      <c r="S2" s="67" t="s">
        <v>355</v>
      </c>
      <c r="T2" s="67" t="s">
        <v>356</v>
      </c>
      <c r="U2" s="68" t="s">
        <v>22</v>
      </c>
      <c r="V2" s="68" t="s">
        <v>202</v>
      </c>
      <c r="W2" s="70" t="s">
        <v>353</v>
      </c>
      <c r="X2" s="68" t="s">
        <v>200</v>
      </c>
      <c r="Y2" s="68" t="s">
        <v>201</v>
      </c>
      <c r="Z2" s="68" t="s">
        <v>302</v>
      </c>
      <c r="AA2" s="68" t="s">
        <v>203</v>
      </c>
      <c r="AB2" s="70" t="s">
        <v>353</v>
      </c>
      <c r="AC2" s="68" t="s">
        <v>204</v>
      </c>
      <c r="AD2" s="68" t="s">
        <v>205</v>
      </c>
    </row>
    <row r="3" spans="1:30" s="102" customFormat="1" ht="13.5" thickBot="1" x14ac:dyDescent="0.3">
      <c r="A3" s="118" t="str">
        <f>_xlfn.CONCAT(F3," servings")</f>
        <v>10 servings</v>
      </c>
      <c r="B3" s="118"/>
      <c r="C3" s="118"/>
      <c r="D3" s="118"/>
      <c r="E3" s="100" t="s">
        <v>348</v>
      </c>
      <c r="F3" s="87">
        <v>10</v>
      </c>
      <c r="G3" s="44"/>
      <c r="I3" s="42"/>
      <c r="L3" s="43"/>
      <c r="M3" s="44"/>
      <c r="N3" s="44"/>
      <c r="O3" s="44"/>
      <c r="P3" s="44"/>
      <c r="Q3" s="44"/>
      <c r="R3" s="44"/>
      <c r="S3" s="44"/>
      <c r="T3" s="44"/>
      <c r="W3" s="45"/>
      <c r="Z3" s="46"/>
    </row>
    <row r="4" spans="1:30" s="102" customFormat="1" ht="15.75" thickBot="1" x14ac:dyDescent="0.3">
      <c r="A4" s="115"/>
      <c r="B4" s="115"/>
      <c r="C4" s="115"/>
      <c r="D4" s="115"/>
      <c r="E4" s="100" t="s">
        <v>351</v>
      </c>
      <c r="F4" s="47">
        <f>F3/F2</f>
        <v>1</v>
      </c>
      <c r="G4" s="48" t="s">
        <v>415</v>
      </c>
      <c r="I4" s="42"/>
      <c r="L4" s="43"/>
      <c r="M4" s="44"/>
      <c r="N4" s="44"/>
      <c r="O4" s="44"/>
      <c r="P4" s="44"/>
      <c r="Q4" s="44"/>
      <c r="R4" s="44"/>
      <c r="S4" s="44"/>
      <c r="T4" s="44"/>
      <c r="W4" s="45"/>
      <c r="Z4" s="46"/>
    </row>
    <row r="5" spans="1:30" s="102" customFormat="1" x14ac:dyDescent="0.25">
      <c r="A5" s="115" t="s">
        <v>417</v>
      </c>
      <c r="B5" s="115"/>
      <c r="C5" s="115"/>
      <c r="D5" s="115"/>
      <c r="I5" s="42"/>
      <c r="L5" s="43"/>
      <c r="M5" s="44"/>
      <c r="N5" s="44"/>
      <c r="O5" s="44"/>
      <c r="P5" s="44"/>
      <c r="Q5" s="44"/>
      <c r="R5" s="44"/>
      <c r="S5" s="44"/>
      <c r="T5" s="44"/>
      <c r="W5" s="45"/>
      <c r="Z5" s="46"/>
    </row>
    <row r="6" spans="1:30" s="102" customFormat="1" ht="15.75" thickBot="1" x14ac:dyDescent="0.3">
      <c r="A6" s="99" t="s">
        <v>21</v>
      </c>
      <c r="B6" s="49">
        <f t="shared" ref="B6" si="0">Q6</f>
        <v>0.25</v>
      </c>
      <c r="C6" s="36" t="str">
        <f t="shared" ref="C6" si="1">IF(L6="","",L6)</f>
        <v/>
      </c>
      <c r="D6" s="99" t="str">
        <f t="shared" ref="D6" si="2">_xlfn.CONCAT(K6, U6)</f>
        <v>large tinned fruit salad</v>
      </c>
      <c r="E6" s="100" t="s">
        <v>327</v>
      </c>
      <c r="F6" s="102">
        <f>totalBrCount + totalSbrCount</f>
        <v>77</v>
      </c>
      <c r="I6" s="51">
        <v>0.25</v>
      </c>
      <c r="J6" s="52"/>
      <c r="K6" s="52" t="s">
        <v>442</v>
      </c>
      <c r="L6" s="53"/>
      <c r="M6" s="44">
        <f t="shared" ref="M6" si="3">INDEX(itemGPerQty, MATCH(K6, itemNames, 0))</f>
        <v>0</v>
      </c>
      <c r="N6" s="44">
        <f t="shared" ref="N6" si="4">INDEX(itemMlPerQty, MATCH(K6, itemNames, 0))</f>
        <v>0</v>
      </c>
      <c r="O6" s="44">
        <f t="shared" ref="O6" si="5">IF(J6 = "", I6 * M6, IF(ISNA(CONVERT(I6, J6, "kg")), CONVERT(I6, J6, "l") * IF(N6 &lt;&gt; 0, M6 / N6, 0), CONVERT(I6, J6, "kg")))</f>
        <v>0</v>
      </c>
      <c r="P6" s="44">
        <f t="shared" ref="P6" si="6">IF(J6 = "", I6 * N6, IF(ISNA(CONVERT(I6, J6, "l")), CONVERT(I6, J6, "kg") * IF(M6 &lt;&gt; 0, N6 / M6, 0), CONVERT(I6, J6, "l")))</f>
        <v>0</v>
      </c>
      <c r="Q6" s="44">
        <f>MROUND(IF(AND(J6 = "", L6 = ""), I6 * recipe15DayScale, IF(ISNA(CONVERT(O6, "kg", L6)), CONVERT(P6 * recipe15DayScale, "l", L6), CONVERT(O6 * recipe15DayScale, "kg", L6))), roundTo)</f>
        <v>0.25</v>
      </c>
      <c r="R6" s="44">
        <f>recipe15TotScale * IF(L6 = "", Q6 * M6, IF(ISNA(CONVERT(Q6, L6, "kg")), CONVERT(Q6, L6, "l") * IF(N6 &lt;&gt; 0, M6 / N6, 0), CONVERT(Q6, L6, "kg")))</f>
        <v>0</v>
      </c>
      <c r="S6" s="44">
        <f>recipe15TotScale * IF(R6 = 0, IF(L6 = "", Q6 * N6, IF(ISNA(CONVERT(Q6, L6, "l")), CONVERT(Q6, L6, "kg") * IF(M6 &lt;&gt; 0, N6 / M6, 0), CONVERT(Q6, L6, "l"))), 0)</f>
        <v>0</v>
      </c>
      <c r="T6" s="44">
        <f>recipe15TotScale * IF(AND(R6 = 0, S6 = 0, J6 = "", L6 = ""), Q6, 0)</f>
        <v>1.925</v>
      </c>
      <c r="V6" s="102" t="b">
        <f t="shared" ref="V6" si="7">INDEX(itemPrepMethods, MATCH(K6, itemNames, 0))="chop"</f>
        <v>0</v>
      </c>
      <c r="W6" s="54" t="str">
        <f t="shared" ref="W6" si="8">IF(V6, Q6, "")</f>
        <v/>
      </c>
      <c r="X6" s="55" t="str">
        <f t="shared" ref="X6" si="9">IF(V6, IF(L6 = "", "", L6), "")</f>
        <v/>
      </c>
      <c r="Y6" s="55" t="str">
        <f t="shared" ref="Y6" si="10">IF(V6, K6, "")</f>
        <v/>
      </c>
      <c r="Z6" s="56"/>
      <c r="AA6" s="102" t="b">
        <f t="shared" ref="AA6" si="11">INDEX(itemPrepMethods, MATCH(K6, itemNames, 0))="soak"</f>
        <v>0</v>
      </c>
      <c r="AB6" s="55" t="str">
        <f t="shared" ref="AB6" si="12">IF(AA6, Q6, "")</f>
        <v/>
      </c>
      <c r="AC6" s="55" t="str">
        <f t="shared" ref="AC6" si="13">IF(AA6, IF(L6 = "", "", L6), "")</f>
        <v/>
      </c>
      <c r="AD6" s="55" t="str">
        <f t="shared" ref="AD6" si="14">IF(AA6, K6, "")</f>
        <v/>
      </c>
    </row>
    <row r="7" spans="1:30" s="102" customFormat="1" ht="15.75" thickBot="1" x14ac:dyDescent="0.3">
      <c r="A7" s="99" t="s">
        <v>21</v>
      </c>
      <c r="B7" s="49">
        <f t="shared" ref="B7:B8" si="15">Q7</f>
        <v>2</v>
      </c>
      <c r="C7" s="36" t="str">
        <f t="shared" ref="C7:C8" si="16">IF(L7="","",L7)</f>
        <v/>
      </c>
      <c r="D7" s="99" t="str">
        <f t="shared" ref="D7:D8" si="17">_xlfn.CONCAT(K7, U7)</f>
        <v>chopped apples</v>
      </c>
      <c r="E7" s="100" t="s">
        <v>352</v>
      </c>
      <c r="F7" s="47">
        <f>F6/F3</f>
        <v>7.7</v>
      </c>
      <c r="G7" s="48" t="s">
        <v>416</v>
      </c>
      <c r="I7" s="51">
        <v>2</v>
      </c>
      <c r="J7" s="52"/>
      <c r="K7" s="52" t="s">
        <v>422</v>
      </c>
      <c r="L7" s="53"/>
      <c r="M7" s="44">
        <f t="shared" ref="M7:M8" si="18">INDEX(itemGPerQty, MATCH(K7, itemNames, 0))</f>
        <v>0</v>
      </c>
      <c r="N7" s="44">
        <f t="shared" ref="N7:N8" si="19">INDEX(itemMlPerQty, MATCH(K7, itemNames, 0))</f>
        <v>0</v>
      </c>
      <c r="O7" s="44">
        <f t="shared" ref="O7:O8" si="20">IF(J7 = "", I7 * M7, IF(ISNA(CONVERT(I7, J7, "kg")), CONVERT(I7, J7, "l") * IF(N7 &lt;&gt; 0, M7 / N7, 0), CONVERT(I7, J7, "kg")))</f>
        <v>0</v>
      </c>
      <c r="P7" s="44">
        <f t="shared" ref="P7:P8" si="21">IF(J7 = "", I7 * N7, IF(ISNA(CONVERT(I7, J7, "l")), CONVERT(I7, J7, "kg") * IF(M7 &lt;&gt; 0, N7 / M7, 0), CONVERT(I7, J7, "l")))</f>
        <v>0</v>
      </c>
      <c r="Q7" s="44">
        <f>MROUND(IF(AND(J7 = "", L7 = ""), I7 * recipe15DayScale, IF(ISNA(CONVERT(O7, "kg", L7)), CONVERT(P7 * recipe15DayScale, "l", L7), CONVERT(O7 * recipe15DayScale, "kg", L7))), roundTo)</f>
        <v>2</v>
      </c>
      <c r="R7" s="44">
        <f>recipe15TotScale * IF(L7 = "", Q7 * M7, IF(ISNA(CONVERT(Q7, L7, "kg")), CONVERT(Q7, L7, "l") * IF(N7 &lt;&gt; 0, M7 / N7, 0), CONVERT(Q7, L7, "kg")))</f>
        <v>0</v>
      </c>
      <c r="S7" s="44">
        <f>recipe15TotScale * IF(R7 = 0, IF(L7 = "", Q7 * N7, IF(ISNA(CONVERT(Q7, L7, "l")), CONVERT(Q7, L7, "kg") * IF(M7 &lt;&gt; 0, N7 / M7, 0), CONVERT(Q7, L7, "l"))), 0)</f>
        <v>0</v>
      </c>
      <c r="T7" s="44">
        <f>recipe15TotScale * IF(AND(R7 = 0, S7 = 0, J7 = "", L7 = ""), Q7, 0)</f>
        <v>15.4</v>
      </c>
      <c r="V7" s="102" t="b">
        <f t="shared" ref="V7:V8" si="22">INDEX(itemPrepMethods, MATCH(K7, itemNames, 0))="chop"</f>
        <v>1</v>
      </c>
      <c r="W7" s="54">
        <f t="shared" ref="W7:W8" si="23">IF(V7, Q7, "")</f>
        <v>2</v>
      </c>
      <c r="X7" s="55" t="str">
        <f t="shared" ref="X7:X8" si="24">IF(V7, IF(L7 = "", "", L7), "")</f>
        <v/>
      </c>
      <c r="Y7" s="55" t="str">
        <f t="shared" ref="Y7:Y8" si="25">IF(V7, K7, "")</f>
        <v>chopped apples</v>
      </c>
      <c r="Z7" s="56"/>
      <c r="AA7" s="102" t="b">
        <f t="shared" ref="AA7:AA8" si="26">INDEX(itemPrepMethods, MATCH(K7, itemNames, 0))="soak"</f>
        <v>0</v>
      </c>
      <c r="AB7" s="55" t="str">
        <f t="shared" ref="AB7:AB8" si="27">IF(AA7, Q7, "")</f>
        <v/>
      </c>
      <c r="AC7" s="55" t="str">
        <f t="shared" ref="AC7:AC8" si="28">IF(AA7, IF(L7 = "", "", L7), "")</f>
        <v/>
      </c>
      <c r="AD7" s="55" t="str">
        <f t="shared" ref="AD7:AD8" si="29">IF(AA7, K7, "")</f>
        <v/>
      </c>
    </row>
    <row r="8" spans="1:30" s="102" customFormat="1" x14ac:dyDescent="0.25">
      <c r="A8" s="99" t="s">
        <v>21</v>
      </c>
      <c r="B8" s="49">
        <f t="shared" si="15"/>
        <v>2</v>
      </c>
      <c r="C8" s="36" t="str">
        <f t="shared" si="16"/>
        <v/>
      </c>
      <c r="D8" s="99" t="str">
        <f t="shared" si="17"/>
        <v>sliced bananas</v>
      </c>
      <c r="I8" s="51">
        <v>2</v>
      </c>
      <c r="J8" s="52"/>
      <c r="K8" s="52" t="s">
        <v>423</v>
      </c>
      <c r="L8" s="53"/>
      <c r="M8" s="44">
        <f t="shared" si="18"/>
        <v>0</v>
      </c>
      <c r="N8" s="44">
        <f t="shared" si="19"/>
        <v>0</v>
      </c>
      <c r="O8" s="44">
        <f t="shared" si="20"/>
        <v>0</v>
      </c>
      <c r="P8" s="44">
        <f t="shared" si="21"/>
        <v>0</v>
      </c>
      <c r="Q8" s="44">
        <f>MROUND(IF(AND(J8 = "", L8 = ""), I8 * recipe15DayScale, IF(ISNA(CONVERT(O8, "kg", L8)), CONVERT(P8 * recipe15DayScale, "l", L8), CONVERT(O8 * recipe15DayScale, "kg", L8))), roundTo)</f>
        <v>2</v>
      </c>
      <c r="R8" s="44">
        <f>recipe15TotScale * IF(L8 = "", Q8 * M8, IF(ISNA(CONVERT(Q8, L8, "kg")), CONVERT(Q8, L8, "l") * IF(N8 &lt;&gt; 0, M8 / N8, 0), CONVERT(Q8, L8, "kg")))</f>
        <v>0</v>
      </c>
      <c r="S8" s="44">
        <f>recipe15TotScale * IF(R8 = 0, IF(L8 = "", Q8 * N8, IF(ISNA(CONVERT(Q8, L8, "l")), CONVERT(Q8, L8, "kg") * IF(M8 &lt;&gt; 0, N8 / M8, 0), CONVERT(Q8, L8, "l"))), 0)</f>
        <v>0</v>
      </c>
      <c r="T8" s="44">
        <f>recipe15TotScale * IF(AND(R8 = 0, S8 = 0, J8 = "", L8 = ""), Q8, 0)</f>
        <v>15.4</v>
      </c>
      <c r="V8" s="102" t="b">
        <f t="shared" si="22"/>
        <v>1</v>
      </c>
      <c r="W8" s="54">
        <f t="shared" si="23"/>
        <v>2</v>
      </c>
      <c r="X8" s="55" t="str">
        <f t="shared" si="24"/>
        <v/>
      </c>
      <c r="Y8" s="55" t="str">
        <f t="shared" si="25"/>
        <v>sliced bananas</v>
      </c>
      <c r="Z8" s="56"/>
      <c r="AA8" s="102" t="b">
        <f t="shared" si="26"/>
        <v>0</v>
      </c>
      <c r="AB8" s="55" t="str">
        <f t="shared" si="27"/>
        <v/>
      </c>
      <c r="AC8" s="55" t="str">
        <f t="shared" si="28"/>
        <v/>
      </c>
      <c r="AD8" s="55" t="str">
        <f t="shared" si="29"/>
        <v/>
      </c>
    </row>
    <row r="9" spans="1:30" s="102" customFormat="1" x14ac:dyDescent="0.25">
      <c r="A9" s="99" t="s">
        <v>21</v>
      </c>
      <c r="B9" s="49">
        <f t="shared" ref="B9:B10" si="30">Q9</f>
        <v>2</v>
      </c>
      <c r="C9" s="36" t="str">
        <f t="shared" ref="C9:C11" si="31">IF(L9="","",L9)</f>
        <v/>
      </c>
      <c r="D9" s="99" t="str">
        <f t="shared" ref="D9:D11" si="32">_xlfn.CONCAT(K9, U9)</f>
        <v>chopped pears</v>
      </c>
      <c r="I9" s="51">
        <v>2</v>
      </c>
      <c r="J9" s="52"/>
      <c r="K9" s="52" t="s">
        <v>424</v>
      </c>
      <c r="L9" s="53"/>
      <c r="M9" s="44">
        <f t="shared" ref="M9:M10" si="33">INDEX(itemGPerQty, MATCH(K9, itemNames, 0))</f>
        <v>0</v>
      </c>
      <c r="N9" s="44">
        <f t="shared" ref="N9:N10" si="34">INDEX(itemMlPerQty, MATCH(K9, itemNames, 0))</f>
        <v>0</v>
      </c>
      <c r="O9" s="44">
        <f t="shared" ref="O9:O10" si="35">IF(J9 = "", I9 * M9, IF(ISNA(CONVERT(I9, J9, "kg")), CONVERT(I9, J9, "l") * IF(N9 &lt;&gt; 0, M9 / N9, 0), CONVERT(I9, J9, "kg")))</f>
        <v>0</v>
      </c>
      <c r="P9" s="44">
        <f t="shared" ref="P9:P10" si="36">IF(J9 = "", I9 * N9, IF(ISNA(CONVERT(I9, J9, "l")), CONVERT(I9, J9, "kg") * IF(M9 &lt;&gt; 0, N9 / M9, 0), CONVERT(I9, J9, "l")))</f>
        <v>0</v>
      </c>
      <c r="Q9" s="44">
        <f>MROUND(IF(AND(J9 = "", L9 = ""), I9 * recipe15DayScale, IF(ISNA(CONVERT(O9, "kg", L9)), CONVERT(P9 * recipe15DayScale, "l", L9), CONVERT(O9 * recipe15DayScale, "kg", L9))), roundTo)</f>
        <v>2</v>
      </c>
      <c r="R9" s="44">
        <f>recipe15TotScale * IF(L9 = "", Q9 * M9, IF(ISNA(CONVERT(Q9, L9, "kg")), CONVERT(Q9, L9, "l") * IF(N9 &lt;&gt; 0, M9 / N9, 0), CONVERT(Q9, L9, "kg")))</f>
        <v>0</v>
      </c>
      <c r="S9" s="44">
        <f>recipe15TotScale * IF(R9 = 0, IF(L9 = "", Q9 * N9, IF(ISNA(CONVERT(Q9, L9, "l")), CONVERT(Q9, L9, "kg") * IF(M9 &lt;&gt; 0, N9 / M9, 0), CONVERT(Q9, L9, "l"))), 0)</f>
        <v>0</v>
      </c>
      <c r="T9" s="44">
        <f>recipe15TotScale * IF(AND(R9 = 0, S9 = 0, J9 = "", L9 = ""), Q9, 0)</f>
        <v>15.4</v>
      </c>
      <c r="V9" s="102" t="b">
        <f t="shared" ref="V9:V11" si="37">INDEX(itemPrepMethods, MATCH(K9, itemNames, 0))="chop"</f>
        <v>1</v>
      </c>
      <c r="W9" s="54">
        <f t="shared" ref="W9:W11" si="38">IF(V9, Q9, "")</f>
        <v>2</v>
      </c>
      <c r="X9" s="55" t="str">
        <f t="shared" ref="X9:X11" si="39">IF(V9, IF(L9 = "", "", L9), "")</f>
        <v/>
      </c>
      <c r="Y9" s="55" t="str">
        <f t="shared" ref="Y9:Y11" si="40">IF(V9, K9, "")</f>
        <v>chopped pears</v>
      </c>
      <c r="Z9" s="56"/>
      <c r="AA9" s="102" t="b">
        <f t="shared" ref="AA9:AA11" si="41">INDEX(itemPrepMethods, MATCH(K9, itemNames, 0))="soak"</f>
        <v>0</v>
      </c>
      <c r="AB9" s="55" t="str">
        <f t="shared" ref="AB9:AB11" si="42">IF(AA9, Q9, "")</f>
        <v/>
      </c>
      <c r="AC9" s="55" t="str">
        <f t="shared" ref="AC9:AC11" si="43">IF(AA9, IF(L9 = "", "", L9), "")</f>
        <v/>
      </c>
      <c r="AD9" s="55" t="str">
        <f t="shared" ref="AD9:AD11" si="44">IF(AA9, K9, "")</f>
        <v/>
      </c>
    </row>
    <row r="10" spans="1:30" s="102" customFormat="1" x14ac:dyDescent="0.25">
      <c r="A10" s="99" t="s">
        <v>21</v>
      </c>
      <c r="B10" s="49">
        <f t="shared" si="30"/>
        <v>2</v>
      </c>
      <c r="C10" s="36" t="str">
        <f t="shared" si="31"/>
        <v/>
      </c>
      <c r="D10" s="99" t="str">
        <f t="shared" si="32"/>
        <v>chopped peeled oranges</v>
      </c>
      <c r="I10" s="51">
        <v>2</v>
      </c>
      <c r="J10" s="52"/>
      <c r="K10" s="52" t="s">
        <v>425</v>
      </c>
      <c r="L10" s="53"/>
      <c r="M10" s="44">
        <f t="shared" si="33"/>
        <v>0</v>
      </c>
      <c r="N10" s="44">
        <f t="shared" si="34"/>
        <v>0</v>
      </c>
      <c r="O10" s="44">
        <f t="shared" si="35"/>
        <v>0</v>
      </c>
      <c r="P10" s="44">
        <f t="shared" si="36"/>
        <v>0</v>
      </c>
      <c r="Q10" s="44">
        <f>MROUND(IF(AND(J10 = "", L10 = ""), I10 * recipe15DayScale, IF(ISNA(CONVERT(O10, "kg", L10)), CONVERT(P10 * recipe15DayScale, "l", L10), CONVERT(O10 * recipe15DayScale, "kg", L10))), roundTo)</f>
        <v>2</v>
      </c>
      <c r="R10" s="44">
        <f>recipe15TotScale * IF(L10 = "", Q10 * M10, IF(ISNA(CONVERT(Q10, L10, "kg")), CONVERT(Q10, L10, "l") * IF(N10 &lt;&gt; 0, M10 / N10, 0), CONVERT(Q10, L10, "kg")))</f>
        <v>0</v>
      </c>
      <c r="S10" s="44">
        <f>recipe15TotScale * IF(R10 = 0, IF(L10 = "", Q10 * N10, IF(ISNA(CONVERT(Q10, L10, "l")), CONVERT(Q10, L10, "kg") * IF(M10 &lt;&gt; 0, N10 / M10, 0), CONVERT(Q10, L10, "l"))), 0)</f>
        <v>0</v>
      </c>
      <c r="T10" s="44">
        <f>recipe15TotScale * IF(AND(R10 = 0, S10 = 0, J10 = "", L10 = ""), Q10, 0)</f>
        <v>15.4</v>
      </c>
      <c r="V10" s="102" t="b">
        <f t="shared" si="37"/>
        <v>1</v>
      </c>
      <c r="W10" s="54">
        <f t="shared" si="38"/>
        <v>2</v>
      </c>
      <c r="X10" s="55" t="str">
        <f t="shared" si="39"/>
        <v/>
      </c>
      <c r="Y10" s="55" t="str">
        <f t="shared" si="40"/>
        <v>chopped peeled oranges</v>
      </c>
      <c r="Z10" s="56"/>
      <c r="AA10" s="102" t="b">
        <f t="shared" si="41"/>
        <v>0</v>
      </c>
      <c r="AB10" s="55" t="str">
        <f t="shared" si="42"/>
        <v/>
      </c>
      <c r="AC10" s="55" t="str">
        <f t="shared" si="43"/>
        <v/>
      </c>
      <c r="AD10" s="55" t="str">
        <f t="shared" si="44"/>
        <v/>
      </c>
    </row>
    <row r="11" spans="1:30" s="102" customFormat="1" x14ac:dyDescent="0.25">
      <c r="A11" s="99" t="s">
        <v>21</v>
      </c>
      <c r="B11" s="49"/>
      <c r="C11" s="36" t="str">
        <f t="shared" si="31"/>
        <v/>
      </c>
      <c r="D11" s="99" t="str">
        <f t="shared" si="32"/>
        <v>grapes, if available</v>
      </c>
      <c r="K11" s="52" t="s">
        <v>427</v>
      </c>
      <c r="R11" s="44"/>
      <c r="S11" s="44"/>
      <c r="U11" s="102" t="s">
        <v>228</v>
      </c>
      <c r="V11" s="102" t="b">
        <f t="shared" si="37"/>
        <v>0</v>
      </c>
      <c r="W11" s="54" t="str">
        <f t="shared" si="38"/>
        <v/>
      </c>
      <c r="X11" s="55" t="str">
        <f t="shared" si="39"/>
        <v/>
      </c>
      <c r="Y11" s="55" t="str">
        <f t="shared" si="40"/>
        <v/>
      </c>
      <c r="Z11" s="56"/>
      <c r="AA11" s="102" t="b">
        <f t="shared" si="41"/>
        <v>0</v>
      </c>
      <c r="AB11" s="55" t="str">
        <f t="shared" si="42"/>
        <v/>
      </c>
      <c r="AC11" s="55" t="str">
        <f t="shared" si="43"/>
        <v/>
      </c>
      <c r="AD11" s="55" t="str">
        <f t="shared" si="44"/>
        <v/>
      </c>
    </row>
    <row r="12" spans="1:30" s="102" customFormat="1" x14ac:dyDescent="0.25">
      <c r="A12" s="115"/>
      <c r="B12" s="115"/>
      <c r="C12" s="115"/>
      <c r="D12" s="115"/>
      <c r="I12" s="42"/>
      <c r="L12" s="43"/>
      <c r="M12" s="44"/>
      <c r="N12" s="44"/>
      <c r="O12" s="44"/>
      <c r="P12" s="44"/>
      <c r="Q12" s="44"/>
      <c r="R12" s="44"/>
      <c r="S12" s="44"/>
      <c r="T12" s="44"/>
      <c r="W12" s="45"/>
      <c r="Z12" s="46"/>
    </row>
    <row r="13" spans="1:30" s="102" customFormat="1" x14ac:dyDescent="0.25">
      <c r="A13" s="115" t="s">
        <v>428</v>
      </c>
      <c r="B13" s="115"/>
      <c r="C13" s="115"/>
      <c r="D13" s="115"/>
      <c r="I13" s="42"/>
      <c r="L13" s="43"/>
      <c r="M13" s="44"/>
      <c r="N13" s="44"/>
      <c r="O13" s="44"/>
      <c r="P13" s="44"/>
      <c r="Q13" s="44"/>
      <c r="R13" s="44"/>
      <c r="S13" s="44"/>
      <c r="T13" s="44"/>
      <c r="W13" s="45"/>
      <c r="Z13" s="46"/>
    </row>
    <row r="14" spans="1:30" s="64" customFormat="1" ht="15.75" x14ac:dyDescent="0.25">
      <c r="A14" s="117" t="s">
        <v>429</v>
      </c>
      <c r="B14" s="117"/>
      <c r="C14" s="117"/>
      <c r="D14" s="117"/>
      <c r="E14" s="40" t="s">
        <v>303</v>
      </c>
      <c r="F14" s="100" t="s">
        <v>440</v>
      </c>
      <c r="G14" s="100"/>
      <c r="I14" s="42"/>
      <c r="L14" s="43"/>
      <c r="M14" s="44"/>
      <c r="N14" s="44"/>
      <c r="O14" s="44"/>
      <c r="P14" s="44"/>
      <c r="Q14" s="44"/>
      <c r="R14" s="44"/>
      <c r="S14" s="44"/>
      <c r="T14" s="44"/>
      <c r="W14" s="45"/>
      <c r="Z14" s="46"/>
    </row>
    <row r="15" spans="1:30" s="64" customFormat="1" ht="24" x14ac:dyDescent="0.2">
      <c r="A15" s="117" t="s">
        <v>430</v>
      </c>
      <c r="B15" s="117"/>
      <c r="C15" s="117"/>
      <c r="D15" s="117"/>
      <c r="E15" s="63" t="s">
        <v>53</v>
      </c>
      <c r="F15" s="105">
        <v>10</v>
      </c>
      <c r="G15" s="44"/>
      <c r="I15" s="67" t="s">
        <v>434</v>
      </c>
      <c r="J15" s="68" t="s">
        <v>435</v>
      </c>
      <c r="K15" s="68" t="s">
        <v>17</v>
      </c>
      <c r="L15" s="69" t="s">
        <v>438</v>
      </c>
      <c r="M15" s="67" t="s">
        <v>141</v>
      </c>
      <c r="N15" s="67" t="s">
        <v>142</v>
      </c>
      <c r="O15" s="67" t="s">
        <v>436</v>
      </c>
      <c r="P15" s="67" t="s">
        <v>437</v>
      </c>
      <c r="Q15" s="68" t="s">
        <v>353</v>
      </c>
      <c r="R15" s="67" t="s">
        <v>354</v>
      </c>
      <c r="S15" s="67" t="s">
        <v>355</v>
      </c>
      <c r="T15" s="67" t="s">
        <v>356</v>
      </c>
      <c r="U15" s="68" t="s">
        <v>22</v>
      </c>
      <c r="V15" s="68" t="s">
        <v>202</v>
      </c>
      <c r="W15" s="70" t="s">
        <v>353</v>
      </c>
      <c r="X15" s="68" t="s">
        <v>200</v>
      </c>
      <c r="Y15" s="68" t="s">
        <v>201</v>
      </c>
      <c r="Z15" s="68" t="s">
        <v>302</v>
      </c>
      <c r="AA15" s="68" t="s">
        <v>203</v>
      </c>
      <c r="AB15" s="70" t="s">
        <v>353</v>
      </c>
      <c r="AC15" s="68" t="s">
        <v>204</v>
      </c>
      <c r="AD15" s="68" t="s">
        <v>205</v>
      </c>
    </row>
    <row r="16" spans="1:30" s="64" customFormat="1" ht="13.5" thickBot="1" x14ac:dyDescent="0.3">
      <c r="A16" s="118" t="str">
        <f>_xlfn.CONCAT(F16," servings")</f>
        <v>10 servings</v>
      </c>
      <c r="B16" s="118"/>
      <c r="C16" s="118"/>
      <c r="D16" s="118"/>
      <c r="E16" s="63" t="s">
        <v>348</v>
      </c>
      <c r="F16" s="87">
        <v>10</v>
      </c>
      <c r="G16" s="44"/>
      <c r="I16" s="44"/>
      <c r="L16" s="43"/>
      <c r="M16" s="44"/>
      <c r="N16" s="44"/>
      <c r="O16" s="44"/>
      <c r="P16" s="44"/>
      <c r="Q16" s="44"/>
      <c r="R16" s="44"/>
      <c r="S16" s="44"/>
      <c r="T16" s="44"/>
      <c r="W16" s="45"/>
      <c r="Z16" s="46"/>
    </row>
    <row r="17" spans="1:30" s="102" customFormat="1" ht="15.75" thickBot="1" x14ac:dyDescent="0.3">
      <c r="A17" s="115"/>
      <c r="B17" s="115"/>
      <c r="C17" s="115"/>
      <c r="D17" s="115"/>
      <c r="E17" s="63" t="s">
        <v>351</v>
      </c>
      <c r="F17" s="47">
        <f>F16/F15</f>
        <v>1</v>
      </c>
      <c r="G17" s="48" t="s">
        <v>349</v>
      </c>
      <c r="I17" s="44"/>
      <c r="L17" s="43"/>
      <c r="M17" s="44"/>
      <c r="N17" s="44"/>
      <c r="O17" s="44"/>
      <c r="P17" s="44"/>
      <c r="Q17" s="44"/>
      <c r="R17" s="44"/>
      <c r="S17" s="44"/>
      <c r="T17" s="44"/>
      <c r="W17" s="45"/>
      <c r="Z17" s="46"/>
    </row>
    <row r="18" spans="1:30" s="64" customFormat="1" x14ac:dyDescent="0.25">
      <c r="A18" s="115" t="s">
        <v>312</v>
      </c>
      <c r="B18" s="115"/>
      <c r="C18" s="115"/>
      <c r="D18" s="115"/>
      <c r="I18" s="44"/>
      <c r="L18" s="43"/>
      <c r="M18" s="44"/>
      <c r="N18" s="44"/>
      <c r="O18" s="44"/>
      <c r="P18" s="44"/>
      <c r="Q18" s="44"/>
      <c r="R18" s="44"/>
      <c r="S18" s="44"/>
      <c r="T18" s="44"/>
      <c r="W18" s="45"/>
      <c r="Z18" s="46"/>
    </row>
    <row r="19" spans="1:30" s="64" customFormat="1" ht="15.75" thickBot="1" x14ac:dyDescent="0.3">
      <c r="A19" s="62" t="s">
        <v>21</v>
      </c>
      <c r="B19" s="49">
        <f t="shared" ref="B19:B23" si="45">Q19</f>
        <v>0.5</v>
      </c>
      <c r="C19" s="36" t="str">
        <f t="shared" ref="C19:C26" si="46">IF(L19="","",L19)</f>
        <v/>
      </c>
      <c r="D19" s="62" t="str">
        <f t="shared" ref="D19:D26" si="47">_xlfn.CONCAT(K19, U19)</f>
        <v>sliced cucumbers</v>
      </c>
      <c r="E19" s="63" t="s">
        <v>327</v>
      </c>
      <c r="F19" s="64">
        <f>totalLuCount + totalSluCount</f>
        <v>66</v>
      </c>
      <c r="H19" s="50"/>
      <c r="I19" s="51">
        <v>0.5</v>
      </c>
      <c r="J19" s="52"/>
      <c r="K19" s="52" t="s">
        <v>306</v>
      </c>
      <c r="L19" s="53"/>
      <c r="M19" s="44">
        <f t="shared" ref="M19:M23" si="48">INDEX(itemGPerQty, MATCH(K19, itemNames, 0))</f>
        <v>0.30599999999999999</v>
      </c>
      <c r="N19" s="44">
        <f t="shared" ref="N19:N23" si="49">INDEX(itemMlPerQty, MATCH(K19, itemNames, 0))</f>
        <v>0</v>
      </c>
      <c r="O19" s="44">
        <f t="shared" ref="O19:O23" si="50">IF(J19 = "", I19 * M19, IF(ISNA(CONVERT(I19, J19, "kg")), CONVERT(I19, J19, "l") * IF(N19 &lt;&gt; 0, M19 / N19, 0), CONVERT(I19, J19, "kg")))</f>
        <v>0.153</v>
      </c>
      <c r="P19" s="44">
        <f t="shared" ref="P19:P23" si="51">IF(J19 = "", I19 * N19, IF(ISNA(CONVERT(I19, J19, "l")), CONVERT(I19, J19, "kg") * IF(M19 &lt;&gt; 0, N19 / M19, 0), CONVERT(I19, J19, "l")))</f>
        <v>0</v>
      </c>
      <c r="Q19" s="44">
        <f t="shared" ref="Q19:Q23" si="52">MROUND(IF(AND(J19 = "", L19 = ""), I19 * recipe14DayScale, IF(ISNA(CONVERT(O19, "kg", L19)), CONVERT(P19 * recipe14DayScale, "l", L19), CONVERT(O19 * recipe14DayScale, "kg", L19))), roundTo)</f>
        <v>0.5</v>
      </c>
      <c r="R19" s="44">
        <f t="shared" ref="R19:R23" si="53">recipe14TotScale * IF(L19 = "", Q19 * M19, IF(ISNA(CONVERT(Q19, L19, "kg")), CONVERT(Q19, L19, "l") * IF(N19 &lt;&gt; 0, M19 / N19, 0), CONVERT(Q19, L19, "kg")))</f>
        <v>1.0098</v>
      </c>
      <c r="S19" s="44">
        <f t="shared" ref="S19:S23" si="54">recipe14TotScale * IF(R19 = 0, IF(L19 = "", Q19 * N19, IF(ISNA(CONVERT(Q19, L19, "l")), CONVERT(Q19, L19, "kg") * IF(M19 &lt;&gt; 0, N19 / M19, 0), CONVERT(Q19, L19, "l"))), 0)</f>
        <v>0</v>
      </c>
      <c r="T19" s="44">
        <f t="shared" ref="T19:T23" si="55">recipe14TotScale * IF(AND(R19 = 0, S19 = 0, J19 = "", L19 = ""), Q19, 0)</f>
        <v>0</v>
      </c>
      <c r="V19" s="64" t="b">
        <f t="shared" ref="V19:V26" si="56">INDEX(itemPrepMethods, MATCH(K19, itemNames, 0))="chop"</f>
        <v>1</v>
      </c>
      <c r="W19" s="54">
        <f t="shared" ref="W19:W26" si="57">IF(V19, Q19, "")</f>
        <v>0.5</v>
      </c>
      <c r="X19" s="55" t="str">
        <f t="shared" ref="X19:X26" si="58">IF(V19, IF(L19 = "", "", L19), "")</f>
        <v/>
      </c>
      <c r="Y19" s="55" t="str">
        <f t="shared" ref="Y19:Y26" si="59">IF(V19, K19, "")</f>
        <v>sliced cucumbers</v>
      </c>
      <c r="Z19" s="56"/>
      <c r="AA19" s="64" t="b">
        <f t="shared" ref="AA19:AA26" si="60">INDEX(itemPrepMethods, MATCH(K19, itemNames, 0))="soak"</f>
        <v>0</v>
      </c>
      <c r="AB19" s="55" t="str">
        <f t="shared" ref="AB19:AB26" si="61">IF(AA19, Q19, "")</f>
        <v/>
      </c>
      <c r="AC19" s="55" t="str">
        <f t="shared" ref="AC19:AC26" si="62">IF(AA19, IF(L19 = "", "", L19), "")</f>
        <v/>
      </c>
      <c r="AD19" s="55" t="str">
        <f t="shared" ref="AD19:AD26" si="63">IF(AA19, K19, "")</f>
        <v/>
      </c>
    </row>
    <row r="20" spans="1:30" s="64" customFormat="1" ht="15.75" thickBot="1" x14ac:dyDescent="0.3">
      <c r="A20" s="62" t="s">
        <v>21</v>
      </c>
      <c r="B20" s="49">
        <f t="shared" si="45"/>
        <v>0.5</v>
      </c>
      <c r="C20" s="36" t="str">
        <f t="shared" si="46"/>
        <v/>
      </c>
      <c r="D20" s="62" t="str">
        <f t="shared" si="47"/>
        <v>grated carrots</v>
      </c>
      <c r="E20" s="63" t="s">
        <v>352</v>
      </c>
      <c r="F20" s="47">
        <f>F19/F16</f>
        <v>6.6</v>
      </c>
      <c r="G20" s="48" t="s">
        <v>350</v>
      </c>
      <c r="H20" s="50"/>
      <c r="I20" s="51">
        <v>0.5</v>
      </c>
      <c r="J20" s="52"/>
      <c r="K20" s="52" t="s">
        <v>307</v>
      </c>
      <c r="L20" s="53"/>
      <c r="M20" s="44">
        <f t="shared" si="48"/>
        <v>0</v>
      </c>
      <c r="N20" s="44">
        <f t="shared" si="49"/>
        <v>0</v>
      </c>
      <c r="O20" s="44">
        <f t="shared" si="50"/>
        <v>0</v>
      </c>
      <c r="P20" s="44">
        <f t="shared" si="51"/>
        <v>0</v>
      </c>
      <c r="Q20" s="44">
        <f t="shared" si="52"/>
        <v>0.5</v>
      </c>
      <c r="R20" s="44">
        <f t="shared" si="53"/>
        <v>0</v>
      </c>
      <c r="S20" s="44">
        <f t="shared" si="54"/>
        <v>0</v>
      </c>
      <c r="T20" s="44">
        <f t="shared" si="55"/>
        <v>3.3</v>
      </c>
      <c r="V20" s="64" t="b">
        <f t="shared" si="56"/>
        <v>1</v>
      </c>
      <c r="W20" s="54">
        <f t="shared" si="57"/>
        <v>0.5</v>
      </c>
      <c r="X20" s="55" t="str">
        <f t="shared" si="58"/>
        <v/>
      </c>
      <c r="Y20" s="55" t="str">
        <f t="shared" si="59"/>
        <v>grated carrots</v>
      </c>
      <c r="Z20" s="56"/>
      <c r="AA20" s="64" t="b">
        <f t="shared" si="60"/>
        <v>0</v>
      </c>
      <c r="AB20" s="55" t="str">
        <f t="shared" si="61"/>
        <v/>
      </c>
      <c r="AC20" s="55" t="str">
        <f t="shared" si="62"/>
        <v/>
      </c>
      <c r="AD20" s="55" t="str">
        <f t="shared" si="63"/>
        <v/>
      </c>
    </row>
    <row r="21" spans="1:30" s="64" customFormat="1" x14ac:dyDescent="0.25">
      <c r="A21" s="62" t="s">
        <v>21</v>
      </c>
      <c r="B21" s="49">
        <f t="shared" si="45"/>
        <v>1.5</v>
      </c>
      <c r="C21" s="36" t="str">
        <f t="shared" si="46"/>
        <v/>
      </c>
      <c r="D21" s="62" t="str">
        <f t="shared" si="47"/>
        <v>sliced celery stalks</v>
      </c>
      <c r="H21" s="50"/>
      <c r="I21" s="51">
        <v>1.5</v>
      </c>
      <c r="J21" s="52"/>
      <c r="K21" s="52" t="s">
        <v>169</v>
      </c>
      <c r="L21" s="53"/>
      <c r="M21" s="44">
        <f t="shared" si="48"/>
        <v>0</v>
      </c>
      <c r="N21" s="44">
        <f t="shared" si="49"/>
        <v>0</v>
      </c>
      <c r="O21" s="44">
        <f t="shared" si="50"/>
        <v>0</v>
      </c>
      <c r="P21" s="44">
        <f t="shared" si="51"/>
        <v>0</v>
      </c>
      <c r="Q21" s="44">
        <f t="shared" si="52"/>
        <v>1.5</v>
      </c>
      <c r="R21" s="44">
        <f t="shared" si="53"/>
        <v>0</v>
      </c>
      <c r="S21" s="44">
        <f t="shared" si="54"/>
        <v>0</v>
      </c>
      <c r="T21" s="44">
        <f t="shared" si="55"/>
        <v>9.8999999999999986</v>
      </c>
      <c r="V21" s="64" t="b">
        <f t="shared" si="56"/>
        <v>1</v>
      </c>
      <c r="W21" s="54">
        <f t="shared" si="57"/>
        <v>1.5</v>
      </c>
      <c r="X21" s="55" t="str">
        <f t="shared" si="58"/>
        <v/>
      </c>
      <c r="Y21" s="55" t="str">
        <f t="shared" si="59"/>
        <v>sliced celery stalks</v>
      </c>
      <c r="Z21" s="56"/>
      <c r="AA21" s="64" t="b">
        <f t="shared" si="60"/>
        <v>0</v>
      </c>
      <c r="AB21" s="55" t="str">
        <f t="shared" si="61"/>
        <v/>
      </c>
      <c r="AC21" s="55" t="str">
        <f t="shared" si="62"/>
        <v/>
      </c>
      <c r="AD21" s="55" t="str">
        <f t="shared" si="63"/>
        <v/>
      </c>
    </row>
    <row r="22" spans="1:30" s="64" customFormat="1" x14ac:dyDescent="0.25">
      <c r="A22" s="62" t="s">
        <v>21</v>
      </c>
      <c r="B22" s="49">
        <f t="shared" si="45"/>
        <v>0.5</v>
      </c>
      <c r="C22" s="36" t="str">
        <f t="shared" si="46"/>
        <v/>
      </c>
      <c r="D22" s="62" t="str">
        <f t="shared" si="47"/>
        <v>sliced green capsicums</v>
      </c>
      <c r="H22" s="50"/>
      <c r="I22" s="51">
        <v>0.5</v>
      </c>
      <c r="J22" s="52"/>
      <c r="K22" s="52" t="s">
        <v>308</v>
      </c>
      <c r="L22" s="53"/>
      <c r="M22" s="44">
        <f t="shared" si="48"/>
        <v>0</v>
      </c>
      <c r="N22" s="44">
        <f t="shared" si="49"/>
        <v>0</v>
      </c>
      <c r="O22" s="44">
        <f t="shared" si="50"/>
        <v>0</v>
      </c>
      <c r="P22" s="44">
        <f t="shared" si="51"/>
        <v>0</v>
      </c>
      <c r="Q22" s="44">
        <f t="shared" si="52"/>
        <v>0.5</v>
      </c>
      <c r="R22" s="44">
        <f t="shared" si="53"/>
        <v>0</v>
      </c>
      <c r="S22" s="44">
        <f t="shared" si="54"/>
        <v>0</v>
      </c>
      <c r="T22" s="44">
        <f t="shared" si="55"/>
        <v>3.3</v>
      </c>
      <c r="V22" s="64" t="b">
        <f t="shared" si="56"/>
        <v>1</v>
      </c>
      <c r="W22" s="54">
        <f t="shared" si="57"/>
        <v>0.5</v>
      </c>
      <c r="X22" s="55" t="str">
        <f t="shared" si="58"/>
        <v/>
      </c>
      <c r="Y22" s="55" t="str">
        <f t="shared" si="59"/>
        <v>sliced green capsicums</v>
      </c>
      <c r="Z22" s="56"/>
      <c r="AA22" s="64" t="b">
        <f t="shared" si="60"/>
        <v>0</v>
      </c>
      <c r="AB22" s="55" t="str">
        <f t="shared" si="61"/>
        <v/>
      </c>
      <c r="AC22" s="55" t="str">
        <f t="shared" si="62"/>
        <v/>
      </c>
      <c r="AD22" s="55" t="str">
        <f t="shared" si="63"/>
        <v/>
      </c>
    </row>
    <row r="23" spans="1:30" s="64" customFormat="1" x14ac:dyDescent="0.25">
      <c r="A23" s="62" t="s">
        <v>21</v>
      </c>
      <c r="B23" s="49">
        <f t="shared" si="45"/>
        <v>1</v>
      </c>
      <c r="C23" s="36" t="str">
        <f t="shared" si="46"/>
        <v/>
      </c>
      <c r="D23" s="62" t="str">
        <f t="shared" si="47"/>
        <v>coarsely chopped lettuces</v>
      </c>
      <c r="H23" s="50"/>
      <c r="I23" s="51">
        <v>1</v>
      </c>
      <c r="J23" s="52"/>
      <c r="K23" s="52" t="s">
        <v>402</v>
      </c>
      <c r="L23" s="53"/>
      <c r="M23" s="44">
        <f t="shared" si="48"/>
        <v>0.84399999999999997</v>
      </c>
      <c r="N23" s="44">
        <f t="shared" si="49"/>
        <v>0</v>
      </c>
      <c r="O23" s="44">
        <f t="shared" si="50"/>
        <v>0.84399999999999997</v>
      </c>
      <c r="P23" s="44">
        <f t="shared" si="51"/>
        <v>0</v>
      </c>
      <c r="Q23" s="44">
        <f t="shared" si="52"/>
        <v>1</v>
      </c>
      <c r="R23" s="44">
        <f t="shared" si="53"/>
        <v>5.5703999999999994</v>
      </c>
      <c r="S23" s="44">
        <f t="shared" si="54"/>
        <v>0</v>
      </c>
      <c r="T23" s="44">
        <f t="shared" si="55"/>
        <v>0</v>
      </c>
      <c r="V23" s="64" t="b">
        <f t="shared" si="56"/>
        <v>1</v>
      </c>
      <c r="W23" s="54">
        <f t="shared" si="57"/>
        <v>1</v>
      </c>
      <c r="X23" s="55" t="str">
        <f t="shared" si="58"/>
        <v/>
      </c>
      <c r="Y23" s="55" t="str">
        <f t="shared" si="59"/>
        <v>coarsely chopped lettuces</v>
      </c>
      <c r="Z23" s="56" t="s">
        <v>439</v>
      </c>
      <c r="AA23" s="64" t="b">
        <f t="shared" si="60"/>
        <v>0</v>
      </c>
      <c r="AB23" s="55" t="str">
        <f t="shared" si="61"/>
        <v/>
      </c>
      <c r="AC23" s="55" t="str">
        <f t="shared" si="62"/>
        <v/>
      </c>
      <c r="AD23" s="55" t="str">
        <f t="shared" si="63"/>
        <v/>
      </c>
    </row>
    <row r="24" spans="1:30" s="64" customFormat="1" x14ac:dyDescent="0.25">
      <c r="A24" s="62" t="s">
        <v>21</v>
      </c>
      <c r="B24" s="49"/>
      <c r="C24" s="36" t="str">
        <f t="shared" si="46"/>
        <v/>
      </c>
      <c r="D24" s="62" t="str">
        <f t="shared" si="47"/>
        <v>fresh sprouts (just a sprinkling)</v>
      </c>
      <c r="H24" s="50"/>
      <c r="I24" s="42"/>
      <c r="J24" s="42"/>
      <c r="K24" s="52" t="s">
        <v>309</v>
      </c>
      <c r="L24" s="42"/>
      <c r="M24" s="42"/>
      <c r="N24" s="42"/>
      <c r="O24" s="42"/>
      <c r="P24" s="42"/>
      <c r="Q24" s="42"/>
      <c r="R24" s="42"/>
      <c r="S24" s="42"/>
      <c r="T24" s="42"/>
      <c r="U24" s="64" t="s">
        <v>441</v>
      </c>
      <c r="V24" s="64" t="b">
        <f t="shared" si="56"/>
        <v>0</v>
      </c>
      <c r="W24" s="54" t="str">
        <f t="shared" si="57"/>
        <v/>
      </c>
      <c r="X24" s="55" t="str">
        <f t="shared" si="58"/>
        <v/>
      </c>
      <c r="Y24" s="55" t="str">
        <f t="shared" si="59"/>
        <v/>
      </c>
      <c r="Z24" s="56"/>
      <c r="AA24" s="64" t="b">
        <f t="shared" si="60"/>
        <v>0</v>
      </c>
      <c r="AB24" s="55" t="str">
        <f t="shared" si="61"/>
        <v/>
      </c>
      <c r="AC24" s="55" t="str">
        <f t="shared" si="62"/>
        <v/>
      </c>
      <c r="AD24" s="55" t="str">
        <f t="shared" si="63"/>
        <v/>
      </c>
    </row>
    <row r="25" spans="1:30" s="64" customFormat="1" x14ac:dyDescent="0.25">
      <c r="A25" s="62" t="s">
        <v>21</v>
      </c>
      <c r="B25" s="49"/>
      <c r="C25" s="36" t="str">
        <f t="shared" si="46"/>
        <v/>
      </c>
      <c r="D25" s="62" t="str">
        <f t="shared" si="47"/>
        <v>fresh herbs, if available</v>
      </c>
      <c r="H25" s="50"/>
      <c r="I25" s="42"/>
      <c r="J25" s="42"/>
      <c r="K25" s="52" t="s">
        <v>310</v>
      </c>
      <c r="L25" s="42"/>
      <c r="M25" s="42"/>
      <c r="N25" s="42"/>
      <c r="O25" s="42"/>
      <c r="P25" s="42"/>
      <c r="Q25" s="42"/>
      <c r="R25" s="42"/>
      <c r="S25" s="42"/>
      <c r="T25" s="42"/>
      <c r="U25" s="64" t="s">
        <v>228</v>
      </c>
      <c r="V25" s="64" t="b">
        <f t="shared" si="56"/>
        <v>0</v>
      </c>
      <c r="W25" s="54" t="str">
        <f t="shared" si="57"/>
        <v/>
      </c>
      <c r="X25" s="55" t="str">
        <f t="shared" si="58"/>
        <v/>
      </c>
      <c r="Y25" s="55" t="str">
        <f t="shared" si="59"/>
        <v/>
      </c>
      <c r="Z25" s="56"/>
      <c r="AA25" s="64" t="b">
        <f t="shared" si="60"/>
        <v>0</v>
      </c>
      <c r="AB25" s="55" t="str">
        <f t="shared" si="61"/>
        <v/>
      </c>
      <c r="AC25" s="55" t="str">
        <f t="shared" si="62"/>
        <v/>
      </c>
      <c r="AD25" s="55" t="str">
        <f t="shared" si="63"/>
        <v/>
      </c>
    </row>
    <row r="26" spans="1:30" s="64" customFormat="1" x14ac:dyDescent="0.25">
      <c r="A26" s="62" t="s">
        <v>21</v>
      </c>
      <c r="B26" s="49"/>
      <c r="C26" s="36" t="str">
        <f t="shared" si="46"/>
        <v/>
      </c>
      <c r="D26" s="62" t="str">
        <f t="shared" si="47"/>
        <v>sunflower seeds</v>
      </c>
      <c r="H26" s="50"/>
      <c r="I26" s="42"/>
      <c r="J26" s="42"/>
      <c r="K26" s="52" t="s">
        <v>311</v>
      </c>
      <c r="L26" s="42"/>
      <c r="M26" s="42"/>
      <c r="N26" s="42"/>
      <c r="O26" s="42"/>
      <c r="P26" s="42"/>
      <c r="Q26" s="42"/>
      <c r="R26" s="42"/>
      <c r="S26" s="42"/>
      <c r="T26" s="42"/>
      <c r="V26" s="64" t="b">
        <f t="shared" si="56"/>
        <v>0</v>
      </c>
      <c r="W26" s="54" t="str">
        <f t="shared" si="57"/>
        <v/>
      </c>
      <c r="X26" s="55" t="str">
        <f t="shared" si="58"/>
        <v/>
      </c>
      <c r="Y26" s="55" t="str">
        <f t="shared" si="59"/>
        <v/>
      </c>
      <c r="Z26" s="56"/>
      <c r="AA26" s="64" t="b">
        <f t="shared" si="60"/>
        <v>0</v>
      </c>
      <c r="AB26" s="55" t="str">
        <f t="shared" si="61"/>
        <v/>
      </c>
      <c r="AC26" s="55" t="str">
        <f t="shared" si="62"/>
        <v/>
      </c>
      <c r="AD26" s="55" t="str">
        <f t="shared" si="63"/>
        <v/>
      </c>
    </row>
    <row r="27" spans="1:30" s="66" customFormat="1" x14ac:dyDescent="0.25">
      <c r="A27" s="115"/>
      <c r="B27" s="115"/>
      <c r="C27" s="115"/>
      <c r="D27" s="115"/>
      <c r="I27" s="42"/>
      <c r="L27" s="43"/>
      <c r="M27" s="44"/>
      <c r="N27" s="44"/>
      <c r="O27" s="44"/>
      <c r="P27" s="44"/>
      <c r="Q27" s="44"/>
      <c r="R27" s="44"/>
      <c r="S27" s="44"/>
      <c r="T27" s="44"/>
      <c r="W27" s="71"/>
      <c r="X27" s="71"/>
      <c r="Y27" s="71"/>
      <c r="Z27" s="71"/>
      <c r="AB27" s="71"/>
      <c r="AC27" s="71"/>
      <c r="AD27" s="71"/>
    </row>
    <row r="28" spans="1:30" s="66" customFormat="1" x14ac:dyDescent="0.25">
      <c r="A28" s="115" t="s">
        <v>401</v>
      </c>
      <c r="B28" s="115"/>
      <c r="C28" s="115"/>
      <c r="D28" s="115"/>
      <c r="I28" s="42"/>
      <c r="L28" s="43"/>
      <c r="M28" s="44"/>
      <c r="N28" s="44"/>
      <c r="O28" s="44"/>
      <c r="P28" s="44"/>
      <c r="Q28" s="44"/>
      <c r="R28" s="44"/>
      <c r="S28" s="44"/>
      <c r="T28" s="44"/>
      <c r="W28" s="71"/>
      <c r="X28" s="71"/>
      <c r="Y28" s="71"/>
      <c r="Z28" s="71"/>
      <c r="AB28" s="71"/>
      <c r="AC28" s="71"/>
      <c r="AD28" s="71"/>
    </row>
    <row r="29" spans="1:30" s="64" customFormat="1" x14ac:dyDescent="0.25">
      <c r="A29" s="62" t="s">
        <v>21</v>
      </c>
      <c r="B29" s="58">
        <f>Q29</f>
        <v>2</v>
      </c>
      <c r="C29" s="36" t="str">
        <f>IF(L29="","",L29)</f>
        <v/>
      </c>
      <c r="D29" s="62" t="str">
        <f>_xlfn.CONCAT(K29, U29)</f>
        <v>chopped tomatoes</v>
      </c>
      <c r="H29" s="50"/>
      <c r="I29" s="51">
        <v>2</v>
      </c>
      <c r="J29" s="52"/>
      <c r="K29" s="52" t="s">
        <v>304</v>
      </c>
      <c r="L29" s="53"/>
      <c r="M29" s="44">
        <f>INDEX(itemGPerQty, MATCH(K29, itemNames, 0))</f>
        <v>0.13250000000000001</v>
      </c>
      <c r="N29" s="44">
        <f>INDEX(itemMlPerQty, MATCH(K29, itemNames, 0))</f>
        <v>0</v>
      </c>
      <c r="O29" s="44">
        <f>IF(J29 = "", I29 * M29, IF(ISNA(CONVERT(I29, J29, "kg")), CONVERT(I29, J29, "l") * IF(N29 &lt;&gt; 0, M29 / N29, 0), CONVERT(I29, J29, "kg")))</f>
        <v>0.26500000000000001</v>
      </c>
      <c r="P29" s="44">
        <f>IF(J29 = "", I29 * N29, IF(ISNA(CONVERT(I29, J29, "l")), CONVERT(I29, J29, "kg") * IF(M29 &lt;&gt; 0, N29 / M29, 0), CONVERT(I29, J29, "l")))</f>
        <v>0</v>
      </c>
      <c r="Q29" s="44">
        <f>MROUND(IF(AND(J29 = "", L29 = ""), I29 * recipe14DayScale, IF(ISNA(CONVERT(O29, "kg", L29)), CONVERT(P29 * recipe14DayScale, "l", L29), CONVERT(O29 * recipe14DayScale, "kg", L29))), roundTo)</f>
        <v>2</v>
      </c>
      <c r="R29" s="44">
        <f>recipe14TotScale * IF(L29 = "", Q29 * M29, IF(ISNA(CONVERT(Q29, L29, "kg")), CONVERT(Q29, L29, "l") * IF(N29 &lt;&gt; 0, M29 / N29, 0), CONVERT(Q29, L29, "kg")))</f>
        <v>1.7489999999999999</v>
      </c>
      <c r="S29" s="44">
        <f>recipe14TotScale * IF(R29 = 0, IF(L29 = "", Q29 * N29, IF(ISNA(CONVERT(Q29, L29, "l")), CONVERT(Q29, L29, "kg") * IF(M29 &lt;&gt; 0, N29 / M29, 0), CONVERT(Q29, L29, "l"))), 0)</f>
        <v>0</v>
      </c>
      <c r="T29" s="44">
        <f>recipe14TotScale * IF(AND(R29 = 0, S29 = 0, J29 = "", L29 = ""), Q29, 0)</f>
        <v>0</v>
      </c>
      <c r="V29" s="64" t="b">
        <f>INDEX(itemPrepMethods, MATCH(K29, itemNames, 0))="chop"</f>
        <v>1</v>
      </c>
      <c r="W29" s="54">
        <f>IF(V29, Q29, "")</f>
        <v>2</v>
      </c>
      <c r="X29" s="55" t="str">
        <f>IF(V29, IF(L29 = "", "", L29), "")</f>
        <v/>
      </c>
      <c r="Y29" s="55" t="str">
        <f>IF(V29, K29, "")</f>
        <v>chopped tomatoes</v>
      </c>
      <c r="Z29" s="56"/>
      <c r="AA29" s="64" t="b">
        <f>INDEX(itemPrepMethods, MATCH(K29, itemNames, 0))="soak"</f>
        <v>0</v>
      </c>
      <c r="AB29" s="55" t="str">
        <f>IF(AA29, Q29, "")</f>
        <v/>
      </c>
      <c r="AC29" s="55" t="str">
        <f>IF(AA29, IF(L29 = "", "", L29), "")</f>
        <v/>
      </c>
      <c r="AD29" s="55" t="str">
        <f>IF(AA29, K29, "")</f>
        <v/>
      </c>
    </row>
    <row r="30" spans="1:30" s="66" customFormat="1" x14ac:dyDescent="0.25">
      <c r="A30" s="115"/>
      <c r="B30" s="115"/>
      <c r="C30" s="115"/>
      <c r="D30" s="115"/>
      <c r="I30" s="42"/>
      <c r="L30" s="43"/>
      <c r="M30" s="44"/>
      <c r="N30" s="44"/>
      <c r="O30" s="44"/>
      <c r="P30" s="44"/>
      <c r="Q30" s="44"/>
      <c r="R30" s="44"/>
      <c r="S30" s="44"/>
      <c r="T30" s="44"/>
      <c r="W30" s="45"/>
      <c r="Z30" s="46"/>
    </row>
    <row r="31" spans="1:30" s="66" customFormat="1" x14ac:dyDescent="0.25">
      <c r="A31" s="115" t="s">
        <v>400</v>
      </c>
      <c r="B31" s="115"/>
      <c r="C31" s="115"/>
      <c r="D31" s="115"/>
      <c r="I31" s="42"/>
      <c r="L31" s="43"/>
      <c r="M31" s="44"/>
      <c r="N31" s="44"/>
      <c r="O31" s="44"/>
      <c r="P31" s="44"/>
      <c r="Q31" s="44"/>
      <c r="R31" s="44"/>
      <c r="S31" s="44"/>
      <c r="T31" s="44"/>
      <c r="W31" s="45"/>
      <c r="Z31" s="46"/>
    </row>
    <row r="32" spans="1:30" ht="15.75" x14ac:dyDescent="0.25">
      <c r="A32" s="117" t="s">
        <v>183</v>
      </c>
      <c r="B32" s="117"/>
      <c r="C32" s="117"/>
      <c r="D32" s="117"/>
      <c r="E32" s="40" t="s">
        <v>184</v>
      </c>
      <c r="F32" s="100"/>
      <c r="G32" s="100"/>
    </row>
    <row r="33" spans="1:30" ht="24" x14ac:dyDescent="0.2">
      <c r="A33" s="117" t="s">
        <v>384</v>
      </c>
      <c r="B33" s="117"/>
      <c r="C33" s="117"/>
      <c r="D33" s="117"/>
      <c r="E33" s="39" t="s">
        <v>53</v>
      </c>
      <c r="F33" s="87">
        <v>4</v>
      </c>
      <c r="G33" s="44"/>
      <c r="I33" s="67" t="s">
        <v>434</v>
      </c>
      <c r="J33" s="68" t="s">
        <v>435</v>
      </c>
      <c r="K33" s="68" t="s">
        <v>17</v>
      </c>
      <c r="L33" s="69" t="s">
        <v>438</v>
      </c>
      <c r="M33" s="67" t="s">
        <v>141</v>
      </c>
      <c r="N33" s="67" t="s">
        <v>142</v>
      </c>
      <c r="O33" s="67" t="s">
        <v>436</v>
      </c>
      <c r="P33" s="67" t="s">
        <v>437</v>
      </c>
      <c r="Q33" s="68" t="s">
        <v>353</v>
      </c>
      <c r="R33" s="67" t="s">
        <v>354</v>
      </c>
      <c r="S33" s="67" t="s">
        <v>355</v>
      </c>
      <c r="T33" s="67" t="s">
        <v>356</v>
      </c>
      <c r="U33" s="68" t="s">
        <v>22</v>
      </c>
      <c r="V33" s="68" t="s">
        <v>202</v>
      </c>
      <c r="W33" s="70" t="s">
        <v>353</v>
      </c>
      <c r="X33" s="68" t="s">
        <v>200</v>
      </c>
      <c r="Y33" s="68" t="s">
        <v>201</v>
      </c>
      <c r="Z33" s="68" t="s">
        <v>302</v>
      </c>
      <c r="AA33" s="68" t="s">
        <v>203</v>
      </c>
      <c r="AB33" s="70" t="s">
        <v>353</v>
      </c>
      <c r="AC33" s="68" t="s">
        <v>204</v>
      </c>
      <c r="AD33" s="68" t="s">
        <v>205</v>
      </c>
    </row>
    <row r="34" spans="1:30" ht="13.5" thickBot="1" x14ac:dyDescent="0.3">
      <c r="A34" s="118" t="str">
        <f>_xlfn.CONCAT(F34," servings")</f>
        <v>4 servings</v>
      </c>
      <c r="B34" s="118"/>
      <c r="C34" s="118"/>
      <c r="D34" s="118"/>
      <c r="E34" s="39" t="s">
        <v>348</v>
      </c>
      <c r="F34" s="87">
        <v>4</v>
      </c>
      <c r="G34" s="44"/>
      <c r="I34" s="44"/>
    </row>
    <row r="35" spans="1:30" s="102" customFormat="1" ht="15.75" thickBot="1" x14ac:dyDescent="0.3">
      <c r="A35" s="115"/>
      <c r="B35" s="115"/>
      <c r="C35" s="115"/>
      <c r="D35" s="115"/>
      <c r="E35" s="39" t="s">
        <v>351</v>
      </c>
      <c r="F35" s="47">
        <f>F34/F33</f>
        <v>1</v>
      </c>
      <c r="G35" s="48" t="s">
        <v>357</v>
      </c>
      <c r="I35" s="44"/>
      <c r="L35" s="43"/>
      <c r="M35" s="44"/>
      <c r="N35" s="44"/>
      <c r="O35" s="44"/>
      <c r="P35" s="44"/>
      <c r="Q35" s="44"/>
      <c r="R35" s="44"/>
      <c r="S35" s="44"/>
      <c r="T35" s="44"/>
      <c r="W35" s="45"/>
      <c r="Z35" s="46"/>
    </row>
    <row r="36" spans="1:30" x14ac:dyDescent="0.25">
      <c r="A36" s="115" t="s">
        <v>385</v>
      </c>
      <c r="B36" s="115"/>
      <c r="C36" s="115"/>
      <c r="D36" s="115"/>
      <c r="I36" s="44"/>
    </row>
    <row r="37" spans="1:30" ht="15.75" thickBot="1" x14ac:dyDescent="0.3">
      <c r="A37" s="37" t="s">
        <v>21</v>
      </c>
      <c r="B37" s="49">
        <f>Q37</f>
        <v>2</v>
      </c>
      <c r="C37" s="36" t="str">
        <f>IF(L37="","",L37)</f>
        <v>tbs</v>
      </c>
      <c r="D37" s="62" t="str">
        <f t="shared" ref="D37:D39" si="64">_xlfn.CONCAT(K37, U37)</f>
        <v>minced fresh ginger</v>
      </c>
      <c r="E37" s="63" t="s">
        <v>327</v>
      </c>
      <c r="F37" s="64">
        <f>totalSluCount</f>
        <v>6</v>
      </c>
      <c r="G37" s="64"/>
      <c r="H37" s="50"/>
      <c r="I37" s="51">
        <v>2</v>
      </c>
      <c r="J37" s="52" t="s">
        <v>15</v>
      </c>
      <c r="K37" s="52" t="s">
        <v>221</v>
      </c>
      <c r="L37" s="53" t="s">
        <v>15</v>
      </c>
      <c r="M37" s="44">
        <f>INDEX(itemGPerQty, MATCH(K37, itemNames, 0))</f>
        <v>0</v>
      </c>
      <c r="N37" s="44">
        <f>INDEX(itemMlPerQty, MATCH(K37, itemNames, 0))</f>
        <v>0</v>
      </c>
      <c r="O37" s="44">
        <f>IF(J37 = "", I37 * M37, IF(ISNA(CONVERT(I37, J37, "kg")), CONVERT(I37, J37, "l") * IF(N37 &lt;&gt; 0, M37 / N37, 0), CONVERT(I37, J37, "kg")))</f>
        <v>0</v>
      </c>
      <c r="P37" s="44">
        <f>IF(J37 = "", I37 * N37, IF(ISNA(CONVERT(I37, J37, "l")), CONVERT(I37, J37, "kg") * IF(M37 &lt;&gt; 0, N37 / M37, 0), CONVERT(I37, J37, "l")))</f>
        <v>2.9573529562499999E-2</v>
      </c>
      <c r="Q37" s="44">
        <f>MROUND(IF(AND(J37 = "", L37 = ""), I37 * recipe13DayScale, IF(ISNA(CONVERT(O37, "kg", L37)), CONVERT(P37 * recipe13DayScale, "l", L37), CONVERT(O37 * recipe13DayScale, "kg", L37))), roundTo)</f>
        <v>2</v>
      </c>
      <c r="R37" s="44">
        <f>recipe13TotScale * IF(L37 = "", Q37 * M37, IF(ISNA(CONVERT(Q37, L37, "kg")), CONVERT(Q37, L37, "l") * IF(N37 &lt;&gt; 0, M37 / N37, 0), CONVERT(Q37, L37, "kg")))</f>
        <v>0</v>
      </c>
      <c r="S37" s="44">
        <f>recipe13TotScale * IF(R37 = 0, IF(L37 = "", Q37 * N37, IF(ISNA(CONVERT(Q37, L37, "l")), CONVERT(Q37, L37, "kg") * IF(M37 &lt;&gt; 0, N37 / M37, 0), CONVERT(Q37, L37, "l"))), 0)</f>
        <v>4.4360294343749995E-2</v>
      </c>
      <c r="T37" s="44">
        <f>recipe13TotScale * IF(AND(R37 = 0, S37 = 0, J37 = "", L37 = ""), Q37, 0)</f>
        <v>0</v>
      </c>
      <c r="V37" s="41" t="b">
        <f>INDEX(itemPrepMethods, MATCH(K37, itemNames, 0))="chop"</f>
        <v>1</v>
      </c>
      <c r="W37" s="54">
        <f>IF(V37, Q37, "")</f>
        <v>2</v>
      </c>
      <c r="X37" s="55" t="str">
        <f>IF(V37, IF(L37 = "", "", L37), "")</f>
        <v>tbs</v>
      </c>
      <c r="Y37" s="55" t="str">
        <f>IF(V37, K37, "")</f>
        <v>minced fresh ginger</v>
      </c>
      <c r="Z37" s="56"/>
      <c r="AA37" s="41" t="b">
        <f>INDEX(itemPrepMethods, MATCH(K37, itemNames, 0))="soak"</f>
        <v>0</v>
      </c>
      <c r="AB37" s="55" t="str">
        <f>IF(AA37, Q37, "")</f>
        <v/>
      </c>
      <c r="AC37" s="55" t="str">
        <f>IF(AA37, IF(L37 = "", "", L37), "")</f>
        <v/>
      </c>
      <c r="AD37" s="55" t="str">
        <f>IF(AA37, K37, "")</f>
        <v/>
      </c>
    </row>
    <row r="38" spans="1:30" ht="15.75" thickBot="1" x14ac:dyDescent="0.3">
      <c r="A38" s="37" t="s">
        <v>21</v>
      </c>
      <c r="B38" s="49">
        <f>Q38</f>
        <v>1</v>
      </c>
      <c r="C38" s="36" t="str">
        <f>IF(L38="","",L38)</f>
        <v>tbs</v>
      </c>
      <c r="D38" s="62" t="str">
        <f t="shared" si="64"/>
        <v>finely chopped fresh corriander</v>
      </c>
      <c r="E38" s="63" t="s">
        <v>352</v>
      </c>
      <c r="F38" s="47">
        <f>F37/F34</f>
        <v>1.5</v>
      </c>
      <c r="G38" s="48" t="s">
        <v>358</v>
      </c>
      <c r="H38" s="50"/>
      <c r="I38" s="51">
        <v>1</v>
      </c>
      <c r="J38" s="52" t="s">
        <v>15</v>
      </c>
      <c r="K38" s="52" t="s">
        <v>386</v>
      </c>
      <c r="L38" s="53" t="s">
        <v>15</v>
      </c>
      <c r="M38" s="44">
        <f>INDEX(itemGPerQty, MATCH(K38, itemNames, 0))</f>
        <v>0</v>
      </c>
      <c r="N38" s="44">
        <f>INDEX(itemMlPerQty, MATCH(K38, itemNames, 0))</f>
        <v>0</v>
      </c>
      <c r="O38" s="44">
        <f>IF(J38 = "", I38 * M38, IF(ISNA(CONVERT(I38, J38, "kg")), CONVERT(I38, J38, "l") * IF(N38 &lt;&gt; 0, M38 / N38, 0), CONVERT(I38, J38, "kg")))</f>
        <v>0</v>
      </c>
      <c r="P38" s="44">
        <f>IF(J38 = "", I38 * N38, IF(ISNA(CONVERT(I38, J38, "l")), CONVERT(I38, J38, "kg") * IF(M38 &lt;&gt; 0, N38 / M38, 0), CONVERT(I38, J38, "l")))</f>
        <v>1.478676478125E-2</v>
      </c>
      <c r="Q38" s="44">
        <f>MROUND(IF(AND(J38 = "", L38 = ""), I38 * recipe13DayScale, IF(ISNA(CONVERT(O38, "kg", L38)), CONVERT(P38 * recipe13DayScale, "l", L38), CONVERT(O38 * recipe13DayScale, "kg", L38))), roundTo)</f>
        <v>1</v>
      </c>
      <c r="R38" s="44">
        <f>recipe13TotScale * IF(L38 = "", Q38 * M38, IF(ISNA(CONVERT(Q38, L38, "kg")), CONVERT(Q38, L38, "l") * IF(N38 &lt;&gt; 0, M38 / N38, 0), CONVERT(Q38, L38, "kg")))</f>
        <v>0</v>
      </c>
      <c r="S38" s="44">
        <f>recipe13TotScale * IF(R38 = 0, IF(L38 = "", Q38 * N38, IF(ISNA(CONVERT(Q38, L38, "l")), CONVERT(Q38, L38, "kg") * IF(M38 &lt;&gt; 0, N38 / M38, 0), CONVERT(Q38, L38, "l"))), 0)</f>
        <v>2.2180147171874998E-2</v>
      </c>
      <c r="T38" s="44">
        <f>recipe13TotScale * IF(AND(R38 = 0, S38 = 0, J38 = "", L38 = ""), Q38, 0)</f>
        <v>0</v>
      </c>
      <c r="V38" s="41" t="b">
        <f>INDEX(itemPrepMethods, MATCH(K38, itemNames, 0))="chop"</f>
        <v>1</v>
      </c>
      <c r="W38" s="54">
        <f>IF(V38, Q38, "")</f>
        <v>1</v>
      </c>
      <c r="X38" s="55" t="str">
        <f>IF(V38, IF(L38 = "", "", L38), "")</f>
        <v>tbs</v>
      </c>
      <c r="Y38" s="55" t="str">
        <f>IF(V38, K38, "")</f>
        <v>finely chopped fresh corriander</v>
      </c>
      <c r="Z38" s="56"/>
      <c r="AA38" s="41" t="b">
        <f>INDEX(itemPrepMethods, MATCH(K38, itemNames, 0))="soak"</f>
        <v>0</v>
      </c>
      <c r="AB38" s="55" t="str">
        <f>IF(AA38, Q38, "")</f>
        <v/>
      </c>
      <c r="AC38" s="55" t="str">
        <f>IF(AA38, IF(L38 = "", "", L38), "")</f>
        <v/>
      </c>
      <c r="AD38" s="55" t="str">
        <f>IF(AA38, K38, "")</f>
        <v/>
      </c>
    </row>
    <row r="39" spans="1:30" x14ac:dyDescent="0.25">
      <c r="A39" s="37" t="s">
        <v>21</v>
      </c>
      <c r="B39" s="49">
        <f>Q39</f>
        <v>3</v>
      </c>
      <c r="C39" s="36" t="str">
        <f>IF(L39="","",L39)</f>
        <v>cup</v>
      </c>
      <c r="D39" s="62" t="str">
        <f t="shared" si="64"/>
        <v>blocks tofu, cut into cubes</v>
      </c>
      <c r="H39" s="50"/>
      <c r="I39" s="51">
        <v>3</v>
      </c>
      <c r="J39" s="52" t="s">
        <v>16</v>
      </c>
      <c r="K39" s="52" t="s">
        <v>260</v>
      </c>
      <c r="L39" s="53" t="s">
        <v>16</v>
      </c>
      <c r="M39" s="44">
        <f>INDEX(itemGPerQty, MATCH(K39, itemNames, 0))</f>
        <v>0</v>
      </c>
      <c r="N39" s="44">
        <f>INDEX(itemMlPerQty, MATCH(K39, itemNames, 0))</f>
        <v>0</v>
      </c>
      <c r="O39" s="44">
        <f>IF(J39 = "", I39 * M39, IF(ISNA(CONVERT(I39, J39, "kg")), CONVERT(I39, J39, "l") * IF(N39 &lt;&gt; 0, M39 / N39, 0), CONVERT(I39, J39, "kg")))</f>
        <v>0</v>
      </c>
      <c r="P39" s="44">
        <f>IF(J39 = "", I39 * N39, IF(ISNA(CONVERT(I39, J39, "l")), CONVERT(I39, J39, "kg") * IF(M39 &lt;&gt; 0, N39 / M39, 0), CONVERT(I39, J39, "l")))</f>
        <v>0.70976470949999992</v>
      </c>
      <c r="Q39" s="44">
        <f>MROUND(IF(AND(J39 = "", L39 = ""), I39 * recipe13DayScale, IF(ISNA(CONVERT(O39, "kg", L39)), CONVERT(P39 * recipe13DayScale, "l", L39), CONVERT(O39 * recipe13DayScale, "kg", L39))), roundTo)</f>
        <v>3</v>
      </c>
      <c r="R39" s="44">
        <f>recipe13TotScale * IF(L39 = "", Q39 * M39, IF(ISNA(CONVERT(Q39, L39, "kg")), CONVERT(Q39, L39, "l") * IF(N39 &lt;&gt; 0, M39 / N39, 0), CONVERT(Q39, L39, "kg")))</f>
        <v>0</v>
      </c>
      <c r="S39" s="44">
        <f>recipe13TotScale * IF(R39 = 0, IF(L39 = "", Q39 * N39, IF(ISNA(CONVERT(Q39, L39, "l")), CONVERT(Q39, L39, "kg") * IF(M39 &lt;&gt; 0, N39 / M39, 0), CONVERT(Q39, L39, "l"))), 0)</f>
        <v>1.0646470642499999</v>
      </c>
      <c r="T39" s="44">
        <f>recipe13TotScale * IF(AND(R39 = 0, S39 = 0, J39 = "", L39 = ""), Q39, 0)</f>
        <v>0</v>
      </c>
      <c r="V39" s="41" t="b">
        <f>INDEX(itemPrepMethods, MATCH(K39, itemNames, 0))="chop"</f>
        <v>1</v>
      </c>
      <c r="W39" s="54">
        <f>IF(V39, Q39, "")</f>
        <v>3</v>
      </c>
      <c r="X39" s="55" t="str">
        <f>IF(V39, IF(L39 = "", "", L39), "")</f>
        <v>cup</v>
      </c>
      <c r="Y39" s="55" t="str">
        <f>IF(V39, K39, "")</f>
        <v>blocks tofu, cut into cubes</v>
      </c>
      <c r="Z39" s="56"/>
      <c r="AA39" s="41" t="b">
        <f>INDEX(itemPrepMethods, MATCH(K39, itemNames, 0))="soak"</f>
        <v>0</v>
      </c>
      <c r="AB39" s="55" t="str">
        <f>IF(AA39, Q39, "")</f>
        <v/>
      </c>
      <c r="AC39" s="55" t="str">
        <f>IF(AA39, IF(L39 = "", "", L39), "")</f>
        <v/>
      </c>
      <c r="AD39" s="55" t="str">
        <f>IF(AA39, K39, "")</f>
        <v/>
      </c>
    </row>
    <row r="40" spans="1:30" x14ac:dyDescent="0.25">
      <c r="A40" s="115"/>
      <c r="B40" s="115"/>
      <c r="C40" s="115"/>
      <c r="D40" s="115"/>
      <c r="I40" s="44"/>
      <c r="W40" s="71"/>
      <c r="X40" s="71"/>
      <c r="Y40" s="71"/>
      <c r="Z40" s="71"/>
      <c r="AA40" s="64"/>
      <c r="AB40" s="71"/>
      <c r="AC40" s="71"/>
      <c r="AD40" s="71"/>
    </row>
    <row r="41" spans="1:30" x14ac:dyDescent="0.25">
      <c r="A41" s="115" t="s">
        <v>117</v>
      </c>
      <c r="B41" s="115"/>
      <c r="C41" s="115"/>
      <c r="D41" s="115"/>
      <c r="I41" s="44"/>
      <c r="W41" s="71"/>
      <c r="X41" s="71"/>
      <c r="Y41" s="71"/>
      <c r="Z41" s="71"/>
      <c r="AA41" s="64"/>
      <c r="AB41" s="71"/>
      <c r="AC41" s="71"/>
      <c r="AD41" s="71"/>
    </row>
    <row r="42" spans="1:30" x14ac:dyDescent="0.25">
      <c r="A42" s="37" t="s">
        <v>21</v>
      </c>
      <c r="B42" s="49">
        <f t="shared" ref="B42:B53" si="65">Q42</f>
        <v>1</v>
      </c>
      <c r="C42" s="36" t="str">
        <f t="shared" ref="C42:C53" si="66">IF(L42="","",L42)</f>
        <v>cup</v>
      </c>
      <c r="D42" s="62" t="str">
        <f t="shared" ref="D42:D53" si="67">_xlfn.CONCAT(K42, U42)</f>
        <v>chopped carrots</v>
      </c>
      <c r="H42" s="50"/>
      <c r="I42" s="51">
        <v>1</v>
      </c>
      <c r="J42" s="52" t="s">
        <v>16</v>
      </c>
      <c r="K42" s="52" t="s">
        <v>5</v>
      </c>
      <c r="L42" s="53" t="s">
        <v>16</v>
      </c>
      <c r="M42" s="44">
        <f t="shared" ref="M42:M53" si="68">INDEX(itemGPerQty, MATCH(K42, itemNames, 0))</f>
        <v>0.14833333333333334</v>
      </c>
      <c r="N42" s="44">
        <f t="shared" ref="N42:N53" si="69">INDEX(itemMlPerQty, MATCH(K42, itemNames, 0))</f>
        <v>0.19999999999999998</v>
      </c>
      <c r="O42" s="44">
        <f t="shared" ref="O42:O53" si="70">IF(J42 = "", I42 * M42, IF(ISNA(CONVERT(I42, J42, "kg")), CONVERT(I42, J42, "l") * IF(N42 &lt;&gt; 0, M42 / N42, 0), CONVERT(I42, J42, "kg")))</f>
        <v>0.17546960873750003</v>
      </c>
      <c r="P42" s="44">
        <f t="shared" ref="P42:P53" si="71">IF(J42 = "", I42 * N42, IF(ISNA(CONVERT(I42, J42, "l")), CONVERT(I42, J42, "kg") * IF(M42 &lt;&gt; 0, N42 / M42, 0), CONVERT(I42, J42, "l")))</f>
        <v>0.23658823649999999</v>
      </c>
      <c r="Q42" s="44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4">
        <f t="shared" ref="R42:R53" si="73">recipe13TotScale * IF(L42 = "", Q42 * M42, IF(ISNA(CONVERT(Q42, L42, "kg")), CONVERT(Q42, L42, "l") * IF(N42 &lt;&gt; 0, M42 / N42, 0), CONVERT(Q42, L42, "kg")))</f>
        <v>0.26320441310625003</v>
      </c>
      <c r="S42" s="44">
        <f t="shared" ref="S42:S53" si="74">recipe13TotScale * IF(R42 = 0, IF(L42 = "", Q42 * N42, IF(ISNA(CONVERT(Q42, L42, "l")), CONVERT(Q42, L42, "kg") * IF(M42 &lt;&gt; 0, N42 / M42, 0), CONVERT(Q42, L42, "l"))), 0)</f>
        <v>0</v>
      </c>
      <c r="T42" s="44">
        <f t="shared" ref="T42:T53" si="75">recipe13TotScale * IF(AND(R42 = 0, S42 = 0, J42 = "", L42 = ""), Q42, 0)</f>
        <v>0</v>
      </c>
      <c r="V42" s="41" t="b">
        <f t="shared" ref="V42:V53" si="76">INDEX(itemPrepMethods, MATCH(K42, itemNames, 0))="chop"</f>
        <v>1</v>
      </c>
      <c r="W42" s="54">
        <f t="shared" ref="W42:W53" si="77">IF(V42, Q42, "")</f>
        <v>1</v>
      </c>
      <c r="X42" s="55" t="str">
        <f t="shared" ref="X42:X53" si="78">IF(V42, IF(L42 = "", "", L42), "")</f>
        <v>cup</v>
      </c>
      <c r="Y42" s="55" t="str">
        <f t="shared" ref="Y42:Y53" si="79">IF(V42, K42, "")</f>
        <v>chopped carrots</v>
      </c>
      <c r="Z42" s="56"/>
      <c r="AA42" s="41" t="b">
        <f t="shared" ref="AA42:AA53" si="80">INDEX(itemPrepMethods, MATCH(K42, itemNames, 0))="soak"</f>
        <v>0</v>
      </c>
      <c r="AB42" s="55" t="str">
        <f t="shared" ref="AB42:AB53" si="81">IF(AA42, Q42, "")</f>
        <v/>
      </c>
      <c r="AC42" s="55" t="str">
        <f t="shared" ref="AC42:AC53" si="82">IF(AA42, IF(L42 = "", "", L42), "")</f>
        <v/>
      </c>
      <c r="AD42" s="55" t="str">
        <f t="shared" ref="AD42:AD53" si="83">IF(AA42, K42, "")</f>
        <v/>
      </c>
    </row>
    <row r="43" spans="1:30" x14ac:dyDescent="0.25">
      <c r="A43" s="37" t="s">
        <v>21</v>
      </c>
      <c r="B43" s="49">
        <f t="shared" si="65"/>
        <v>2</v>
      </c>
      <c r="C43" s="36" t="str">
        <f t="shared" si="66"/>
        <v>cup</v>
      </c>
      <c r="D43" s="62" t="str">
        <f t="shared" si="67"/>
        <v>chopped kumara</v>
      </c>
      <c r="H43" s="50"/>
      <c r="I43" s="51">
        <v>2</v>
      </c>
      <c r="J43" s="52" t="s">
        <v>16</v>
      </c>
      <c r="K43" s="52" t="s">
        <v>151</v>
      </c>
      <c r="L43" s="53" t="s">
        <v>16</v>
      </c>
      <c r="M43" s="44">
        <f t="shared" si="68"/>
        <v>0.34</v>
      </c>
      <c r="N43" s="44">
        <f t="shared" si="69"/>
        <v>0</v>
      </c>
      <c r="O43" s="44">
        <f t="shared" si="70"/>
        <v>0</v>
      </c>
      <c r="P43" s="44">
        <f t="shared" si="71"/>
        <v>0.47317647299999999</v>
      </c>
      <c r="Q43" s="44">
        <f t="shared" si="72"/>
        <v>2</v>
      </c>
      <c r="R43" s="44">
        <f t="shared" si="73"/>
        <v>0</v>
      </c>
      <c r="S43" s="44">
        <f t="shared" si="74"/>
        <v>0.70976470949999992</v>
      </c>
      <c r="T43" s="44">
        <f t="shared" si="75"/>
        <v>0</v>
      </c>
      <c r="V43" s="41" t="b">
        <f t="shared" si="76"/>
        <v>1</v>
      </c>
      <c r="W43" s="54">
        <f t="shared" si="77"/>
        <v>2</v>
      </c>
      <c r="X43" s="55" t="str">
        <f t="shared" si="78"/>
        <v>cup</v>
      </c>
      <c r="Y43" s="55" t="str">
        <f t="shared" si="79"/>
        <v>chopped kumara</v>
      </c>
      <c r="Z43" s="56"/>
      <c r="AA43" s="41" t="b">
        <f t="shared" si="80"/>
        <v>0</v>
      </c>
      <c r="AB43" s="55" t="str">
        <f t="shared" si="81"/>
        <v/>
      </c>
      <c r="AC43" s="55" t="str">
        <f t="shared" si="82"/>
        <v/>
      </c>
      <c r="AD43" s="55" t="str">
        <f t="shared" si="83"/>
        <v/>
      </c>
    </row>
    <row r="44" spans="1:30" x14ac:dyDescent="0.25">
      <c r="A44" s="37" t="s">
        <v>21</v>
      </c>
      <c r="B44" s="49">
        <f t="shared" si="65"/>
        <v>1.5</v>
      </c>
      <c r="C44" s="36" t="str">
        <f t="shared" si="66"/>
        <v>cup</v>
      </c>
      <c r="D44" s="62" t="str">
        <f t="shared" si="67"/>
        <v>chopped broccoli</v>
      </c>
      <c r="H44" s="50"/>
      <c r="I44" s="51">
        <v>1.5</v>
      </c>
      <c r="J44" s="52" t="s">
        <v>16</v>
      </c>
      <c r="K44" s="52" t="s">
        <v>114</v>
      </c>
      <c r="L44" s="53" t="s">
        <v>16</v>
      </c>
      <c r="M44" s="44">
        <f t="shared" si="68"/>
        <v>0.313</v>
      </c>
      <c r="N44" s="44">
        <f t="shared" si="69"/>
        <v>0</v>
      </c>
      <c r="O44" s="44">
        <f t="shared" si="70"/>
        <v>0</v>
      </c>
      <c r="P44" s="44">
        <f t="shared" si="71"/>
        <v>0.35488235474999996</v>
      </c>
      <c r="Q44" s="44">
        <f t="shared" si="72"/>
        <v>1.5</v>
      </c>
      <c r="R44" s="44">
        <f t="shared" si="73"/>
        <v>0</v>
      </c>
      <c r="S44" s="44">
        <f t="shared" si="74"/>
        <v>0.53232353212499994</v>
      </c>
      <c r="T44" s="44">
        <f t="shared" si="75"/>
        <v>0</v>
      </c>
      <c r="V44" s="41" t="b">
        <f t="shared" si="76"/>
        <v>1</v>
      </c>
      <c r="W44" s="54">
        <f t="shared" si="77"/>
        <v>1.5</v>
      </c>
      <c r="X44" s="55" t="str">
        <f t="shared" si="78"/>
        <v>cup</v>
      </c>
      <c r="Y44" s="55" t="str">
        <f t="shared" si="79"/>
        <v>chopped broccoli</v>
      </c>
      <c r="Z44" s="56"/>
      <c r="AA44" s="41" t="b">
        <f t="shared" si="80"/>
        <v>0</v>
      </c>
      <c r="AB44" s="55" t="str">
        <f t="shared" si="81"/>
        <v/>
      </c>
      <c r="AC44" s="55" t="str">
        <f t="shared" si="82"/>
        <v/>
      </c>
      <c r="AD44" s="55" t="str">
        <f t="shared" si="83"/>
        <v/>
      </c>
    </row>
    <row r="45" spans="1:30" x14ac:dyDescent="0.25">
      <c r="A45" s="37" t="s">
        <v>21</v>
      </c>
      <c r="B45" s="49">
        <f t="shared" si="65"/>
        <v>1</v>
      </c>
      <c r="C45" s="36" t="str">
        <f t="shared" si="66"/>
        <v>cup</v>
      </c>
      <c r="D45" s="62" t="str">
        <f t="shared" si="67"/>
        <v>chopped red capsicums</v>
      </c>
      <c r="H45" s="50"/>
      <c r="I45" s="51">
        <v>1</v>
      </c>
      <c r="J45" s="52" t="s">
        <v>16</v>
      </c>
      <c r="K45" s="52" t="s">
        <v>387</v>
      </c>
      <c r="L45" s="53" t="s">
        <v>16</v>
      </c>
      <c r="M45" s="44">
        <f t="shared" si="68"/>
        <v>0.1885</v>
      </c>
      <c r="N45" s="44">
        <f t="shared" si="69"/>
        <v>0.25</v>
      </c>
      <c r="O45" s="44">
        <f t="shared" si="70"/>
        <v>0.17838753032099999</v>
      </c>
      <c r="P45" s="44">
        <f t="shared" si="71"/>
        <v>0.23658823649999999</v>
      </c>
      <c r="Q45" s="44">
        <f t="shared" si="72"/>
        <v>1</v>
      </c>
      <c r="R45" s="44">
        <f t="shared" si="73"/>
        <v>0.2675812954815</v>
      </c>
      <c r="S45" s="44">
        <f t="shared" si="74"/>
        <v>0</v>
      </c>
      <c r="T45" s="44">
        <f t="shared" si="75"/>
        <v>0</v>
      </c>
      <c r="V45" s="41" t="b">
        <f t="shared" si="76"/>
        <v>1</v>
      </c>
      <c r="W45" s="54">
        <f t="shared" si="77"/>
        <v>1</v>
      </c>
      <c r="X45" s="55" t="str">
        <f t="shared" si="78"/>
        <v>cup</v>
      </c>
      <c r="Y45" s="55" t="str">
        <f t="shared" si="79"/>
        <v>chopped red capsicums</v>
      </c>
      <c r="Z45" s="56"/>
      <c r="AA45" s="41" t="b">
        <f t="shared" si="80"/>
        <v>0</v>
      </c>
      <c r="AB45" s="55" t="str">
        <f t="shared" si="81"/>
        <v/>
      </c>
      <c r="AC45" s="55" t="str">
        <f t="shared" si="82"/>
        <v/>
      </c>
      <c r="AD45" s="55" t="str">
        <f t="shared" si="83"/>
        <v/>
      </c>
    </row>
    <row r="46" spans="1:30" s="66" customFormat="1" x14ac:dyDescent="0.25">
      <c r="A46" s="115"/>
      <c r="B46" s="115"/>
      <c r="C46" s="115"/>
      <c r="D46" s="115"/>
      <c r="I46" s="44"/>
      <c r="L46" s="43"/>
      <c r="M46" s="44"/>
      <c r="N46" s="44"/>
      <c r="O46" s="44"/>
      <c r="P46" s="44"/>
      <c r="Q46" s="44"/>
      <c r="R46" s="44"/>
      <c r="S46" s="44"/>
      <c r="T46" s="44"/>
      <c r="W46" s="71"/>
      <c r="X46" s="71"/>
      <c r="Y46" s="71"/>
      <c r="Z46" s="71"/>
      <c r="AB46" s="71"/>
      <c r="AC46" s="71"/>
      <c r="AD46" s="71"/>
    </row>
    <row r="47" spans="1:30" s="66" customFormat="1" x14ac:dyDescent="0.25">
      <c r="A47" s="115" t="s">
        <v>389</v>
      </c>
      <c r="B47" s="115"/>
      <c r="C47" s="115"/>
      <c r="D47" s="115"/>
      <c r="I47" s="44"/>
      <c r="L47" s="43"/>
      <c r="M47" s="44"/>
      <c r="N47" s="44"/>
      <c r="O47" s="44"/>
      <c r="P47" s="44"/>
      <c r="Q47" s="44"/>
      <c r="R47" s="44"/>
      <c r="S47" s="44"/>
      <c r="T47" s="44"/>
      <c r="W47" s="71"/>
      <c r="X47" s="71"/>
      <c r="Y47" s="71"/>
      <c r="Z47" s="71"/>
      <c r="AB47" s="71"/>
      <c r="AC47" s="71"/>
      <c r="AD47" s="71"/>
    </row>
    <row r="48" spans="1:30" x14ac:dyDescent="0.25">
      <c r="A48" s="37" t="s">
        <v>21</v>
      </c>
      <c r="B48" s="49">
        <f t="shared" si="65"/>
        <v>1</v>
      </c>
      <c r="C48" s="36" t="str">
        <f t="shared" si="66"/>
        <v>cup</v>
      </c>
      <c r="D48" s="62" t="str">
        <f t="shared" si="67"/>
        <v>tinned coconut milk</v>
      </c>
      <c r="H48" s="50"/>
      <c r="I48" s="51">
        <v>1</v>
      </c>
      <c r="J48" s="52" t="s">
        <v>16</v>
      </c>
      <c r="K48" s="52" t="s">
        <v>448</v>
      </c>
      <c r="L48" s="53" t="s">
        <v>16</v>
      </c>
      <c r="M48" s="44">
        <f t="shared" si="68"/>
        <v>0</v>
      </c>
      <c r="N48" s="44">
        <f t="shared" si="69"/>
        <v>0</v>
      </c>
      <c r="O48" s="44">
        <f t="shared" si="70"/>
        <v>0</v>
      </c>
      <c r="P48" s="44">
        <f t="shared" si="71"/>
        <v>0.23658823649999999</v>
      </c>
      <c r="Q48" s="44">
        <f t="shared" si="72"/>
        <v>1</v>
      </c>
      <c r="R48" s="44">
        <f t="shared" si="73"/>
        <v>0</v>
      </c>
      <c r="S48" s="44">
        <f t="shared" si="74"/>
        <v>0.35488235474999996</v>
      </c>
      <c r="T48" s="44">
        <f t="shared" si="75"/>
        <v>0</v>
      </c>
      <c r="V48" s="41" t="b">
        <f t="shared" si="76"/>
        <v>0</v>
      </c>
      <c r="W48" s="54" t="str">
        <f t="shared" si="77"/>
        <v/>
      </c>
      <c r="X48" s="55" t="str">
        <f t="shared" si="78"/>
        <v/>
      </c>
      <c r="Y48" s="55" t="str">
        <f t="shared" si="79"/>
        <v/>
      </c>
      <c r="Z48" s="56"/>
      <c r="AA48" s="41" t="b">
        <f t="shared" si="80"/>
        <v>0</v>
      </c>
      <c r="AB48" s="55" t="str">
        <f t="shared" si="81"/>
        <v/>
      </c>
      <c r="AC48" s="55" t="str">
        <f t="shared" si="82"/>
        <v/>
      </c>
      <c r="AD48" s="55" t="str">
        <f t="shared" si="83"/>
        <v/>
      </c>
    </row>
    <row r="49" spans="1:30" s="66" customFormat="1" x14ac:dyDescent="0.25">
      <c r="A49" s="115"/>
      <c r="B49" s="115"/>
      <c r="C49" s="115"/>
      <c r="D49" s="115"/>
      <c r="I49" s="44"/>
      <c r="L49" s="43"/>
      <c r="M49" s="44"/>
      <c r="N49" s="44"/>
      <c r="O49" s="44"/>
      <c r="P49" s="44"/>
      <c r="Q49" s="44"/>
      <c r="R49" s="44"/>
      <c r="S49" s="44"/>
      <c r="T49" s="44"/>
      <c r="W49" s="71"/>
      <c r="X49" s="71"/>
      <c r="Y49" s="71"/>
      <c r="Z49" s="71"/>
      <c r="AB49" s="71"/>
      <c r="AC49" s="71"/>
      <c r="AD49" s="71"/>
    </row>
    <row r="50" spans="1:30" s="66" customFormat="1" x14ac:dyDescent="0.25">
      <c r="A50" s="115" t="s">
        <v>390</v>
      </c>
      <c r="B50" s="115"/>
      <c r="C50" s="115"/>
      <c r="D50" s="115"/>
      <c r="I50" s="44"/>
      <c r="L50" s="43"/>
      <c r="M50" s="44"/>
      <c r="N50" s="44"/>
      <c r="O50" s="44"/>
      <c r="P50" s="44"/>
      <c r="Q50" s="44"/>
      <c r="R50" s="44"/>
      <c r="S50" s="44"/>
      <c r="T50" s="44"/>
      <c r="W50" s="71"/>
      <c r="X50" s="71"/>
      <c r="Y50" s="71"/>
      <c r="Z50" s="71"/>
      <c r="AB50" s="71"/>
      <c r="AC50" s="71"/>
      <c r="AD50" s="71"/>
    </row>
    <row r="51" spans="1:30" s="66" customFormat="1" x14ac:dyDescent="0.25">
      <c r="A51" s="65" t="s">
        <v>21</v>
      </c>
      <c r="B51" s="49">
        <f t="shared" ref="B51" si="84">Q51</f>
        <v>8</v>
      </c>
      <c r="C51" s="36" t="str">
        <f t="shared" ref="C51" si="85">IF(L51="","",L51)</f>
        <v>tbs</v>
      </c>
      <c r="D51" s="65" t="str">
        <f t="shared" ref="D51" si="86">_xlfn.CONCAT(K51, U51)</f>
        <v>gluten free soy sauce</v>
      </c>
      <c r="H51" s="50"/>
      <c r="I51" s="51">
        <v>8</v>
      </c>
      <c r="J51" s="52" t="s">
        <v>15</v>
      </c>
      <c r="K51" s="52" t="s">
        <v>186</v>
      </c>
      <c r="L51" s="53" t="s">
        <v>15</v>
      </c>
      <c r="M51" s="44">
        <f t="shared" ref="M51" si="87">INDEX(itemGPerQty, MATCH(K51, itemNames, 0))</f>
        <v>0</v>
      </c>
      <c r="N51" s="44">
        <f t="shared" ref="N51" si="88">INDEX(itemMlPerQty, MATCH(K51, itemNames, 0))</f>
        <v>0</v>
      </c>
      <c r="O51" s="44">
        <f t="shared" ref="O51" si="89">IF(J51 = "", I51 * M51, IF(ISNA(CONVERT(I51, J51, "kg")), CONVERT(I51, J51, "l") * IF(N51 &lt;&gt; 0, M51 / N51, 0), CONVERT(I51, J51, "kg")))</f>
        <v>0</v>
      </c>
      <c r="P51" s="44">
        <f t="shared" ref="P51" si="90">IF(J51 = "", I51 * N51, IF(ISNA(CONVERT(I51, J51, "l")), CONVERT(I51, J51, "kg") * IF(M51 &lt;&gt; 0, N51 / M51, 0), CONVERT(I51, J51, "l")))</f>
        <v>0.11829411825</v>
      </c>
      <c r="Q51" s="44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4">
        <f t="shared" ref="R51" si="92">recipe13TotScale * IF(L51 = "", Q51 * M51, IF(ISNA(CONVERT(Q51, L51, "kg")), CONVERT(Q51, L51, "l") * IF(N51 &lt;&gt; 0, M51 / N51, 0), CONVERT(Q51, L51, "kg")))</f>
        <v>0</v>
      </c>
      <c r="S51" s="44">
        <f t="shared" ref="S51" si="93">recipe13TotScale * IF(R51 = 0, IF(L51 = "", Q51 * N51, IF(ISNA(CONVERT(Q51, L51, "l")), CONVERT(Q51, L51, "kg") * IF(M51 &lt;&gt; 0, N51 / M51, 0), CONVERT(Q51, L51, "l"))), 0)</f>
        <v>0.17744117737499998</v>
      </c>
      <c r="T51" s="44">
        <f t="shared" ref="T51" si="94">recipe13TotScale * IF(AND(R51 = 0, S51 = 0, J51 = "", L51 = ""), Q51, 0)</f>
        <v>0</v>
      </c>
      <c r="V51" s="66" t="b">
        <f t="shared" ref="V51" si="95">INDEX(itemPrepMethods, MATCH(K51, itemNames, 0))="chop"</f>
        <v>0</v>
      </c>
      <c r="W51" s="54" t="str">
        <f t="shared" ref="W51" si="96">IF(V51, Q51, "")</f>
        <v/>
      </c>
      <c r="X51" s="55" t="str">
        <f t="shared" ref="X51" si="97">IF(V51, IF(L51 = "", "", L51), "")</f>
        <v/>
      </c>
      <c r="Y51" s="55" t="str">
        <f t="shared" ref="Y51" si="98">IF(V51, K51, "")</f>
        <v/>
      </c>
      <c r="Z51" s="56"/>
      <c r="AA51" s="66" t="b">
        <f t="shared" ref="AA51" si="99">INDEX(itemPrepMethods, MATCH(K51, itemNames, 0))="soak"</f>
        <v>0</v>
      </c>
      <c r="AB51" s="55" t="str">
        <f t="shared" ref="AB51" si="100">IF(AA51, Q51, "")</f>
        <v/>
      </c>
      <c r="AC51" s="55" t="str">
        <f t="shared" ref="AC51" si="101">IF(AA51, IF(L51 = "", "", L51), "")</f>
        <v/>
      </c>
      <c r="AD51" s="55" t="str">
        <f t="shared" ref="AD51" si="102">IF(AA51, K51, "")</f>
        <v/>
      </c>
    </row>
    <row r="52" spans="1:30" s="66" customFormat="1" x14ac:dyDescent="0.25">
      <c r="A52" s="65" t="s">
        <v>21</v>
      </c>
      <c r="B52" s="49">
        <f t="shared" ref="B52" si="103">Q52</f>
        <v>1</v>
      </c>
      <c r="C52" s="36" t="str">
        <f t="shared" ref="C52" si="104">IF(L52="","",L52)</f>
        <v>cup</v>
      </c>
      <c r="D52" s="65" t="str">
        <f t="shared" ref="D52" si="105">_xlfn.CONCAT(K52, U52)</f>
        <v>finely chopped spinach</v>
      </c>
      <c r="H52" s="50"/>
      <c r="I52" s="51">
        <v>1</v>
      </c>
      <c r="J52" s="52" t="s">
        <v>16</v>
      </c>
      <c r="K52" s="52" t="s">
        <v>392</v>
      </c>
      <c r="L52" s="53" t="s">
        <v>16</v>
      </c>
      <c r="M52" s="44">
        <f t="shared" ref="M52" si="106">INDEX(itemGPerQty, MATCH(K52, itemNames, 0))</f>
        <v>0</v>
      </c>
      <c r="N52" s="44">
        <f t="shared" ref="N52" si="107">INDEX(itemMlPerQty, MATCH(K52, itemNames, 0))</f>
        <v>0</v>
      </c>
      <c r="O52" s="44">
        <f t="shared" ref="O52" si="108">IF(J52 = "", I52 * M52, IF(ISNA(CONVERT(I52, J52, "kg")), CONVERT(I52, J52, "l") * IF(N52 &lt;&gt; 0, M52 / N52, 0), CONVERT(I52, J52, "kg")))</f>
        <v>0</v>
      </c>
      <c r="P52" s="44">
        <f t="shared" ref="P52" si="109">IF(J52 = "", I52 * N52, IF(ISNA(CONVERT(I52, J52, "l")), CONVERT(I52, J52, "kg") * IF(M52 &lt;&gt; 0, N52 / M52, 0), CONVERT(I52, J52, "l")))</f>
        <v>0.23658823649999999</v>
      </c>
      <c r="Q52" s="44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4">
        <f t="shared" ref="R52" si="111">recipe13TotScale * IF(L52 = "", Q52 * M52, IF(ISNA(CONVERT(Q52, L52, "kg")), CONVERT(Q52, L52, "l") * IF(N52 &lt;&gt; 0, M52 / N52, 0), CONVERT(Q52, L52, "kg")))</f>
        <v>0</v>
      </c>
      <c r="S52" s="44">
        <f t="shared" ref="S52" si="112">recipe13TotScale * IF(R52 = 0, IF(L52 = "", Q52 * N52, IF(ISNA(CONVERT(Q52, L52, "l")), CONVERT(Q52, L52, "kg") * IF(M52 &lt;&gt; 0, N52 / M52, 0), CONVERT(Q52, L52, "l"))), 0)</f>
        <v>0.35488235474999996</v>
      </c>
      <c r="T52" s="44">
        <f t="shared" ref="T52" si="113">recipe13TotScale * IF(AND(R52 = 0, S52 = 0, J52 = "", L52 = ""), Q52, 0)</f>
        <v>0</v>
      </c>
      <c r="V52" s="66" t="b">
        <f t="shared" ref="V52" si="114">INDEX(itemPrepMethods, MATCH(K52, itemNames, 0))="chop"</f>
        <v>1</v>
      </c>
      <c r="W52" s="54">
        <f t="shared" ref="W52" si="115">IF(V52, Q52, "")</f>
        <v>1</v>
      </c>
      <c r="X52" s="55" t="str">
        <f t="shared" ref="X52" si="116">IF(V52, IF(L52 = "", "", L52), "")</f>
        <v>cup</v>
      </c>
      <c r="Y52" s="55" t="str">
        <f t="shared" ref="Y52" si="117">IF(V52, K52, "")</f>
        <v>finely chopped spinach</v>
      </c>
      <c r="Z52" s="56"/>
      <c r="AA52" s="66" t="b">
        <f t="shared" ref="AA52" si="118">INDEX(itemPrepMethods, MATCH(K52, itemNames, 0))="soak"</f>
        <v>0</v>
      </c>
      <c r="AB52" s="55" t="str">
        <f t="shared" ref="AB52" si="119">IF(AA52, Q52, "")</f>
        <v/>
      </c>
      <c r="AC52" s="55" t="str">
        <f t="shared" ref="AC52" si="120">IF(AA52, IF(L52 = "", "", L52), "")</f>
        <v/>
      </c>
      <c r="AD52" s="55" t="str">
        <f t="shared" ref="AD52" si="121">IF(AA52, K52, "")</f>
        <v/>
      </c>
    </row>
    <row r="53" spans="1:30" x14ac:dyDescent="0.25">
      <c r="A53" s="37" t="s">
        <v>21</v>
      </c>
      <c r="B53" s="49">
        <f t="shared" si="65"/>
        <v>2</v>
      </c>
      <c r="C53" s="36" t="str">
        <f t="shared" si="66"/>
        <v>tsp</v>
      </c>
      <c r="D53" s="62" t="str">
        <f t="shared" si="67"/>
        <v>ground corriander</v>
      </c>
      <c r="H53" s="50"/>
      <c r="I53" s="51">
        <v>2</v>
      </c>
      <c r="J53" s="52" t="s">
        <v>13</v>
      </c>
      <c r="K53" s="52" t="s">
        <v>149</v>
      </c>
      <c r="L53" s="53" t="s">
        <v>13</v>
      </c>
      <c r="M53" s="44">
        <f t="shared" si="68"/>
        <v>0</v>
      </c>
      <c r="N53" s="44">
        <f t="shared" si="69"/>
        <v>0</v>
      </c>
      <c r="O53" s="44">
        <f t="shared" si="70"/>
        <v>0</v>
      </c>
      <c r="P53" s="44">
        <f t="shared" si="71"/>
        <v>9.8578431874999997E-3</v>
      </c>
      <c r="Q53" s="44">
        <f t="shared" si="72"/>
        <v>2</v>
      </c>
      <c r="R53" s="44">
        <f t="shared" si="73"/>
        <v>0</v>
      </c>
      <c r="S53" s="44">
        <f t="shared" si="74"/>
        <v>1.478676478125E-2</v>
      </c>
      <c r="T53" s="44">
        <f t="shared" si="75"/>
        <v>0</v>
      </c>
      <c r="V53" s="41" t="b">
        <f t="shared" si="76"/>
        <v>0</v>
      </c>
      <c r="W53" s="54" t="str">
        <f t="shared" si="77"/>
        <v/>
      </c>
      <c r="X53" s="55" t="str">
        <f t="shared" si="78"/>
        <v/>
      </c>
      <c r="Y53" s="55" t="str">
        <f t="shared" si="79"/>
        <v/>
      </c>
      <c r="Z53" s="56"/>
      <c r="AA53" s="41" t="b">
        <f t="shared" si="80"/>
        <v>0</v>
      </c>
      <c r="AB53" s="55" t="str">
        <f t="shared" si="81"/>
        <v/>
      </c>
      <c r="AC53" s="55" t="str">
        <f t="shared" si="82"/>
        <v/>
      </c>
      <c r="AD53" s="55" t="str">
        <f t="shared" si="83"/>
        <v/>
      </c>
    </row>
    <row r="54" spans="1:30" ht="15.75" x14ac:dyDescent="0.25">
      <c r="A54" s="117" t="s">
        <v>23</v>
      </c>
      <c r="B54" s="117"/>
      <c r="C54" s="117"/>
      <c r="D54" s="117"/>
      <c r="E54" s="39" t="s">
        <v>125</v>
      </c>
      <c r="F54" s="100" t="s">
        <v>90</v>
      </c>
      <c r="G54" s="100"/>
    </row>
    <row r="55" spans="1:30" ht="24" x14ac:dyDescent="0.2">
      <c r="A55" s="121" t="s">
        <v>20</v>
      </c>
      <c r="B55" s="121"/>
      <c r="C55" s="121"/>
      <c r="D55" s="121"/>
      <c r="E55" s="39" t="s">
        <v>53</v>
      </c>
      <c r="F55" s="87">
        <v>11</v>
      </c>
      <c r="G55" s="44"/>
      <c r="H55" s="44"/>
      <c r="I55" s="67" t="s">
        <v>434</v>
      </c>
      <c r="J55" s="68" t="s">
        <v>435</v>
      </c>
      <c r="K55" s="68" t="s">
        <v>17</v>
      </c>
      <c r="L55" s="69" t="s">
        <v>438</v>
      </c>
      <c r="M55" s="67" t="s">
        <v>141</v>
      </c>
      <c r="N55" s="67" t="s">
        <v>142</v>
      </c>
      <c r="O55" s="67" t="s">
        <v>436</v>
      </c>
      <c r="P55" s="67" t="s">
        <v>437</v>
      </c>
      <c r="Q55" s="68" t="s">
        <v>353</v>
      </c>
      <c r="R55" s="67" t="s">
        <v>354</v>
      </c>
      <c r="S55" s="67" t="s">
        <v>355</v>
      </c>
      <c r="T55" s="67" t="s">
        <v>356</v>
      </c>
      <c r="U55" s="68" t="s">
        <v>22</v>
      </c>
      <c r="V55" s="68" t="s">
        <v>202</v>
      </c>
      <c r="W55" s="70" t="s">
        <v>353</v>
      </c>
      <c r="X55" s="68" t="s">
        <v>200</v>
      </c>
      <c r="Y55" s="68" t="s">
        <v>201</v>
      </c>
      <c r="Z55" s="68" t="s">
        <v>302</v>
      </c>
      <c r="AA55" s="68" t="s">
        <v>203</v>
      </c>
      <c r="AB55" s="70" t="s">
        <v>353</v>
      </c>
      <c r="AC55" s="68" t="s">
        <v>204</v>
      </c>
      <c r="AD55" s="68" t="s">
        <v>205</v>
      </c>
    </row>
    <row r="56" spans="1:30" ht="13.5" thickBot="1" x14ac:dyDescent="0.3">
      <c r="A56" s="118" t="str">
        <f>_xlfn.CONCAT(F56," servings")</f>
        <v>10 servings</v>
      </c>
      <c r="B56" s="118"/>
      <c r="C56" s="118"/>
      <c r="D56" s="118"/>
      <c r="E56" s="63" t="s">
        <v>348</v>
      </c>
      <c r="F56" s="87">
        <f>saLuCount</f>
        <v>10</v>
      </c>
      <c r="G56" s="44"/>
      <c r="H56" s="44"/>
      <c r="I56" s="60"/>
      <c r="J56" s="39"/>
      <c r="K56" s="39"/>
      <c r="L56" s="61"/>
      <c r="M56" s="60"/>
      <c r="N56" s="60"/>
      <c r="O56" s="60"/>
      <c r="P56" s="60"/>
      <c r="Q56" s="39"/>
      <c r="R56" s="60"/>
      <c r="S56" s="60"/>
      <c r="T56" s="60"/>
      <c r="U56" s="39"/>
    </row>
    <row r="57" spans="1:30" s="102" customFormat="1" ht="15.75" thickBot="1" x14ac:dyDescent="0.3">
      <c r="A57" s="115"/>
      <c r="B57" s="115"/>
      <c r="C57" s="115"/>
      <c r="D57" s="115"/>
      <c r="E57" s="63" t="s">
        <v>351</v>
      </c>
      <c r="F57" s="47">
        <f>F56/F55</f>
        <v>0.90909090909090906</v>
      </c>
      <c r="G57" s="48" t="s">
        <v>359</v>
      </c>
      <c r="H57" s="44"/>
      <c r="I57" s="60"/>
      <c r="J57" s="100"/>
      <c r="K57" s="100"/>
      <c r="L57" s="61"/>
      <c r="M57" s="60"/>
      <c r="N57" s="60"/>
      <c r="O57" s="60"/>
      <c r="P57" s="60"/>
      <c r="Q57" s="100"/>
      <c r="R57" s="60"/>
      <c r="S57" s="60"/>
      <c r="T57" s="60"/>
      <c r="U57" s="100"/>
      <c r="W57" s="45"/>
      <c r="Z57" s="46"/>
    </row>
    <row r="58" spans="1:30" x14ac:dyDescent="0.25">
      <c r="A58" s="115" t="s">
        <v>394</v>
      </c>
      <c r="B58" s="115"/>
      <c r="C58" s="115"/>
      <c r="D58" s="115"/>
      <c r="E58" s="64"/>
      <c r="F58" s="64"/>
      <c r="G58" s="64"/>
      <c r="H58" s="44"/>
      <c r="I58" s="44"/>
    </row>
    <row r="59" spans="1:30" ht="15.75" thickBot="1" x14ac:dyDescent="0.3">
      <c r="A59" s="37" t="s">
        <v>21</v>
      </c>
      <c r="B59" s="49">
        <f>Q59</f>
        <v>1.75</v>
      </c>
      <c r="C59" s="36" t="str">
        <f>IF(L59="","",L59)</f>
        <v>kg</v>
      </c>
      <c r="D59" s="37" t="str">
        <f>_xlfn.CONCAT(K59, U59)</f>
        <v>chopped potatoes</v>
      </c>
      <c r="E59" s="63" t="s">
        <v>327</v>
      </c>
      <c r="F59" s="64">
        <f>saLuCount</f>
        <v>10</v>
      </c>
      <c r="G59" s="64"/>
      <c r="H59" s="50"/>
      <c r="I59" s="51">
        <v>2</v>
      </c>
      <c r="J59" s="52" t="s">
        <v>12</v>
      </c>
      <c r="K59" s="52" t="s">
        <v>4</v>
      </c>
      <c r="L59" s="53" t="s">
        <v>12</v>
      </c>
      <c r="M59" s="44">
        <f>INDEX(itemGPerQty, MATCH(K59, itemNames, 0))</f>
        <v>0.22500000000000001</v>
      </c>
      <c r="N59" s="44">
        <f>INDEX(itemMlPerQty, MATCH(K59, itemNames, 0))</f>
        <v>0.33750000000000002</v>
      </c>
      <c r="O59" s="44">
        <f t="shared" ref="O59:O60" si="122">IF(J59 = "", I59 * M59, IF(ISNA(CONVERT(I59, J59, "kg")), CONVERT(I59, J59, "l") * IF(N59 &lt;&gt; 0, M59 / N59, 0), CONVERT(I59, J59, "kg")))</f>
        <v>2</v>
      </c>
      <c r="P59" s="44">
        <f t="shared" ref="P59:P60" si="123">IF(J59 = "", I59 * N59, IF(ISNA(CONVERT(I59, J59, "l")), CONVERT(I59, J59, "kg") * IF(M59 &lt;&gt; 0, N59 / M59, 0), CONVERT(I59, J59, "l")))</f>
        <v>3</v>
      </c>
      <c r="Q59" s="44">
        <f>MROUND(IF(AND(J59 = "", L59 = ""), I59 * recipe01DayScale, IF(ISNA(CONVERT(O59, "kg", L59)), CONVERT(P59 * recipe01DayScale, "l", L59), CONVERT(O59 * recipe01DayScale, "kg", L59))), roundTo)</f>
        <v>1.75</v>
      </c>
      <c r="R59" s="44">
        <f>recipe01TotScale * IF(L59 = "", Q59 * M59, IF(ISNA(CONVERT(Q59, L59, "kg")), CONVERT(Q59, L59, "l") * IF(N59 &lt;&gt; 0, M59 / N59, 0), CONVERT(Q59, L59, "kg")))</f>
        <v>1.75</v>
      </c>
      <c r="S59" s="44">
        <f>recipe01TotScale * IF(R59 = 0, IF(L59 = "", Q59 * N59, IF(ISNA(CONVERT(Q59, L59, "l")), CONVERT(Q59, L59, "kg") * IF(M59 &lt;&gt; 0, N59 / M59, 0), CONVERT(Q59, L59, "l"))), 0)</f>
        <v>0</v>
      </c>
      <c r="T59" s="44">
        <f>recipe01TotScale * IF(AND(R59 = 0, S59 = 0, J59 = "", L59 = ""), Q59, 0)</f>
        <v>0</v>
      </c>
      <c r="V59" s="41" t="b">
        <f>INDEX(itemPrepMethods, MATCH(K59, itemNames, 0))="chop"</f>
        <v>1</v>
      </c>
      <c r="W59" s="54">
        <f>IF(V59, Q59, "")</f>
        <v>1.75</v>
      </c>
      <c r="X59" s="55" t="str">
        <f>IF(V59, IF(L59 = "", "", L59), "")</f>
        <v>kg</v>
      </c>
      <c r="Y59" s="55" t="str">
        <f>IF(V59, K59, "")</f>
        <v>chopped potatoes</v>
      </c>
      <c r="Z59" s="56"/>
      <c r="AA59" s="41" t="b">
        <f>INDEX(itemPrepMethods, MATCH(K59, itemNames, 0))="soak"</f>
        <v>0</v>
      </c>
      <c r="AB59" s="55" t="str">
        <f>IF(AA59, Q59, "")</f>
        <v/>
      </c>
      <c r="AC59" s="55" t="str">
        <f>IF(AA59, IF(L59 = "", "", L59), "")</f>
        <v/>
      </c>
      <c r="AD59" s="55" t="str">
        <f>IF(AA59, K59, "")</f>
        <v/>
      </c>
    </row>
    <row r="60" spans="1:30" ht="15.75" thickBot="1" x14ac:dyDescent="0.3">
      <c r="A60" s="37" t="s">
        <v>21</v>
      </c>
      <c r="B60" s="49">
        <f>Q60</f>
        <v>3.75</v>
      </c>
      <c r="C60" s="36" t="str">
        <f>IF(L60="","",L60)</f>
        <v>cup</v>
      </c>
      <c r="D60" s="37" t="str">
        <f>_xlfn.CONCAT(K60, U60)</f>
        <v>split peas. Soaked by Tenzo the night before. Rinse and drain first</v>
      </c>
      <c r="E60" s="63" t="s">
        <v>352</v>
      </c>
      <c r="F60" s="47">
        <f>F59/F56</f>
        <v>1</v>
      </c>
      <c r="G60" s="48" t="s">
        <v>360</v>
      </c>
      <c r="I60" s="51">
        <v>4</v>
      </c>
      <c r="J60" s="52" t="s">
        <v>16</v>
      </c>
      <c r="K60" s="52" t="s">
        <v>7</v>
      </c>
      <c r="L60" s="53" t="s">
        <v>16</v>
      </c>
      <c r="M60" s="44">
        <f>INDEX(itemGPerQty, MATCH(K60, itemNames, 0))</f>
        <v>0.84699999999999998</v>
      </c>
      <c r="N60" s="44">
        <f>INDEX(itemMlPerQty, MATCH(K60, itemNames, 0))</f>
        <v>0.946353</v>
      </c>
      <c r="O60" s="44">
        <f t="shared" si="122"/>
        <v>0.84699995166919739</v>
      </c>
      <c r="P60" s="44">
        <f t="shared" si="123"/>
        <v>0.94635294599999997</v>
      </c>
      <c r="Q60" s="44">
        <f>MROUND(IF(AND(J60 = "", L60 = ""), I60 * recipe01DayScale, IF(ISNA(CONVERT(O60, "kg", L60)), CONVERT(P60 * recipe01DayScale, "l", L60), CONVERT(O60 * recipe01DayScale, "kg", L60))), roundTo)</f>
        <v>3.75</v>
      </c>
      <c r="R60" s="44">
        <f>recipe01TotScale * IF(L60 = "", Q60 * M60, IF(ISNA(CONVERT(Q60, L60, "kg")), CONVERT(Q60, L60, "l") * IF(N60 &lt;&gt; 0, M60 / N60, 0), CONVERT(Q60, L60, "kg")))</f>
        <v>0.79406245468987258</v>
      </c>
      <c r="S60" s="44">
        <f>recipe01TotScale * IF(R60 = 0, IF(L60 = "", Q60 * N60, IF(ISNA(CONVERT(Q60, L60, "l")), CONVERT(Q60, L60, "kg") * IF(M60 &lt;&gt; 0, N60 / M60, 0), CONVERT(Q60, L60, "l"))), 0)</f>
        <v>0</v>
      </c>
      <c r="T60" s="44">
        <f>recipe01TotScale * IF(AND(R60 = 0, S60 = 0, J60 = "", L60 = ""), Q60, 0)</f>
        <v>0</v>
      </c>
      <c r="U60" s="41" t="s">
        <v>234</v>
      </c>
      <c r="V60" s="41" t="b">
        <f>INDEX(itemPrepMethods, MATCH(K60, itemNames, 0))="chop"</f>
        <v>0</v>
      </c>
      <c r="W60" s="54" t="str">
        <f>IF(V60, Q60, "")</f>
        <v/>
      </c>
      <c r="X60" s="55" t="str">
        <f>IF(V60, IF(L60 = "", "", L60), "")</f>
        <v/>
      </c>
      <c r="Y60" s="55" t="str">
        <f>IF(V60, K60, "")</f>
        <v/>
      </c>
      <c r="Z60" s="56"/>
      <c r="AA60" s="41" t="b">
        <f>INDEX(itemPrepMethods, MATCH(K60, itemNames, 0))="soak"</f>
        <v>1</v>
      </c>
      <c r="AB60" s="55">
        <f>IF(AA60, Q60, "")</f>
        <v>3.75</v>
      </c>
      <c r="AC60" s="55" t="str">
        <f>IF(AA60, IF(L60 = "", "", L60), "")</f>
        <v>cup</v>
      </c>
      <c r="AD60" s="55" t="str">
        <f>IF(AA60, K60, "")</f>
        <v>split peas</v>
      </c>
    </row>
    <row r="61" spans="1:30" x14ac:dyDescent="0.25">
      <c r="A61" s="115"/>
      <c r="B61" s="115"/>
      <c r="C61" s="115"/>
      <c r="D61" s="115"/>
      <c r="I61" s="44"/>
      <c r="M61" s="41"/>
      <c r="N61" s="41"/>
      <c r="W61" s="71"/>
      <c r="X61" s="71"/>
      <c r="Y61" s="71"/>
      <c r="Z61" s="71"/>
      <c r="AA61" s="64"/>
      <c r="AB61" s="71"/>
      <c r="AC61" s="71"/>
      <c r="AD61" s="71"/>
    </row>
    <row r="62" spans="1:30" x14ac:dyDescent="0.25">
      <c r="A62" s="115" t="s">
        <v>19</v>
      </c>
      <c r="B62" s="115"/>
      <c r="C62" s="115"/>
      <c r="D62" s="115"/>
      <c r="I62" s="44"/>
      <c r="M62" s="41"/>
      <c r="N62" s="41"/>
      <c r="W62" s="71"/>
      <c r="X62" s="71"/>
      <c r="Y62" s="71"/>
      <c r="Z62" s="71"/>
      <c r="AA62" s="64"/>
      <c r="AB62" s="71"/>
      <c r="AC62" s="71"/>
      <c r="AD62" s="71"/>
    </row>
    <row r="63" spans="1:30" x14ac:dyDescent="0.25">
      <c r="A63" s="37" t="s">
        <v>21</v>
      </c>
      <c r="B63" s="49">
        <f>Q63</f>
        <v>6.25</v>
      </c>
      <c r="C63" s="36" t="str">
        <f>IF(L63="","",L63)</f>
        <v/>
      </c>
      <c r="D63" s="37" t="str">
        <f>_xlfn.CONCAT(K63, U63)</f>
        <v>garlic cloves. Remove from oil once cooked</v>
      </c>
      <c r="I63" s="51">
        <v>7</v>
      </c>
      <c r="J63" s="52"/>
      <c r="K63" s="52" t="s">
        <v>8</v>
      </c>
      <c r="L63" s="53"/>
      <c r="M63" s="44">
        <f>INDEX(itemGPerQty, MATCH(K63, itemNames, 0))</f>
        <v>0</v>
      </c>
      <c r="N63" s="44">
        <f>INDEX(itemMlPerQty, MATCH(K63, itemNames, 0))</f>
        <v>0</v>
      </c>
      <c r="O63" s="44">
        <f t="shared" ref="O63" si="124">IF(J63 = "", I63 * M63, IF(ISNA(CONVERT(I63, J63, "kg")), CONVERT(I63, J63, "l") * IF(N63 &lt;&gt; 0, M63 / N63, 0), CONVERT(I63, J63, "kg")))</f>
        <v>0</v>
      </c>
      <c r="P63" s="44">
        <f t="shared" ref="P63" si="125">IF(J63 = "", I63 * N63, IF(ISNA(CONVERT(I63, J63, "l")), CONVERT(I63, J63, "kg") * IF(M63 &lt;&gt; 0, N63 / M63, 0), CONVERT(I63, J63, "l")))</f>
        <v>0</v>
      </c>
      <c r="Q63" s="44">
        <f>MROUND(IF(AND(J63 = "", L63 = ""), I63 * recipe01DayScale, IF(ISNA(CONVERT(O63, "kg", L63)), CONVERT(P63 * recipe01DayScale, "l", L63), CONVERT(O63 * recipe01DayScale, "kg", L63))), roundTo)</f>
        <v>6.25</v>
      </c>
      <c r="R63" s="44">
        <f>recipe01TotScale * IF(L63 = "", Q63 * M63, IF(ISNA(CONVERT(Q63, L63, "kg")), CONVERT(Q63, L63, "l") * IF(N63 &lt;&gt; 0, M63 / N63, 0), CONVERT(Q63, L63, "kg")))</f>
        <v>0</v>
      </c>
      <c r="S63" s="44">
        <f>recipe01TotScale * IF(R63 = 0, IF(L63 = "", Q63 * N63, IF(ISNA(CONVERT(Q63, L63, "l")), CONVERT(Q63, L63, "kg") * IF(M63 &lt;&gt; 0, N63 / M63, 0), CONVERT(Q63, L63, "l"))), 0)</f>
        <v>0</v>
      </c>
      <c r="T63" s="44">
        <f>recipe01TotScale * IF(AND(R63 = 0, S63 = 0, J63 = "", L63 = ""), Q63, 0)</f>
        <v>6.25</v>
      </c>
      <c r="U63" s="41" t="s">
        <v>233</v>
      </c>
      <c r="V63" s="41" t="b">
        <f>INDEX(itemPrepMethods, MATCH(K63, itemNames, 0))="chop"</f>
        <v>0</v>
      </c>
      <c r="W63" s="54" t="str">
        <f>IF(V63, Q63, "")</f>
        <v/>
      </c>
      <c r="X63" s="55" t="str">
        <f>IF(V63, IF(L63 = "", "", L63), "")</f>
        <v/>
      </c>
      <c r="Y63" s="55" t="str">
        <f>IF(V63, K63, "")</f>
        <v/>
      </c>
      <c r="Z63" s="56"/>
      <c r="AA63" s="41" t="b">
        <f>INDEX(itemPrepMethods, MATCH(K63, itemNames, 0))="soak"</f>
        <v>0</v>
      </c>
      <c r="AB63" s="55" t="str">
        <f>IF(AA63, Q63, "")</f>
        <v/>
      </c>
      <c r="AC63" s="55" t="str">
        <f>IF(AA63, IF(L63 = "", "", L63), "")</f>
        <v/>
      </c>
      <c r="AD63" s="55" t="str">
        <f>IF(AA63, K63, "")</f>
        <v/>
      </c>
    </row>
    <row r="64" spans="1:30" x14ac:dyDescent="0.25">
      <c r="A64" s="37" t="s">
        <v>21</v>
      </c>
      <c r="B64" s="49">
        <f>Q64</f>
        <v>2</v>
      </c>
      <c r="C64" s="36" t="str">
        <f>IF(L64="","",L64)</f>
        <v/>
      </c>
      <c r="D64" s="37" t="str">
        <f>_xlfn.CONCAT(K64, U64)</f>
        <v>chopped onions</v>
      </c>
      <c r="I64" s="51">
        <v>2.25</v>
      </c>
      <c r="J64" s="52"/>
      <c r="K64" s="52" t="s">
        <v>6</v>
      </c>
      <c r="L64" s="53"/>
      <c r="M64" s="44">
        <f>INDEX(itemGPerQty, MATCH(K64, itemNames, 0))</f>
        <v>0.185</v>
      </c>
      <c r="N64" s="44">
        <f>INDEX(itemMlPerQty, MATCH(K64, itemNames, 0))</f>
        <v>0.3</v>
      </c>
      <c r="O64" s="44">
        <f>IF(J64 = "", I64 * M64, IF(ISNA(CONVERT(I64, J64, "kg")), CONVERT(I64, J64, "l") * IF(N64 &lt;&gt; 0, M64 / N64, 0), CONVERT(I64, J64, "kg")))</f>
        <v>0.41625000000000001</v>
      </c>
      <c r="P64" s="44">
        <f>IF(J64 = "", I64 * N64, IF(ISNA(CONVERT(I64, J64, "l")), CONVERT(I64, J64, "kg") * IF(M64 &lt;&gt; 0, N64 / M64, 0), CONVERT(I64, J64, "l")))</f>
        <v>0.67499999999999993</v>
      </c>
      <c r="Q64" s="44">
        <f>MROUND(IF(AND(J64 = "", L64 = ""), I64 * recipe01DayScale, IF(ISNA(CONVERT(O64, "kg", L64)), CONVERT(P64 * recipe01DayScale, "l", L64), CONVERT(O64 * recipe01DayScale, "kg", L64))), roundTo)</f>
        <v>2</v>
      </c>
      <c r="R64" s="44">
        <f>recipe01TotScale * IF(L64 = "", Q64 * M64, IF(ISNA(CONVERT(Q64, L64, "kg")), CONVERT(Q64, L64, "l") * IF(N64 &lt;&gt; 0, M64 / N64, 0), CONVERT(Q64, L64, "kg")))</f>
        <v>0.37</v>
      </c>
      <c r="S64" s="44">
        <f>recipe01TotScale * IF(R64 = 0, IF(L64 = "", Q64 * N64, IF(ISNA(CONVERT(Q64, L64, "l")), CONVERT(Q64, L64, "kg") * IF(M64 &lt;&gt; 0, N64 / M64, 0), CONVERT(Q64, L64, "l"))), 0)</f>
        <v>0</v>
      </c>
      <c r="T64" s="44">
        <f>recipe01TotScale * IF(AND(R64 = 0, S64 = 0, J64 = "", L64 = ""), Q64, 0)</f>
        <v>0</v>
      </c>
      <c r="V64" s="41" t="b">
        <f>INDEX(itemPrepMethods, MATCH(K64, itemNames, 0))="chop"</f>
        <v>1</v>
      </c>
      <c r="W64" s="54">
        <f>IF(V64, Q64, "")</f>
        <v>2</v>
      </c>
      <c r="X64" s="55" t="str">
        <f>IF(V64, IF(L64 = "", "", L64), "")</f>
        <v/>
      </c>
      <c r="Y64" s="55" t="str">
        <f>IF(V64, K64, "")</f>
        <v>chopped onions</v>
      </c>
      <c r="Z64" s="56"/>
      <c r="AA64" s="41" t="b">
        <f>INDEX(itemPrepMethods, MATCH(K64, itemNames, 0))="soak"</f>
        <v>0</v>
      </c>
      <c r="AB64" s="55" t="str">
        <f>IF(AA64, Q64, "")</f>
        <v/>
      </c>
      <c r="AC64" s="55" t="str">
        <f>IF(AA64, IF(L64 = "", "", L64), "")</f>
        <v/>
      </c>
      <c r="AD64" s="55" t="str">
        <f>IF(AA64, K64, "")</f>
        <v/>
      </c>
    </row>
    <row r="65" spans="1:30" x14ac:dyDescent="0.25">
      <c r="A65" s="115"/>
      <c r="B65" s="115"/>
      <c r="C65" s="115"/>
      <c r="D65" s="115"/>
      <c r="I65" s="44"/>
      <c r="M65" s="41"/>
      <c r="N65" s="41"/>
      <c r="W65" s="71"/>
      <c r="X65" s="71"/>
      <c r="Y65" s="71"/>
      <c r="Z65" s="71"/>
      <c r="AA65" s="64"/>
      <c r="AB65" s="71"/>
      <c r="AC65" s="71"/>
      <c r="AD65" s="71"/>
    </row>
    <row r="66" spans="1:30" x14ac:dyDescent="0.25">
      <c r="A66" s="115" t="s">
        <v>209</v>
      </c>
      <c r="B66" s="115"/>
      <c r="C66" s="115"/>
      <c r="D66" s="115"/>
      <c r="I66" s="44"/>
      <c r="M66" s="41"/>
      <c r="N66" s="41"/>
      <c r="W66" s="71"/>
      <c r="X66" s="71"/>
      <c r="Y66" s="71"/>
      <c r="Z66" s="71"/>
      <c r="AA66" s="64"/>
      <c r="AB66" s="71"/>
      <c r="AC66" s="71"/>
      <c r="AD66" s="71"/>
    </row>
    <row r="67" spans="1:30" x14ac:dyDescent="0.25">
      <c r="A67" s="37" t="s">
        <v>21</v>
      </c>
      <c r="B67" s="49">
        <f>Q67</f>
        <v>4.5</v>
      </c>
      <c r="C67" s="36" t="str">
        <f>IF(L67="","",L67)</f>
        <v>tbs</v>
      </c>
      <c r="D67" s="37" t="str">
        <f>_xlfn.CONCAT(K67, U67)</f>
        <v>curry powder</v>
      </c>
      <c r="I67" s="51">
        <v>5</v>
      </c>
      <c r="J67" s="52" t="s">
        <v>15</v>
      </c>
      <c r="K67" s="52" t="s">
        <v>9</v>
      </c>
      <c r="L67" s="53" t="s">
        <v>15</v>
      </c>
      <c r="M67" s="44">
        <f>INDEX(itemGPerQty, MATCH(K67, itemNames, 0))</f>
        <v>1.2E-2</v>
      </c>
      <c r="N67" s="44">
        <f>INDEX(itemMlPerQty, MATCH(K67, itemNames, 0))</f>
        <v>2.2180100000000001E-2</v>
      </c>
      <c r="O67" s="44">
        <f t="shared" ref="O67:O71" si="126">IF(J67 = "", I67 * M67, IF(ISNA(CONVERT(I67, J67, "kg")), CONVERT(I67, J67, "l") * IF(N67 &lt;&gt; 0, M67 / N67, 0), CONVERT(I67, J67, "kg")))</f>
        <v>4.0000085070626371E-2</v>
      </c>
      <c r="P67" s="44">
        <f t="shared" ref="P67:P71" si="127">IF(J67 = "", I67 * N67, IF(ISNA(CONVERT(I67, J67, "l")), CONVERT(I67, J67, "kg") * IF(M67 &lt;&gt; 0, N67 / M67, 0), CONVERT(I67, J67, "l")))</f>
        <v>7.3933823906250001E-2</v>
      </c>
      <c r="Q67" s="44">
        <f>MROUND(IF(AND(J67 = "", L67 = ""), I67 * recipe01DayScale, IF(ISNA(CONVERT(O67, "kg", L67)), CONVERT(P67 * recipe01DayScale, "l", L67), CONVERT(O67 * recipe01DayScale, "kg", L67))), roundTo)</f>
        <v>4.5</v>
      </c>
      <c r="R67" s="44">
        <f>recipe01TotScale * IF(L67 = "", Q67 * M67, IF(ISNA(CONVERT(Q67, L67, "kg")), CONVERT(Q67, L67, "l") * IF(N67 &lt;&gt; 0, M67 / N67, 0), CONVERT(Q67, L67, "kg")))</f>
        <v>3.6000076563563729E-2</v>
      </c>
      <c r="S67" s="44">
        <f>recipe01TotScale * IF(R67 = 0, IF(L67 = "", Q67 * N67, IF(ISNA(CONVERT(Q67, L67, "l")), CONVERT(Q67, L67, "kg") * IF(M67 &lt;&gt; 0, N67 / M67, 0), CONVERT(Q67, L67, "l"))), 0)</f>
        <v>0</v>
      </c>
      <c r="T67" s="44">
        <f>recipe01TotScale * IF(AND(R67 = 0, S67 = 0, J67 = "", L67 = ""), Q67, 0)</f>
        <v>0</v>
      </c>
      <c r="V67" s="41" t="b">
        <f>INDEX(itemPrepMethods, MATCH(K67, itemNames, 0))="chop"</f>
        <v>0</v>
      </c>
      <c r="W67" s="54" t="str">
        <f>IF(V67, Q67, "")</f>
        <v/>
      </c>
      <c r="X67" s="55" t="str">
        <f>IF(V67, IF(L67 = "", "", L67), "")</f>
        <v/>
      </c>
      <c r="Y67" s="55" t="str">
        <f>IF(V67, K67, "")</f>
        <v/>
      </c>
      <c r="Z67" s="56"/>
      <c r="AA67" s="41" t="b">
        <f>INDEX(itemPrepMethods, MATCH(K67, itemNames, 0))="soak"</f>
        <v>0</v>
      </c>
      <c r="AB67" s="55" t="str">
        <f>IF(AA67, Q67, "")</f>
        <v/>
      </c>
      <c r="AC67" s="55" t="str">
        <f>IF(AA67, IF(L67 = "", "", L67), "")</f>
        <v/>
      </c>
      <c r="AD67" s="55" t="str">
        <f>IF(AA67, K67, "")</f>
        <v/>
      </c>
    </row>
    <row r="68" spans="1:30" x14ac:dyDescent="0.25">
      <c r="A68" s="37" t="s">
        <v>21</v>
      </c>
      <c r="B68" s="49">
        <f>Q68</f>
        <v>3.75</v>
      </c>
      <c r="C68" s="36" t="str">
        <f>IF(L68="","",L68)</f>
        <v>tbs</v>
      </c>
      <c r="D68" s="37" t="str">
        <f>_xlfn.CONCAT(K68, U68)</f>
        <v>garam masala</v>
      </c>
      <c r="I68" s="51">
        <v>4</v>
      </c>
      <c r="J68" s="52" t="s">
        <v>15</v>
      </c>
      <c r="K68" s="52" t="s">
        <v>10</v>
      </c>
      <c r="L68" s="53" t="s">
        <v>15</v>
      </c>
      <c r="M68" s="44">
        <f>INDEX(itemGPerQty, MATCH(K68, itemNames, 0))</f>
        <v>0.01</v>
      </c>
      <c r="N68" s="44">
        <f>INDEX(itemMlPerQty, MATCH(K68, itemNames, 0))</f>
        <v>2.2180100000000001E-2</v>
      </c>
      <c r="O68" s="44">
        <f t="shared" si="126"/>
        <v>2.6666723380417583E-2</v>
      </c>
      <c r="P68" s="44">
        <f t="shared" si="127"/>
        <v>5.9147059124999998E-2</v>
      </c>
      <c r="Q68" s="44">
        <f>MROUND(IF(AND(J68 = "", L68 = ""), I68 * recipe01DayScale, IF(ISNA(CONVERT(O68, "kg", L68)), CONVERT(P68 * recipe01DayScale, "l", L68), CONVERT(O68 * recipe01DayScale, "kg", L68))), roundTo)</f>
        <v>3.75</v>
      </c>
      <c r="R68" s="44">
        <f>recipe01TotScale * IF(L68 = "", Q68 * M68, IF(ISNA(CONVERT(Q68, L68, "kg")), CONVERT(Q68, L68, "l") * IF(N68 &lt;&gt; 0, M68 / N68, 0), CONVERT(Q68, L68, "kg")))</f>
        <v>2.5000053169141483E-2</v>
      </c>
      <c r="S68" s="44">
        <f>recipe01TotScale * IF(R68 = 0, IF(L68 = "", Q68 * N68, IF(ISNA(CONVERT(Q68, L68, "l")), CONVERT(Q68, L68, "kg") * IF(M68 &lt;&gt; 0, N68 / M68, 0), CONVERT(Q68, L68, "l"))), 0)</f>
        <v>0</v>
      </c>
      <c r="T68" s="44">
        <f>recipe01TotScale * IF(AND(R68 = 0, S68 = 0, J68 = "", L68 = ""), Q68, 0)</f>
        <v>0</v>
      </c>
      <c r="V68" s="41" t="b">
        <f>INDEX(itemPrepMethods, MATCH(K68, itemNames, 0))="chop"</f>
        <v>0</v>
      </c>
      <c r="W68" s="54" t="str">
        <f>IF(V68, Q68, "")</f>
        <v/>
      </c>
      <c r="X68" s="55" t="str">
        <f>IF(V68, IF(L68 = "", "", L68), "")</f>
        <v/>
      </c>
      <c r="Y68" s="55" t="str">
        <f>IF(V68, K68, "")</f>
        <v/>
      </c>
      <c r="Z68" s="56"/>
      <c r="AA68" s="41" t="b">
        <f>INDEX(itemPrepMethods, MATCH(K68, itemNames, 0))="soak"</f>
        <v>0</v>
      </c>
      <c r="AB68" s="55" t="str">
        <f>IF(AA68, Q68, "")</f>
        <v/>
      </c>
      <c r="AC68" s="55" t="str">
        <f>IF(AA68, IF(L68 = "", "", L68), "")</f>
        <v/>
      </c>
      <c r="AD68" s="55" t="str">
        <f>IF(AA68, K68, "")</f>
        <v/>
      </c>
    </row>
    <row r="69" spans="1:30" x14ac:dyDescent="0.25">
      <c r="A69" s="37" t="s">
        <v>21</v>
      </c>
      <c r="B69" s="49">
        <f>Q69</f>
        <v>2.75</v>
      </c>
      <c r="C69" s="36" t="str">
        <f>IF(L69="","",L69)</f>
        <v>tsp</v>
      </c>
      <c r="D69" s="37" t="str">
        <f>_xlfn.CONCAT(K69, U69)</f>
        <v>ground turmeric</v>
      </c>
      <c r="I69" s="51">
        <v>3</v>
      </c>
      <c r="J69" s="52" t="s">
        <v>13</v>
      </c>
      <c r="K69" s="52" t="s">
        <v>305</v>
      </c>
      <c r="L69" s="53" t="s">
        <v>13</v>
      </c>
      <c r="M69" s="44">
        <f>INDEX(itemGPerQty, MATCH(K69, itemNames, 0))</f>
        <v>1.4E-2</v>
      </c>
      <c r="N69" s="44">
        <f>INDEX(itemMlPerQty, MATCH(K69, itemNames, 0))</f>
        <v>2.2180100000000001E-2</v>
      </c>
      <c r="O69" s="44">
        <f t="shared" si="126"/>
        <v>9.3333531831461536E-3</v>
      </c>
      <c r="P69" s="44">
        <f t="shared" si="127"/>
        <v>1.478676478125E-2</v>
      </c>
      <c r="Q69" s="44">
        <f>MROUND(IF(AND(J69 = "", L69 = ""), I69 * recipe01DayScale, IF(ISNA(CONVERT(O69, "kg", L69)), CONVERT(P69 * recipe01DayScale, "l", L69), CONVERT(O69 * recipe01DayScale, "kg", L69))), roundTo)</f>
        <v>2.75</v>
      </c>
      <c r="R69" s="44">
        <f>recipe01TotScale * IF(L69 = "", Q69 * M69, IF(ISNA(CONVERT(Q69, L69, "kg")), CONVERT(Q69, L69, "l") * IF(N69 &lt;&gt; 0, M69 / N69, 0), CONVERT(Q69, L69, "kg")))</f>
        <v>8.5555737512173075E-3</v>
      </c>
      <c r="S69" s="44">
        <f>recipe01TotScale * IF(R69 = 0, IF(L69 = "", Q69 * N69, IF(ISNA(CONVERT(Q69, L69, "l")), CONVERT(Q69, L69, "kg") * IF(M69 &lt;&gt; 0, N69 / M69, 0), CONVERT(Q69, L69, "l"))), 0)</f>
        <v>0</v>
      </c>
      <c r="T69" s="44">
        <f>recipe01TotScale * IF(AND(R69 = 0, S69 = 0, J69 = "", L69 = ""), Q69, 0)</f>
        <v>0</v>
      </c>
      <c r="V69" s="41" t="b">
        <f>INDEX(itemPrepMethods, MATCH(K69, itemNames, 0))="chop"</f>
        <v>0</v>
      </c>
      <c r="W69" s="54" t="str">
        <f>IF(V69, Q69, "")</f>
        <v/>
      </c>
      <c r="X69" s="55" t="str">
        <f>IF(V69, IF(L69 = "", "", L69), "")</f>
        <v/>
      </c>
      <c r="Y69" s="55" t="str">
        <f>IF(V69, K69, "")</f>
        <v/>
      </c>
      <c r="Z69" s="56"/>
      <c r="AA69" s="41" t="b">
        <f>INDEX(itemPrepMethods, MATCH(K69, itemNames, 0))="soak"</f>
        <v>0</v>
      </c>
      <c r="AB69" s="55" t="str">
        <f>IF(AA69, Q69, "")</f>
        <v/>
      </c>
      <c r="AC69" s="55" t="str">
        <f>IF(AA69, IF(L69 = "", "", L69), "")</f>
        <v/>
      </c>
      <c r="AD69" s="55" t="str">
        <f>IF(AA69, K69, "")</f>
        <v/>
      </c>
    </row>
    <row r="70" spans="1:30" x14ac:dyDescent="0.25">
      <c r="A70" s="37" t="s">
        <v>21</v>
      </c>
      <c r="B70" s="49">
        <f>Q70</f>
        <v>2.75</v>
      </c>
      <c r="C70" s="36" t="str">
        <f>IF(L70="","",L70)</f>
        <v>tsp</v>
      </c>
      <c r="D70" s="37" t="str">
        <f>_xlfn.CONCAT(K70, U70)</f>
        <v>ground cumin</v>
      </c>
      <c r="I70" s="51">
        <v>3</v>
      </c>
      <c r="J70" s="52" t="s">
        <v>13</v>
      </c>
      <c r="K70" s="52" t="s">
        <v>14</v>
      </c>
      <c r="L70" s="53" t="s">
        <v>13</v>
      </c>
      <c r="M70" s="44">
        <f>INDEX(itemGPerQty, MATCH(K70, itemNames, 0))</f>
        <v>1.0999999999999999E-2</v>
      </c>
      <c r="N70" s="44">
        <f>INDEX(itemMlPerQty, MATCH(K70, itemNames, 0))</f>
        <v>2.2180100000000001E-2</v>
      </c>
      <c r="O70" s="44">
        <f t="shared" si="126"/>
        <v>7.3333489296148338E-3</v>
      </c>
      <c r="P70" s="44">
        <f t="shared" si="127"/>
        <v>1.478676478125E-2</v>
      </c>
      <c r="Q70" s="44">
        <f>MROUND(IF(AND(J70 = "", L70 = ""), I70 * recipe01DayScale, IF(ISNA(CONVERT(O70, "kg", L70)), CONVERT(P70 * recipe01DayScale, "l", L70), CONVERT(O70 * recipe01DayScale, "kg", L70))), roundTo)</f>
        <v>2.75</v>
      </c>
      <c r="R70" s="44">
        <f>recipe01TotScale * IF(L70 = "", Q70 * M70, IF(ISNA(CONVERT(Q70, L70, "kg")), CONVERT(Q70, L70, "l") * IF(N70 &lt;&gt; 0, M70 / N70, 0), CONVERT(Q70, L70, "kg")))</f>
        <v>6.7222365188135983E-3</v>
      </c>
      <c r="S70" s="44">
        <f>recipe01TotScale * IF(R70 = 0, IF(L70 = "", Q70 * N70, IF(ISNA(CONVERT(Q70, L70, "l")), CONVERT(Q70, L70, "kg") * IF(M70 &lt;&gt; 0, N70 / M70, 0), CONVERT(Q70, L70, "l"))), 0)</f>
        <v>0</v>
      </c>
      <c r="T70" s="44">
        <f>recipe01TotScale * IF(AND(R70 = 0, S70 = 0, J70 = "", L70 = ""), Q70, 0)</f>
        <v>0</v>
      </c>
      <c r="V70" s="41" t="b">
        <f>INDEX(itemPrepMethods, MATCH(K70, itemNames, 0))="chop"</f>
        <v>0</v>
      </c>
      <c r="W70" s="54" t="str">
        <f>IF(V70, Q70, "")</f>
        <v/>
      </c>
      <c r="X70" s="55" t="str">
        <f>IF(V70, IF(L70 = "", "", L70), "")</f>
        <v/>
      </c>
      <c r="Y70" s="55" t="str">
        <f>IF(V70, K70, "")</f>
        <v/>
      </c>
      <c r="Z70" s="56"/>
      <c r="AA70" s="41" t="b">
        <f>INDEX(itemPrepMethods, MATCH(K70, itemNames, 0))="soak"</f>
        <v>0</v>
      </c>
      <c r="AB70" s="55" t="str">
        <f>IF(AA70, Q70, "")</f>
        <v/>
      </c>
      <c r="AC70" s="55" t="str">
        <f>IF(AA70, IF(L70 = "", "", L70), "")</f>
        <v/>
      </c>
      <c r="AD70" s="55" t="str">
        <f>IF(AA70, K70, "")</f>
        <v/>
      </c>
    </row>
    <row r="71" spans="1:30" x14ac:dyDescent="0.25">
      <c r="A71" s="37" t="s">
        <v>21</v>
      </c>
      <c r="B71" s="49">
        <f>Q71</f>
        <v>1.75</v>
      </c>
      <c r="C71" s="36" t="str">
        <f>IF(L71="","",L71)</f>
        <v>tsp</v>
      </c>
      <c r="D71" s="37" t="str">
        <f>_xlfn.CONCAT(K71, U71)</f>
        <v>salt</v>
      </c>
      <c r="I71" s="51">
        <v>2</v>
      </c>
      <c r="J71" s="52" t="s">
        <v>13</v>
      </c>
      <c r="K71" s="52" t="s">
        <v>11</v>
      </c>
      <c r="L71" s="53" t="s">
        <v>13</v>
      </c>
      <c r="M71" s="44">
        <f>INDEX(itemGPerQty, MATCH(K71, itemNames, 0))</f>
        <v>2.5000000000000001E-2</v>
      </c>
      <c r="N71" s="44">
        <f>INDEX(itemMlPerQty, MATCH(K71, itemNames, 0))</f>
        <v>2.2180100000000001E-2</v>
      </c>
      <c r="O71" s="44">
        <f t="shared" si="126"/>
        <v>1.111113474184066E-2</v>
      </c>
      <c r="P71" s="44">
        <f t="shared" si="127"/>
        <v>9.8578431874999997E-3</v>
      </c>
      <c r="Q71" s="44">
        <f>MROUND(IF(AND(J71 = "", L71 = ""), I71 * recipe01DayScale, IF(ISNA(CONVERT(O71, "kg", L71)), CONVERT(P71 * recipe01DayScale, "l", L71), CONVERT(O71 * recipe01DayScale, "kg", L71))), roundTo)</f>
        <v>1.75</v>
      </c>
      <c r="R71" s="44">
        <f>recipe01TotScale * IF(L71 = "", Q71 * M71, IF(ISNA(CONVERT(Q71, L71, "kg")), CONVERT(Q71, L71, "l") * IF(N71 &lt;&gt; 0, M71 / N71, 0), CONVERT(Q71, L71, "kg")))</f>
        <v>9.7222428991105784E-3</v>
      </c>
      <c r="S71" s="44">
        <f>recipe01TotScale * IF(R71 = 0, IF(L71 = "", Q71 * N71, IF(ISNA(CONVERT(Q71, L71, "l")), CONVERT(Q71, L71, "kg") * IF(M71 &lt;&gt; 0, N71 / M71, 0), CONVERT(Q71, L71, "l"))), 0)</f>
        <v>0</v>
      </c>
      <c r="T71" s="44">
        <f>recipe01TotScale * IF(AND(R71 = 0, S71 = 0, J71 = "", L71 = ""), Q71, 0)</f>
        <v>0</v>
      </c>
      <c r="V71" s="41" t="b">
        <f>INDEX(itemPrepMethods, MATCH(K71, itemNames, 0))="chop"</f>
        <v>0</v>
      </c>
      <c r="W71" s="54" t="str">
        <f>IF(V71, Q71, "")</f>
        <v/>
      </c>
      <c r="X71" s="55" t="str">
        <f>IF(V71, IF(L71 = "", "", L71), "")</f>
        <v/>
      </c>
      <c r="Y71" s="55" t="str">
        <f>IF(V71, K71, "")</f>
        <v/>
      </c>
      <c r="Z71" s="56"/>
      <c r="AA71" s="41" t="b">
        <f>INDEX(itemPrepMethods, MATCH(K71, itemNames, 0))="soak"</f>
        <v>0</v>
      </c>
      <c r="AB71" s="55" t="str">
        <f>IF(AA71, Q71, "")</f>
        <v/>
      </c>
      <c r="AC71" s="55" t="str">
        <f>IF(AA71, IF(L71 = "", "", L71), "")</f>
        <v/>
      </c>
      <c r="AD71" s="55" t="str">
        <f>IF(AA71, K71, "")</f>
        <v/>
      </c>
    </row>
    <row r="72" spans="1:30" x14ac:dyDescent="0.25">
      <c r="B72" s="49"/>
      <c r="I72" s="41"/>
      <c r="L72" s="41"/>
      <c r="W72" s="41"/>
    </row>
    <row r="73" spans="1:30" x14ac:dyDescent="0.25">
      <c r="A73" s="115" t="s">
        <v>230</v>
      </c>
      <c r="B73" s="115"/>
      <c r="C73" s="115"/>
      <c r="D73" s="115"/>
      <c r="I73" s="41"/>
      <c r="L73" s="41"/>
      <c r="W73" s="41"/>
    </row>
    <row r="74" spans="1:30" x14ac:dyDescent="0.25">
      <c r="A74" s="37" t="s">
        <v>21</v>
      </c>
      <c r="D74" s="37" t="str">
        <f>_xlfn.CONCAT(K74, U74)</f>
        <v>cooked split peas from step 1</v>
      </c>
      <c r="I74" s="44"/>
      <c r="U74" s="41" t="s">
        <v>231</v>
      </c>
      <c r="W74" s="41"/>
    </row>
    <row r="75" spans="1:30" x14ac:dyDescent="0.25">
      <c r="A75" s="37" t="s">
        <v>21</v>
      </c>
      <c r="C75" s="36" t="str">
        <f>IF(L75="","",L75)</f>
        <v/>
      </c>
      <c r="D75" s="37" t="str">
        <f>_xlfn.CONCAT(K75, U75)</f>
        <v>cooked potatoes from step 1. Should be soft but recognisable when served</v>
      </c>
      <c r="I75" s="44"/>
      <c r="J75" s="45"/>
      <c r="L75" s="45"/>
      <c r="M75" s="45"/>
      <c r="N75" s="45"/>
      <c r="O75" s="45"/>
      <c r="P75" s="45"/>
      <c r="U75" s="41" t="s">
        <v>232</v>
      </c>
      <c r="W75" s="41"/>
    </row>
    <row r="76" spans="1:30" x14ac:dyDescent="0.25">
      <c r="A76" s="37" t="s">
        <v>21</v>
      </c>
      <c r="D76" s="37" t="str">
        <f>_xlfn.CONCAT(K76, U76)</f>
        <v>NOTE: sauce will form around potatoes and peas</v>
      </c>
      <c r="I76" s="44"/>
      <c r="U76" s="41" t="s">
        <v>210</v>
      </c>
    </row>
    <row r="77" spans="1:30" ht="15.75" x14ac:dyDescent="0.25">
      <c r="A77" s="117" t="s">
        <v>24</v>
      </c>
      <c r="B77" s="117"/>
      <c r="C77" s="117"/>
      <c r="D77" s="117"/>
      <c r="E77" s="57" t="s">
        <v>126</v>
      </c>
      <c r="F77" s="100" t="s">
        <v>91</v>
      </c>
      <c r="G77" s="100"/>
    </row>
    <row r="78" spans="1:30" ht="24" x14ac:dyDescent="0.2">
      <c r="A78" s="117" t="s">
        <v>25</v>
      </c>
      <c r="B78" s="117"/>
      <c r="C78" s="117"/>
      <c r="D78" s="117"/>
      <c r="E78" s="39" t="s">
        <v>53</v>
      </c>
      <c r="F78" s="87">
        <v>11</v>
      </c>
      <c r="I78" s="67" t="s">
        <v>434</v>
      </c>
      <c r="J78" s="68" t="s">
        <v>435</v>
      </c>
      <c r="K78" s="68" t="s">
        <v>17</v>
      </c>
      <c r="L78" s="69" t="s">
        <v>438</v>
      </c>
      <c r="M78" s="67" t="s">
        <v>141</v>
      </c>
      <c r="N78" s="67" t="s">
        <v>142</v>
      </c>
      <c r="O78" s="67" t="s">
        <v>436</v>
      </c>
      <c r="P78" s="67" t="s">
        <v>437</v>
      </c>
      <c r="Q78" s="68" t="s">
        <v>353</v>
      </c>
      <c r="R78" s="67" t="s">
        <v>354</v>
      </c>
      <c r="S78" s="67" t="s">
        <v>355</v>
      </c>
      <c r="T78" s="67" t="s">
        <v>356</v>
      </c>
      <c r="U78" s="68" t="s">
        <v>22</v>
      </c>
      <c r="V78" s="68" t="s">
        <v>202</v>
      </c>
      <c r="W78" s="70" t="s">
        <v>353</v>
      </c>
      <c r="X78" s="68" t="s">
        <v>200</v>
      </c>
      <c r="Y78" s="68" t="s">
        <v>201</v>
      </c>
      <c r="Z78" s="68" t="s">
        <v>302</v>
      </c>
      <c r="AA78" s="68" t="s">
        <v>203</v>
      </c>
      <c r="AB78" s="70" t="s">
        <v>353</v>
      </c>
      <c r="AC78" s="68" t="s">
        <v>204</v>
      </c>
      <c r="AD78" s="68" t="s">
        <v>205</v>
      </c>
    </row>
    <row r="79" spans="1:30" ht="13.5" thickBot="1" x14ac:dyDescent="0.3">
      <c r="A79" s="118" t="str">
        <f>_xlfn.CONCAT(F79," servings")</f>
        <v>10 servings</v>
      </c>
      <c r="B79" s="118"/>
      <c r="C79" s="118"/>
      <c r="D79" s="118"/>
      <c r="E79" s="63" t="s">
        <v>348</v>
      </c>
      <c r="F79" s="87">
        <f>saDiCount</f>
        <v>10</v>
      </c>
      <c r="G79" s="44"/>
      <c r="I79" s="60"/>
      <c r="J79" s="39"/>
      <c r="K79" s="39"/>
      <c r="L79" s="61"/>
      <c r="M79" s="60"/>
      <c r="N79" s="60"/>
      <c r="O79" s="60"/>
      <c r="P79" s="60"/>
      <c r="Q79" s="39"/>
      <c r="R79" s="60"/>
      <c r="S79" s="60"/>
      <c r="T79" s="60"/>
      <c r="U79" s="39"/>
    </row>
    <row r="80" spans="1:30" s="102" customFormat="1" ht="15.75" thickBot="1" x14ac:dyDescent="0.3">
      <c r="A80" s="115"/>
      <c r="B80" s="115"/>
      <c r="C80" s="115"/>
      <c r="D80" s="115"/>
      <c r="E80" s="63" t="s">
        <v>351</v>
      </c>
      <c r="F80" s="47">
        <f>F79/F78</f>
        <v>0.90909090909090906</v>
      </c>
      <c r="G80" s="48" t="s">
        <v>361</v>
      </c>
      <c r="I80" s="60"/>
      <c r="J80" s="100"/>
      <c r="K80" s="100"/>
      <c r="L80" s="61"/>
      <c r="M80" s="60"/>
      <c r="N80" s="60"/>
      <c r="O80" s="60"/>
      <c r="P80" s="60"/>
      <c r="Q80" s="100"/>
      <c r="R80" s="60"/>
      <c r="S80" s="60"/>
      <c r="T80" s="60"/>
      <c r="U80" s="100"/>
      <c r="W80" s="45"/>
      <c r="Z80" s="46"/>
    </row>
    <row r="81" spans="1:30" x14ac:dyDescent="0.25">
      <c r="A81" s="115" t="s">
        <v>18</v>
      </c>
      <c r="B81" s="115"/>
      <c r="C81" s="115"/>
      <c r="D81" s="115"/>
      <c r="E81" s="64"/>
      <c r="F81" s="64"/>
      <c r="G81" s="64"/>
      <c r="H81" s="44"/>
      <c r="I81" s="44"/>
    </row>
    <row r="82" spans="1:30" ht="15.75" thickBot="1" x14ac:dyDescent="0.3">
      <c r="A82" s="37" t="s">
        <v>21</v>
      </c>
      <c r="B82" s="49">
        <f>Q82</f>
        <v>1.5</v>
      </c>
      <c r="C82" s="36" t="str">
        <f>IF(L82="","",L82)</f>
        <v>cup</v>
      </c>
      <c r="D82" s="37" t="str">
        <f>_xlfn.CONCAT(K82, U82)</f>
        <v>chickpeas. Soaked by Tenzo the night before. Rinse and drain first</v>
      </c>
      <c r="E82" s="63" t="s">
        <v>327</v>
      </c>
      <c r="F82" s="64">
        <f>saDiCount</f>
        <v>10</v>
      </c>
      <c r="G82" s="64"/>
      <c r="H82" s="50"/>
      <c r="I82" s="51">
        <v>1.75</v>
      </c>
      <c r="J82" s="52" t="s">
        <v>16</v>
      </c>
      <c r="K82" s="52" t="s">
        <v>93</v>
      </c>
      <c r="L82" s="53" t="s">
        <v>16</v>
      </c>
      <c r="M82" s="44">
        <f>INDEX(itemGPerQty, MATCH(K82, itemNames, 0))</f>
        <v>0.76300000000000001</v>
      </c>
      <c r="N82" s="44">
        <f>INDEX(itemMlPerQty, MATCH(K82, itemNames, 0))</f>
        <v>0.946353</v>
      </c>
      <c r="O82" s="44">
        <f>IF(J82 = "", I82 * M82, IF(ISNA(CONVERT(I82, J82, "kg")), CONVERT(I82, J82, "l") * IF(N82 &lt;&gt; 0, M82 / N82, 0), CONVERT(I82, J82, "kg")))</f>
        <v>0.33381248095227151</v>
      </c>
      <c r="P82" s="44">
        <f>IF(J82 = "", I82 * N82, IF(ISNA(CONVERT(I82, J82, "l")), CONVERT(I82, J82, "kg") * IF(M82 &lt;&gt; 0, N82 / M82, 0), CONVERT(I82, J82, "l")))</f>
        <v>0.41402941387499997</v>
      </c>
      <c r="Q82" s="44">
        <f>MROUND(IF(AND(J82 = "", L82 = ""), I82 * recipe02DayScale, IF(ISNA(CONVERT(O82, "kg", L82)), CONVERT(P82 * recipe02DayScale, "l", L82), CONVERT(O82 * recipe02DayScale, "kg", L82))), roundTo)</f>
        <v>1.5</v>
      </c>
      <c r="R82" s="44">
        <f>recipe02TotScale * IF(L82 = "", Q82 * M82, IF(ISNA(CONVERT(Q82, L82, "kg")), CONVERT(Q82, L82, "l") * IF(N82 &lt;&gt; 0, M82 / N82, 0), CONVERT(Q82, L82, "kg")))</f>
        <v>0.28612498367337558</v>
      </c>
      <c r="S82" s="44">
        <f>recipe02TotScale * IF(R82 = 0, IF(L82 = "", Q82 * N82, IF(ISNA(CONVERT(Q82, L82, "l")), CONVERT(Q82, L82, "kg") * IF(M82 &lt;&gt; 0, N82 / M82, 0), CONVERT(Q82, L82, "l"))), 0)</f>
        <v>0</v>
      </c>
      <c r="T82" s="44">
        <f>recipe02TotScale * IF(AND(R82 = 0, S82 = 0, J82 = "", L82 = ""), Q82, 0)</f>
        <v>0</v>
      </c>
      <c r="U82" s="41" t="s">
        <v>234</v>
      </c>
      <c r="V82" s="41" t="b">
        <f>INDEX(itemPrepMethods, MATCH(K82, itemNames, 0))="chop"</f>
        <v>0</v>
      </c>
      <c r="W82" s="54" t="str">
        <f>IF(V82, Q82, "")</f>
        <v/>
      </c>
      <c r="X82" s="55" t="str">
        <f>IF(V82, IF(L82 = "", "", L82), "")</f>
        <v/>
      </c>
      <c r="Y82" s="55" t="str">
        <f>IF(V82, K82, "")</f>
        <v/>
      </c>
      <c r="Z82" s="56"/>
      <c r="AA82" s="41" t="b">
        <f>INDEX(itemPrepMethods, MATCH(K82, itemNames, 0))="soak"</f>
        <v>1</v>
      </c>
      <c r="AB82" s="55">
        <f>IF(AA82, Q82, "")</f>
        <v>1.5</v>
      </c>
      <c r="AC82" s="55" t="str">
        <f>IF(AA82, IF(L82 = "", "", L82), "")</f>
        <v>cup</v>
      </c>
      <c r="AD82" s="55" t="str">
        <f>IF(AA82, K82, "")</f>
        <v>chickpeas</v>
      </c>
    </row>
    <row r="83" spans="1:30" ht="15.75" thickBot="1" x14ac:dyDescent="0.3">
      <c r="A83" s="115"/>
      <c r="B83" s="115"/>
      <c r="C83" s="115"/>
      <c r="D83" s="115"/>
      <c r="E83" s="63" t="s">
        <v>352</v>
      </c>
      <c r="F83" s="47">
        <f>F82/F79</f>
        <v>1</v>
      </c>
      <c r="G83" s="48" t="s">
        <v>362</v>
      </c>
      <c r="I83" s="44"/>
      <c r="M83" s="41"/>
      <c r="N83" s="41"/>
      <c r="O83" s="41"/>
      <c r="P83" s="41"/>
      <c r="W83" s="71"/>
      <c r="X83" s="71"/>
      <c r="Y83" s="71"/>
      <c r="Z83" s="71"/>
      <c r="AA83" s="64"/>
      <c r="AB83" s="71"/>
      <c r="AC83" s="71"/>
      <c r="AD83" s="71"/>
    </row>
    <row r="84" spans="1:30" x14ac:dyDescent="0.25">
      <c r="A84" s="115" t="s">
        <v>211</v>
      </c>
      <c r="B84" s="115"/>
      <c r="C84" s="115"/>
      <c r="D84" s="115"/>
      <c r="I84" s="44"/>
      <c r="M84" s="41"/>
      <c r="N84" s="41"/>
      <c r="O84" s="41"/>
      <c r="P84" s="41"/>
      <c r="W84" s="71"/>
      <c r="X84" s="71"/>
      <c r="Y84" s="71"/>
      <c r="Z84" s="71"/>
      <c r="AA84" s="64"/>
      <c r="AB84" s="71"/>
      <c r="AC84" s="71"/>
      <c r="AD84" s="71"/>
    </row>
    <row r="85" spans="1:30" x14ac:dyDescent="0.25">
      <c r="A85" s="37" t="s">
        <v>21</v>
      </c>
      <c r="B85" s="49">
        <f t="shared" ref="B85:B87" si="128">Q85</f>
        <v>2.75</v>
      </c>
      <c r="C85" s="36" t="str">
        <f>IF(L85="","",L85)</f>
        <v/>
      </c>
      <c r="D85" s="37" t="str">
        <f>_xlfn.CONCAT(K85, U85)</f>
        <v>diced celery stalks</v>
      </c>
      <c r="I85" s="51">
        <v>3</v>
      </c>
      <c r="J85" s="52"/>
      <c r="K85" s="52" t="s">
        <v>97</v>
      </c>
      <c r="L85" s="53"/>
      <c r="M85" s="44">
        <f>INDEX(itemGPerQty, MATCH(K85, itemNames, 0))</f>
        <v>0</v>
      </c>
      <c r="N85" s="44">
        <f>INDEX(itemMlPerQty, MATCH(K85, itemNames, 0))</f>
        <v>0</v>
      </c>
      <c r="O85" s="44">
        <f t="shared" ref="O85:O87" si="129">IF(J85 = "", I85 * M85, IF(ISNA(CONVERT(I85, J85, "kg")), CONVERT(I85, J85, "l") * IF(N85 &lt;&gt; 0, M85 / N85, 0), CONVERT(I85, J85, "kg")))</f>
        <v>0</v>
      </c>
      <c r="P85" s="44">
        <f t="shared" ref="P85:P87" si="130">IF(J85 = "", I85 * N85, IF(ISNA(CONVERT(I85, J85, "l")), CONVERT(I85, J85, "kg") * IF(M85 &lt;&gt; 0, N85 / M85, 0), CONVERT(I85, J85, "l")))</f>
        <v>0</v>
      </c>
      <c r="Q85" s="44">
        <f>MROUND(IF(AND(J85 = "", L85 = ""), I85 * recipe02DayScale, IF(ISNA(CONVERT(O85, "kg", L85)), CONVERT(P85 * recipe02DayScale, "l", L85), CONVERT(O85 * recipe02DayScale, "kg", L85))), roundTo)</f>
        <v>2.75</v>
      </c>
      <c r="R85" s="44">
        <f>recipe02TotScale * IF(L85 = "", Q85 * M85, IF(ISNA(CONVERT(Q85, L85, "kg")), CONVERT(Q85, L85, "l") * IF(N85 &lt;&gt; 0, M85 / N85, 0), CONVERT(Q85, L85, "kg")))</f>
        <v>0</v>
      </c>
      <c r="S85" s="44">
        <f>recipe02TotScale * IF(R85 = 0, IF(L85 = "", Q85 * N85, IF(ISNA(CONVERT(Q85, L85, "l")), CONVERT(Q85, L85, "kg") * IF(M85 &lt;&gt; 0, N85 / M85, 0), CONVERT(Q85, L85, "l"))), 0)</f>
        <v>0</v>
      </c>
      <c r="T85" s="44">
        <f>recipe02TotScale * IF(AND(R85 = 0, S85 = 0, J85 = "", L85 = ""), Q85, 0)</f>
        <v>2.75</v>
      </c>
      <c r="V85" s="41" t="b">
        <f>INDEX(itemPrepMethods, MATCH(K85, itemNames, 0))="chop"</f>
        <v>1</v>
      </c>
      <c r="W85" s="54">
        <f>IF(V85, Q85, "")</f>
        <v>2.75</v>
      </c>
      <c r="X85" s="55" t="str">
        <f>IF(V85, IF(L85 = "", "", L85), "")</f>
        <v/>
      </c>
      <c r="Y85" s="55" t="str">
        <f>IF(V85, K85, "")</f>
        <v>diced celery stalks</v>
      </c>
      <c r="Z85" s="56"/>
      <c r="AA85" s="41" t="b">
        <f>INDEX(itemPrepMethods, MATCH(K85, itemNames, 0))="soak"</f>
        <v>0</v>
      </c>
      <c r="AB85" s="55" t="str">
        <f>IF(AA85, Q85, "")</f>
        <v/>
      </c>
      <c r="AC85" s="55" t="str">
        <f>IF(AA85, IF(L85 = "", "", L85), "")</f>
        <v/>
      </c>
      <c r="AD85" s="55" t="str">
        <f>IF(AA85, K85, "")</f>
        <v/>
      </c>
    </row>
    <row r="86" spans="1:30" x14ac:dyDescent="0.25">
      <c r="A86" s="37" t="s">
        <v>21</v>
      </c>
      <c r="B86" s="49">
        <f t="shared" si="128"/>
        <v>7.25</v>
      </c>
      <c r="C86" s="36" t="str">
        <f>IF(L86="","",L86)</f>
        <v/>
      </c>
      <c r="D86" s="37" t="str">
        <f>_xlfn.CONCAT(K86, U86)</f>
        <v>diced carrots</v>
      </c>
      <c r="I86" s="51">
        <v>8</v>
      </c>
      <c r="J86" s="52"/>
      <c r="K86" s="52" t="s">
        <v>96</v>
      </c>
      <c r="L86" s="53"/>
      <c r="M86" s="44">
        <f>INDEX(itemGPerQty, MATCH(K86, itemNames, 0))</f>
        <v>0</v>
      </c>
      <c r="N86" s="44">
        <f>INDEX(itemMlPerQty, MATCH(K86, itemNames, 0))</f>
        <v>0</v>
      </c>
      <c r="O86" s="44">
        <f t="shared" si="129"/>
        <v>0</v>
      </c>
      <c r="P86" s="44">
        <f t="shared" si="130"/>
        <v>0</v>
      </c>
      <c r="Q86" s="44">
        <f>MROUND(IF(AND(J86 = "", L86 = ""), I86 * recipe02DayScale, IF(ISNA(CONVERT(O86, "kg", L86)), CONVERT(P86 * recipe02DayScale, "l", L86), CONVERT(O86 * recipe02DayScale, "kg", L86))), roundTo)</f>
        <v>7.25</v>
      </c>
      <c r="R86" s="44">
        <f>recipe02TotScale * IF(L86 = "", Q86 * M86, IF(ISNA(CONVERT(Q86, L86, "kg")), CONVERT(Q86, L86, "l") * IF(N86 &lt;&gt; 0, M86 / N86, 0), CONVERT(Q86, L86, "kg")))</f>
        <v>0</v>
      </c>
      <c r="S86" s="44">
        <f>recipe02TotScale * IF(R86 = 0, IF(L86 = "", Q86 * N86, IF(ISNA(CONVERT(Q86, L86, "l")), CONVERT(Q86, L86, "kg") * IF(M86 &lt;&gt; 0, N86 / M86, 0), CONVERT(Q86, L86, "l"))), 0)</f>
        <v>0</v>
      </c>
      <c r="T86" s="44">
        <f>recipe02TotScale * IF(AND(R86 = 0, S86 = 0, J86 = "", L86 = ""), Q86, 0)</f>
        <v>7.25</v>
      </c>
      <c r="V86" s="41" t="b">
        <f>INDEX(itemPrepMethods, MATCH(K86, itemNames, 0))="chop"</f>
        <v>1</v>
      </c>
      <c r="W86" s="54">
        <f>IF(V86, Q86, "")</f>
        <v>7.25</v>
      </c>
      <c r="X86" s="55" t="str">
        <f>IF(V86, IF(L86 = "", "", L86), "")</f>
        <v/>
      </c>
      <c r="Y86" s="55" t="str">
        <f>IF(V86, K86, "")</f>
        <v>diced carrots</v>
      </c>
      <c r="Z86" s="56"/>
      <c r="AA86" s="41" t="b">
        <f>INDEX(itemPrepMethods, MATCH(K86, itemNames, 0))="soak"</f>
        <v>0</v>
      </c>
      <c r="AB86" s="55" t="str">
        <f>IF(AA86, Q86, "")</f>
        <v/>
      </c>
      <c r="AC86" s="55" t="str">
        <f>IF(AA86, IF(L86 = "", "", L86), "")</f>
        <v/>
      </c>
      <c r="AD86" s="55" t="str">
        <f>IF(AA86, K86, "")</f>
        <v/>
      </c>
    </row>
    <row r="87" spans="1:30" x14ac:dyDescent="0.25">
      <c r="A87" s="37" t="s">
        <v>21</v>
      </c>
      <c r="B87" s="49">
        <f t="shared" si="128"/>
        <v>1.75</v>
      </c>
      <c r="C87" s="36" t="str">
        <f>IF(L87="","",L87)</f>
        <v>tsp</v>
      </c>
      <c r="D87" s="37" t="str">
        <f>_xlfn.CONCAT(K87, U87)</f>
        <v>salt</v>
      </c>
      <c r="I87" s="51">
        <v>2</v>
      </c>
      <c r="J87" s="52" t="s">
        <v>13</v>
      </c>
      <c r="K87" s="52" t="s">
        <v>11</v>
      </c>
      <c r="L87" s="53" t="s">
        <v>13</v>
      </c>
      <c r="M87" s="44">
        <f>INDEX(itemGPerQty, MATCH(K87, itemNames, 0))</f>
        <v>2.5000000000000001E-2</v>
      </c>
      <c r="N87" s="44">
        <f>INDEX(itemMlPerQty, MATCH(K87, itemNames, 0))</f>
        <v>2.2180100000000001E-2</v>
      </c>
      <c r="O87" s="44">
        <f t="shared" si="129"/>
        <v>1.111113474184066E-2</v>
      </c>
      <c r="P87" s="44">
        <f t="shared" si="130"/>
        <v>9.8578431874999997E-3</v>
      </c>
      <c r="Q87" s="44">
        <f>MROUND(IF(AND(J87 = "", L87 = ""), I87 * recipe02DayScale, IF(ISNA(CONVERT(O87, "kg", L87)), CONVERT(P87 * recipe02DayScale, "l", L87), CONVERT(O87 * recipe02DayScale, "kg", L87))), roundTo)</f>
        <v>1.75</v>
      </c>
      <c r="R87" s="44">
        <f>recipe02TotScale * IF(L87 = "", Q87 * M87, IF(ISNA(CONVERT(Q87, L87, "kg")), CONVERT(Q87, L87, "l") * IF(N87 &lt;&gt; 0, M87 / N87, 0), CONVERT(Q87, L87, "kg")))</f>
        <v>9.7222428991105784E-3</v>
      </c>
      <c r="S87" s="44">
        <f>recipe02TotScale * IF(R87 = 0, IF(L87 = "", Q87 * N87, IF(ISNA(CONVERT(Q87, L87, "l")), CONVERT(Q87, L87, "kg") * IF(M87 &lt;&gt; 0, N87 / M87, 0), CONVERT(Q87, L87, "l"))), 0)</f>
        <v>0</v>
      </c>
      <c r="T87" s="44">
        <f>recipe02TotScale * IF(AND(R87 = 0, S87 = 0, J87 = "", L87 = ""), Q87, 0)</f>
        <v>0</v>
      </c>
      <c r="V87" s="41" t="b">
        <f>INDEX(itemPrepMethods, MATCH(K87, itemNames, 0))="chop"</f>
        <v>0</v>
      </c>
      <c r="W87" s="54" t="str">
        <f>IF(V87, Q87, "")</f>
        <v/>
      </c>
      <c r="X87" s="55" t="str">
        <f>IF(V87, IF(L87 = "", "", L87), "")</f>
        <v/>
      </c>
      <c r="Y87" s="55" t="str">
        <f>IF(V87, K87, "")</f>
        <v/>
      </c>
      <c r="Z87" s="56"/>
      <c r="AA87" s="41" t="b">
        <f>INDEX(itemPrepMethods, MATCH(K87, itemNames, 0))="soak"</f>
        <v>0</v>
      </c>
      <c r="AB87" s="55" t="str">
        <f>IF(AA87, Q87, "")</f>
        <v/>
      </c>
      <c r="AC87" s="55" t="str">
        <f>IF(AA87, IF(L87 = "", "", L87), "")</f>
        <v/>
      </c>
      <c r="AD87" s="55" t="str">
        <f>IF(AA87, K87, "")</f>
        <v/>
      </c>
    </row>
    <row r="88" spans="1:30" x14ac:dyDescent="0.25">
      <c r="A88" s="115"/>
      <c r="B88" s="115"/>
      <c r="C88" s="115"/>
      <c r="D88" s="115"/>
      <c r="I88" s="44"/>
      <c r="M88" s="41"/>
      <c r="N88" s="41"/>
      <c r="O88" s="41"/>
      <c r="P88" s="41"/>
      <c r="W88" s="71"/>
      <c r="X88" s="71"/>
      <c r="Y88" s="71"/>
      <c r="Z88" s="71"/>
      <c r="AA88" s="64"/>
      <c r="AB88" s="71"/>
      <c r="AC88" s="71"/>
      <c r="AD88" s="71"/>
    </row>
    <row r="89" spans="1:30" x14ac:dyDescent="0.25">
      <c r="A89" s="115" t="s">
        <v>212</v>
      </c>
      <c r="B89" s="115"/>
      <c r="C89" s="115"/>
      <c r="D89" s="115"/>
      <c r="I89" s="44"/>
      <c r="M89" s="41"/>
      <c r="N89" s="41"/>
      <c r="O89" s="41"/>
      <c r="P89" s="41"/>
      <c r="W89" s="71"/>
      <c r="X89" s="71"/>
      <c r="Y89" s="71"/>
      <c r="Z89" s="71"/>
      <c r="AA89" s="64"/>
      <c r="AB89" s="71"/>
      <c r="AC89" s="71"/>
      <c r="AD89" s="71"/>
    </row>
    <row r="90" spans="1:30" x14ac:dyDescent="0.25">
      <c r="A90" s="37" t="s">
        <v>21</v>
      </c>
      <c r="B90" s="49">
        <f t="shared" ref="B90:B95" si="131">Q90</f>
        <v>2.75</v>
      </c>
      <c r="C90" s="36" t="str">
        <f t="shared" ref="C90:C95" si="132">IF(L90="","",L90)</f>
        <v>tsp</v>
      </c>
      <c r="D90" s="37" t="str">
        <f t="shared" ref="D90:D95" si="133">_xlfn.CONCAT(K90, U90)</f>
        <v>paprika</v>
      </c>
      <c r="I90" s="51">
        <v>3</v>
      </c>
      <c r="J90" s="52" t="s">
        <v>13</v>
      </c>
      <c r="K90" s="52" t="s">
        <v>99</v>
      </c>
      <c r="L90" s="53" t="s">
        <v>13</v>
      </c>
      <c r="M90" s="44">
        <f t="shared" ref="M90:M95" si="134">INDEX(itemGPerQty, MATCH(K90, itemNames, 0))</f>
        <v>1.2E-2</v>
      </c>
      <c r="N90" s="44">
        <f t="shared" ref="N90:N95" si="135">INDEX(itemMlPerQty, MATCH(K90, itemNames, 0))</f>
        <v>2.2180100000000001E-2</v>
      </c>
      <c r="O90" s="44">
        <f t="shared" ref="O90:O95" si="136">IF(J90 = "", I90 * M90, IF(ISNA(CONVERT(I90, J90, "kg")), CONVERT(I90, J90, "l") * IF(N90 &lt;&gt; 0, M90 / N90, 0), CONVERT(I90, J90, "kg")))</f>
        <v>8.0000170141252738E-3</v>
      </c>
      <c r="P90" s="44">
        <f t="shared" ref="P90:P95" si="137">IF(J90 = "", I90 * N90, IF(ISNA(CONVERT(I90, J90, "l")), CONVERT(I90, J90, "kg") * IF(M90 &lt;&gt; 0, N90 / M90, 0), CONVERT(I90, J90, "l")))</f>
        <v>1.478676478125E-2</v>
      </c>
      <c r="Q90" s="44">
        <f t="shared" ref="Q90:Q95" si="138">MROUND(IF(AND(J90 = "", L90 = ""), I90 * recipe02DayScale, IF(ISNA(CONVERT(O90, "kg", L90)), CONVERT(P90 * recipe02DayScale, "l", L90), CONVERT(O90 * recipe02DayScale, "kg", L90))), roundTo)</f>
        <v>2.75</v>
      </c>
      <c r="R90" s="44">
        <f t="shared" ref="R90:R95" si="139">recipe02TotScale * IF(L90 = "", Q90 * M90, IF(ISNA(CONVERT(Q90, L90, "kg")), CONVERT(Q90, L90, "l") * IF(N90 &lt;&gt; 0, M90 / N90, 0), CONVERT(Q90, L90, "kg")))</f>
        <v>7.3333489296148356E-3</v>
      </c>
      <c r="S90" s="44">
        <f t="shared" ref="S90:S95" si="140">recipe02TotScale * IF(R90 = 0, IF(L90 = "", Q90 * N90, IF(ISNA(CONVERT(Q90, L90, "l")), CONVERT(Q90, L90, "kg") * IF(M90 &lt;&gt; 0, N90 / M90, 0), CONVERT(Q90, L90, "l"))), 0)</f>
        <v>0</v>
      </c>
      <c r="T90" s="44">
        <f t="shared" ref="T90:T95" si="141">recipe02TotScale * IF(AND(R90 = 0, S90 = 0, J90 = "", L90 = ""), Q90, 0)</f>
        <v>0</v>
      </c>
      <c r="V90" s="41" t="b">
        <f t="shared" ref="V90:V95" si="142">INDEX(itemPrepMethods, MATCH(K90, itemNames, 0))="chop"</f>
        <v>0</v>
      </c>
      <c r="W90" s="54" t="str">
        <f t="shared" ref="W90:W95" si="143">IF(V90, Q90, "")</f>
        <v/>
      </c>
      <c r="X90" s="55" t="str">
        <f t="shared" ref="X90:X95" si="144">IF(V90, IF(L90 = "", "", L90), "")</f>
        <v/>
      </c>
      <c r="Y90" s="55" t="str">
        <f t="shared" ref="Y90:Y95" si="145">IF(V90, K90, "")</f>
        <v/>
      </c>
      <c r="Z90" s="56"/>
      <c r="AA90" s="41" t="b">
        <f t="shared" ref="AA90:AA95" si="146">INDEX(itemPrepMethods, MATCH(K90, itemNames, 0))="soak"</f>
        <v>0</v>
      </c>
      <c r="AB90" s="55" t="str">
        <f t="shared" ref="AB90:AB95" si="147">IF(AA90, Q90, "")</f>
        <v/>
      </c>
      <c r="AC90" s="55" t="str">
        <f t="shared" ref="AC90:AC95" si="148">IF(AA90, IF(L90 = "", "", L90), "")</f>
        <v/>
      </c>
      <c r="AD90" s="55" t="str">
        <f t="shared" ref="AD90:AD95" si="149">IF(AA90, K90, "")</f>
        <v/>
      </c>
    </row>
    <row r="91" spans="1:30" x14ac:dyDescent="0.25">
      <c r="A91" s="37" t="s">
        <v>21</v>
      </c>
      <c r="B91" s="49">
        <f t="shared" si="131"/>
        <v>1.75</v>
      </c>
      <c r="C91" s="36" t="str">
        <f t="shared" si="132"/>
        <v>tsp</v>
      </c>
      <c r="D91" s="37" t="str">
        <f t="shared" si="133"/>
        <v>ground turmeric</v>
      </c>
      <c r="I91" s="51">
        <v>2</v>
      </c>
      <c r="J91" s="52" t="s">
        <v>13</v>
      </c>
      <c r="K91" s="52" t="s">
        <v>305</v>
      </c>
      <c r="L91" s="53" t="s">
        <v>13</v>
      </c>
      <c r="M91" s="44">
        <f t="shared" si="134"/>
        <v>1.4E-2</v>
      </c>
      <c r="N91" s="44">
        <f t="shared" si="135"/>
        <v>2.2180100000000001E-2</v>
      </c>
      <c r="O91" s="44">
        <f t="shared" si="136"/>
        <v>6.2222354554307691E-3</v>
      </c>
      <c r="P91" s="44">
        <f t="shared" si="137"/>
        <v>9.8578431874999997E-3</v>
      </c>
      <c r="Q91" s="44">
        <f t="shared" si="138"/>
        <v>1.75</v>
      </c>
      <c r="R91" s="44">
        <f t="shared" si="139"/>
        <v>5.4444560235019238E-3</v>
      </c>
      <c r="S91" s="44">
        <f t="shared" si="140"/>
        <v>0</v>
      </c>
      <c r="T91" s="44">
        <f t="shared" si="141"/>
        <v>0</v>
      </c>
      <c r="V91" s="41" t="b">
        <f t="shared" si="142"/>
        <v>0</v>
      </c>
      <c r="W91" s="54" t="str">
        <f t="shared" si="143"/>
        <v/>
      </c>
      <c r="X91" s="55" t="str">
        <f t="shared" si="144"/>
        <v/>
      </c>
      <c r="Y91" s="55" t="str">
        <f t="shared" si="145"/>
        <v/>
      </c>
      <c r="Z91" s="56"/>
      <c r="AA91" s="41" t="b">
        <f t="shared" si="146"/>
        <v>0</v>
      </c>
      <c r="AB91" s="55" t="str">
        <f t="shared" si="147"/>
        <v/>
      </c>
      <c r="AC91" s="55" t="str">
        <f t="shared" si="148"/>
        <v/>
      </c>
      <c r="AD91" s="55" t="str">
        <f t="shared" si="149"/>
        <v/>
      </c>
    </row>
    <row r="92" spans="1:30" x14ac:dyDescent="0.25">
      <c r="A92" s="37" t="s">
        <v>21</v>
      </c>
      <c r="B92" s="49">
        <f t="shared" si="131"/>
        <v>1.75</v>
      </c>
      <c r="C92" s="36" t="str">
        <f t="shared" si="132"/>
        <v>tsp</v>
      </c>
      <c r="D92" s="37" t="str">
        <f t="shared" si="133"/>
        <v>dried basil</v>
      </c>
      <c r="I92" s="51">
        <v>2</v>
      </c>
      <c r="J92" s="52" t="s">
        <v>13</v>
      </c>
      <c r="K92" s="52" t="s">
        <v>100</v>
      </c>
      <c r="L92" s="53" t="s">
        <v>13</v>
      </c>
      <c r="M92" s="44">
        <f t="shared" si="134"/>
        <v>3.0000000000000001E-3</v>
      </c>
      <c r="N92" s="44">
        <f t="shared" si="135"/>
        <v>2.2180100000000001E-2</v>
      </c>
      <c r="O92" s="44">
        <f t="shared" si="136"/>
        <v>1.333336169020879E-3</v>
      </c>
      <c r="P92" s="44">
        <f t="shared" si="137"/>
        <v>9.8578431874999997E-3</v>
      </c>
      <c r="Q92" s="44">
        <f t="shared" si="138"/>
        <v>1.75</v>
      </c>
      <c r="R92" s="44">
        <f t="shared" si="139"/>
        <v>1.1666691478932692E-3</v>
      </c>
      <c r="S92" s="44">
        <f t="shared" si="140"/>
        <v>0</v>
      </c>
      <c r="T92" s="44">
        <f t="shared" si="141"/>
        <v>0</v>
      </c>
      <c r="V92" s="41" t="b">
        <f t="shared" si="142"/>
        <v>0</v>
      </c>
      <c r="W92" s="54" t="str">
        <f t="shared" si="143"/>
        <v/>
      </c>
      <c r="X92" s="55" t="str">
        <f t="shared" si="144"/>
        <v/>
      </c>
      <c r="Y92" s="55" t="str">
        <f t="shared" si="145"/>
        <v/>
      </c>
      <c r="Z92" s="56"/>
      <c r="AA92" s="41" t="b">
        <f t="shared" si="146"/>
        <v>0</v>
      </c>
      <c r="AB92" s="55" t="str">
        <f t="shared" si="147"/>
        <v/>
      </c>
      <c r="AC92" s="55" t="str">
        <f t="shared" si="148"/>
        <v/>
      </c>
      <c r="AD92" s="55" t="str">
        <f t="shared" si="149"/>
        <v/>
      </c>
    </row>
    <row r="93" spans="1:30" x14ac:dyDescent="0.25">
      <c r="A93" s="37" t="s">
        <v>21</v>
      </c>
      <c r="B93" s="49">
        <f t="shared" si="131"/>
        <v>0.5</v>
      </c>
      <c r="C93" s="36" t="str">
        <f t="shared" si="132"/>
        <v>tsp</v>
      </c>
      <c r="D93" s="37" t="str">
        <f t="shared" si="133"/>
        <v>cinnamon</v>
      </c>
      <c r="I93" s="51">
        <v>0.5</v>
      </c>
      <c r="J93" s="52" t="s">
        <v>13</v>
      </c>
      <c r="K93" s="52" t="s">
        <v>101</v>
      </c>
      <c r="L93" s="53" t="s">
        <v>13</v>
      </c>
      <c r="M93" s="44">
        <f t="shared" si="134"/>
        <v>1.0999999999999999E-2</v>
      </c>
      <c r="N93" s="44">
        <f t="shared" si="135"/>
        <v>2.2180100000000001E-2</v>
      </c>
      <c r="O93" s="44">
        <f t="shared" si="136"/>
        <v>1.2222248216024723E-3</v>
      </c>
      <c r="P93" s="44">
        <f t="shared" si="137"/>
        <v>2.4644607968749999E-3</v>
      </c>
      <c r="Q93" s="44">
        <f t="shared" si="138"/>
        <v>0.5</v>
      </c>
      <c r="R93" s="44">
        <f t="shared" si="139"/>
        <v>1.2222248216024723E-3</v>
      </c>
      <c r="S93" s="44">
        <f t="shared" si="140"/>
        <v>0</v>
      </c>
      <c r="T93" s="44">
        <f t="shared" si="141"/>
        <v>0</v>
      </c>
      <c r="V93" s="41" t="b">
        <f t="shared" si="142"/>
        <v>0</v>
      </c>
      <c r="W93" s="54" t="str">
        <f t="shared" si="143"/>
        <v/>
      </c>
      <c r="X93" s="55" t="str">
        <f t="shared" si="144"/>
        <v/>
      </c>
      <c r="Y93" s="55" t="str">
        <f t="shared" si="145"/>
        <v/>
      </c>
      <c r="Z93" s="56"/>
      <c r="AA93" s="41" t="b">
        <f t="shared" si="146"/>
        <v>0</v>
      </c>
      <c r="AB93" s="55" t="str">
        <f t="shared" si="147"/>
        <v/>
      </c>
      <c r="AC93" s="55" t="str">
        <f t="shared" si="148"/>
        <v/>
      </c>
      <c r="AD93" s="55" t="str">
        <f t="shared" si="149"/>
        <v/>
      </c>
    </row>
    <row r="94" spans="1:30" x14ac:dyDescent="0.25">
      <c r="A94" s="37" t="s">
        <v>21</v>
      </c>
      <c r="B94" s="49">
        <f t="shared" si="131"/>
        <v>1.75</v>
      </c>
      <c r="C94" s="36" t="str">
        <f t="shared" si="132"/>
        <v/>
      </c>
      <c r="D94" s="37" t="str">
        <f t="shared" si="133"/>
        <v>bay leaves</v>
      </c>
      <c r="I94" s="51">
        <v>2</v>
      </c>
      <c r="J94" s="52"/>
      <c r="K94" s="52" t="s">
        <v>85</v>
      </c>
      <c r="L94" s="53"/>
      <c r="M94" s="44">
        <f t="shared" si="134"/>
        <v>0</v>
      </c>
      <c r="N94" s="44">
        <f t="shared" si="135"/>
        <v>0</v>
      </c>
      <c r="O94" s="44">
        <f t="shared" si="136"/>
        <v>0</v>
      </c>
      <c r="P94" s="44">
        <f t="shared" si="137"/>
        <v>0</v>
      </c>
      <c r="Q94" s="44">
        <f t="shared" si="138"/>
        <v>1.75</v>
      </c>
      <c r="R94" s="44">
        <f t="shared" si="139"/>
        <v>0</v>
      </c>
      <c r="S94" s="44">
        <f t="shared" si="140"/>
        <v>0</v>
      </c>
      <c r="T94" s="44">
        <f t="shared" si="141"/>
        <v>1.75</v>
      </c>
      <c r="V94" s="41" t="b">
        <f t="shared" si="142"/>
        <v>0</v>
      </c>
      <c r="W94" s="54" t="str">
        <f t="shared" si="143"/>
        <v/>
      </c>
      <c r="X94" s="55" t="str">
        <f t="shared" si="144"/>
        <v/>
      </c>
      <c r="Y94" s="55" t="str">
        <f t="shared" si="145"/>
        <v/>
      </c>
      <c r="Z94" s="56"/>
      <c r="AA94" s="41" t="b">
        <f t="shared" si="146"/>
        <v>0</v>
      </c>
      <c r="AB94" s="55" t="str">
        <f t="shared" si="147"/>
        <v/>
      </c>
      <c r="AC94" s="55" t="str">
        <f t="shared" si="148"/>
        <v/>
      </c>
      <c r="AD94" s="55" t="str">
        <f t="shared" si="149"/>
        <v/>
      </c>
    </row>
    <row r="95" spans="1:30" x14ac:dyDescent="0.25">
      <c r="A95" s="37" t="s">
        <v>21</v>
      </c>
      <c r="B95" s="49">
        <f t="shared" si="131"/>
        <v>7.25</v>
      </c>
      <c r="C95" s="36" t="str">
        <f t="shared" si="132"/>
        <v>cup</v>
      </c>
      <c r="D95" s="37" t="str">
        <f t="shared" si="133"/>
        <v>water, approximately</v>
      </c>
      <c r="I95" s="51">
        <v>8</v>
      </c>
      <c r="J95" s="52" t="s">
        <v>16</v>
      </c>
      <c r="K95" s="52" t="s">
        <v>47</v>
      </c>
      <c r="L95" s="53" t="s">
        <v>16</v>
      </c>
      <c r="M95" s="44">
        <f t="shared" si="134"/>
        <v>1</v>
      </c>
      <c r="N95" s="44">
        <f t="shared" si="135"/>
        <v>1</v>
      </c>
      <c r="O95" s="44">
        <f t="shared" si="136"/>
        <v>1.8927058919999999</v>
      </c>
      <c r="P95" s="44">
        <f t="shared" si="137"/>
        <v>1.8927058919999999</v>
      </c>
      <c r="Q95" s="44">
        <f t="shared" si="138"/>
        <v>7.25</v>
      </c>
      <c r="R95" s="44">
        <f t="shared" si="139"/>
        <v>1.715264714625</v>
      </c>
      <c r="S95" s="44">
        <f t="shared" si="140"/>
        <v>0</v>
      </c>
      <c r="T95" s="44">
        <f t="shared" si="141"/>
        <v>0</v>
      </c>
      <c r="U95" s="41" t="s">
        <v>216</v>
      </c>
      <c r="V95" s="41" t="b">
        <f t="shared" si="142"/>
        <v>0</v>
      </c>
      <c r="W95" s="54" t="str">
        <f t="shared" si="143"/>
        <v/>
      </c>
      <c r="X95" s="55" t="str">
        <f t="shared" si="144"/>
        <v/>
      </c>
      <c r="Y95" s="55" t="str">
        <f t="shared" si="145"/>
        <v/>
      </c>
      <c r="Z95" s="56"/>
      <c r="AA95" s="41" t="b">
        <f t="shared" si="146"/>
        <v>0</v>
      </c>
      <c r="AB95" s="55" t="str">
        <f t="shared" si="147"/>
        <v/>
      </c>
      <c r="AC95" s="55" t="str">
        <f t="shared" si="148"/>
        <v/>
      </c>
      <c r="AD95" s="55" t="str">
        <f t="shared" si="149"/>
        <v/>
      </c>
    </row>
    <row r="96" spans="1:30" x14ac:dyDescent="0.25">
      <c r="A96" s="115"/>
      <c r="B96" s="115"/>
      <c r="C96" s="115"/>
      <c r="D96" s="115"/>
      <c r="I96" s="44"/>
      <c r="M96" s="41"/>
      <c r="N96" s="41"/>
      <c r="O96" s="41"/>
      <c r="P96" s="41"/>
      <c r="W96" s="71"/>
      <c r="X96" s="71"/>
      <c r="Y96" s="71"/>
      <c r="Z96" s="71"/>
      <c r="AA96" s="64"/>
      <c r="AB96" s="71"/>
      <c r="AC96" s="71"/>
      <c r="AD96" s="71"/>
    </row>
    <row r="97" spans="1:30" x14ac:dyDescent="0.25">
      <c r="A97" s="115" t="s">
        <v>213</v>
      </c>
      <c r="B97" s="115"/>
      <c r="C97" s="115"/>
      <c r="D97" s="115"/>
      <c r="I97" s="44"/>
      <c r="M97" s="41"/>
      <c r="N97" s="41"/>
      <c r="O97" s="41"/>
      <c r="P97" s="41"/>
      <c r="W97" s="71"/>
      <c r="X97" s="71"/>
      <c r="Y97" s="71"/>
      <c r="Z97" s="71"/>
      <c r="AA97" s="64"/>
      <c r="AB97" s="71"/>
      <c r="AC97" s="71"/>
      <c r="AD97" s="71"/>
    </row>
    <row r="98" spans="1:30" x14ac:dyDescent="0.25">
      <c r="A98" s="115"/>
      <c r="B98" s="115"/>
      <c r="C98" s="115"/>
      <c r="D98" s="115"/>
      <c r="I98" s="44"/>
      <c r="M98" s="41"/>
      <c r="N98" s="41"/>
      <c r="O98" s="41"/>
      <c r="P98" s="41"/>
      <c r="W98" s="71"/>
      <c r="X98" s="71"/>
      <c r="Y98" s="71"/>
      <c r="Z98" s="71"/>
      <c r="AA98" s="64"/>
      <c r="AB98" s="71"/>
      <c r="AC98" s="71"/>
      <c r="AD98" s="71"/>
    </row>
    <row r="99" spans="1:30" x14ac:dyDescent="0.25">
      <c r="A99" s="115" t="s">
        <v>214</v>
      </c>
      <c r="B99" s="115"/>
      <c r="C99" s="115"/>
      <c r="D99" s="115"/>
      <c r="I99" s="44"/>
      <c r="M99" s="41"/>
      <c r="N99" s="41"/>
      <c r="O99" s="41"/>
      <c r="P99" s="41"/>
      <c r="W99" s="71"/>
      <c r="X99" s="71"/>
      <c r="Y99" s="71"/>
      <c r="Z99" s="71"/>
      <c r="AA99" s="64"/>
      <c r="AB99" s="71"/>
      <c r="AC99" s="71"/>
      <c r="AD99" s="71"/>
    </row>
    <row r="100" spans="1:30" x14ac:dyDescent="0.25">
      <c r="A100" s="37" t="s">
        <v>21</v>
      </c>
      <c r="B100" s="58">
        <f t="shared" ref="B100" si="150">Q100</f>
        <v>0</v>
      </c>
      <c r="C100" s="36" t="str">
        <f>IF(L100="","",L100)</f>
        <v>cup</v>
      </c>
      <c r="D100" s="37" t="str">
        <f>_xlfn.CONCAT(K100, U100)</f>
        <v>diced green capsicums</v>
      </c>
      <c r="I100" s="51">
        <v>2</v>
      </c>
      <c r="J100" s="52"/>
      <c r="K100" s="52" t="s">
        <v>215</v>
      </c>
      <c r="L100" s="53" t="s">
        <v>16</v>
      </c>
      <c r="M100" s="44">
        <f>INDEX(itemGPerQty, MATCH(K100, itemNames, 0))</f>
        <v>0</v>
      </c>
      <c r="N100" s="44">
        <f>INDEX(itemMlPerQty, MATCH(K100, itemNames, 0))</f>
        <v>0</v>
      </c>
      <c r="O100" s="44">
        <f t="shared" ref="O100" si="151">IF(J100 = "", I100 * M100, IF(ISNA(CONVERT(I100, J100, "kg")), CONVERT(I100, J100, "l") * IF(N100 &lt;&gt; 0, M100 / N100, 0), CONVERT(I100, J100, "kg")))</f>
        <v>0</v>
      </c>
      <c r="P100" s="44">
        <f t="shared" ref="P100" si="152">IF(J100 = "", I100 * N100, IF(ISNA(CONVERT(I100, J100, "l")), CONVERT(I100, J100, "kg") * IF(M100 &lt;&gt; 0, N100 / M100, 0), CONVERT(I100, J100, "l")))</f>
        <v>0</v>
      </c>
      <c r="Q100" s="44">
        <f>MROUND(IF(AND(J100 = "", L100 = ""), I100 * recipe02DayScale, IF(ISNA(CONVERT(O100, "kg", L100)), CONVERT(P100 * recipe02DayScale, "l", L100), CONVERT(O100 * recipe02DayScale, "kg", L100))), roundTo)</f>
        <v>0</v>
      </c>
      <c r="R100" s="44">
        <f>recipe02TotScale * IF(L100 = "", Q100 * M100, IF(ISNA(CONVERT(Q100, L100, "kg")), CONVERT(Q100, L100, "l") * IF(N100 &lt;&gt; 0, M100 / N100, 0), CONVERT(Q100, L100, "kg")))</f>
        <v>0</v>
      </c>
      <c r="S100" s="44">
        <f>recipe02TotScale * IF(R100 = 0, IF(L100 = "", Q100 * N100, IF(ISNA(CONVERT(Q100, L100, "l")), CONVERT(Q100, L100, "kg") * IF(M100 &lt;&gt; 0, N100 / M100, 0), CONVERT(Q100, L100, "l"))), 0)</f>
        <v>0</v>
      </c>
      <c r="T100" s="44">
        <f>recipe02TotScale * IF(AND(R100 = 0, S100 = 0, J100 = "", L100 = ""), Q100, 0)</f>
        <v>0</v>
      </c>
      <c r="V100" s="41" t="b">
        <f>INDEX(itemPrepMethods, MATCH(K100, itemNames, 0))="chop"</f>
        <v>1</v>
      </c>
      <c r="W100" s="54">
        <f>IF(V100, Q100, "")</f>
        <v>0</v>
      </c>
      <c r="X100" s="55" t="str">
        <f>IF(V100, IF(L100 = "", "", L100), "")</f>
        <v>cup</v>
      </c>
      <c r="Y100" s="55" t="str">
        <f>IF(V100, K100, "")</f>
        <v>diced green capsicums</v>
      </c>
      <c r="Z100" s="56"/>
      <c r="AA100" s="41" t="b">
        <f>INDEX(itemPrepMethods, MATCH(K100, itemNames, 0))="soak"</f>
        <v>0</v>
      </c>
      <c r="AB100" s="55" t="str">
        <f>IF(AA100, Q100, "")</f>
        <v/>
      </c>
      <c r="AC100" s="55" t="str">
        <f>IF(AA100, IF(L100 = "", "", L100), "")</f>
        <v/>
      </c>
      <c r="AD100" s="55" t="str">
        <f>IF(AA100, K100, "")</f>
        <v/>
      </c>
    </row>
    <row r="101" spans="1:30" x14ac:dyDescent="0.25">
      <c r="A101" s="115"/>
      <c r="B101" s="115"/>
      <c r="C101" s="115"/>
      <c r="D101" s="115"/>
      <c r="I101" s="44"/>
      <c r="M101" s="41"/>
      <c r="N101" s="41"/>
      <c r="O101" s="41"/>
      <c r="P101" s="41"/>
    </row>
    <row r="102" spans="1:30" x14ac:dyDescent="0.25">
      <c r="A102" s="115" t="s">
        <v>217</v>
      </c>
      <c r="B102" s="115"/>
      <c r="C102" s="115"/>
      <c r="D102" s="115"/>
      <c r="I102" s="44"/>
      <c r="M102" s="41"/>
      <c r="N102" s="41"/>
      <c r="O102" s="41"/>
      <c r="P102" s="41"/>
    </row>
    <row r="103" spans="1:30" x14ac:dyDescent="0.25">
      <c r="A103" s="37" t="s">
        <v>21</v>
      </c>
      <c r="D103" s="37" t="s">
        <v>103</v>
      </c>
      <c r="I103" s="44"/>
      <c r="M103" s="41"/>
      <c r="N103" s="41"/>
      <c r="O103" s="41"/>
      <c r="P103" s="41"/>
    </row>
    <row r="104" spans="1:30" ht="15.75" x14ac:dyDescent="0.25">
      <c r="A104" s="117" t="s">
        <v>26</v>
      </c>
      <c r="B104" s="117"/>
      <c r="C104" s="117"/>
      <c r="D104" s="117"/>
      <c r="E104" s="40" t="s">
        <v>132</v>
      </c>
      <c r="F104" s="101" t="s">
        <v>74</v>
      </c>
      <c r="G104" s="101"/>
      <c r="I104" s="44"/>
    </row>
    <row r="105" spans="1:30" ht="24" x14ac:dyDescent="0.2">
      <c r="A105" s="117" t="s">
        <v>263</v>
      </c>
      <c r="B105" s="117"/>
      <c r="C105" s="117"/>
      <c r="D105" s="117"/>
      <c r="E105" s="39" t="s">
        <v>53</v>
      </c>
      <c r="F105" s="87">
        <v>21</v>
      </c>
      <c r="G105" s="44"/>
      <c r="H105" s="44"/>
      <c r="I105" s="67" t="s">
        <v>434</v>
      </c>
      <c r="J105" s="68" t="s">
        <v>435</v>
      </c>
      <c r="K105" s="68" t="s">
        <v>17</v>
      </c>
      <c r="L105" s="69" t="s">
        <v>438</v>
      </c>
      <c r="M105" s="67" t="s">
        <v>141</v>
      </c>
      <c r="N105" s="67" t="s">
        <v>142</v>
      </c>
      <c r="O105" s="67" t="s">
        <v>436</v>
      </c>
      <c r="P105" s="67" t="s">
        <v>437</v>
      </c>
      <c r="Q105" s="68" t="s">
        <v>353</v>
      </c>
      <c r="R105" s="67" t="s">
        <v>354</v>
      </c>
      <c r="S105" s="67" t="s">
        <v>355</v>
      </c>
      <c r="T105" s="67" t="s">
        <v>356</v>
      </c>
      <c r="U105" s="68" t="s">
        <v>22</v>
      </c>
      <c r="V105" s="68" t="s">
        <v>202</v>
      </c>
      <c r="W105" s="70" t="s">
        <v>353</v>
      </c>
      <c r="X105" s="68" t="s">
        <v>200</v>
      </c>
      <c r="Y105" s="68" t="s">
        <v>201</v>
      </c>
      <c r="Z105" s="68" t="s">
        <v>302</v>
      </c>
      <c r="AA105" s="68" t="s">
        <v>203</v>
      </c>
      <c r="AB105" s="70" t="s">
        <v>353</v>
      </c>
      <c r="AC105" s="68" t="s">
        <v>204</v>
      </c>
      <c r="AD105" s="68" t="s">
        <v>205</v>
      </c>
    </row>
    <row r="106" spans="1:30" ht="13.5" thickBot="1" x14ac:dyDescent="0.3">
      <c r="A106" s="118" t="str">
        <f>_xlfn.CONCAT(F106," servings")</f>
        <v>10 servings</v>
      </c>
      <c r="B106" s="118"/>
      <c r="C106" s="118"/>
      <c r="D106" s="118"/>
      <c r="E106" s="63" t="s">
        <v>348</v>
      </c>
      <c r="F106" s="87">
        <f>suLuCount</f>
        <v>10</v>
      </c>
      <c r="G106" s="44"/>
      <c r="H106" s="50"/>
      <c r="I106" s="60"/>
      <c r="J106" s="39"/>
      <c r="K106" s="39"/>
      <c r="L106" s="61"/>
      <c r="M106" s="60"/>
      <c r="N106" s="60"/>
      <c r="O106" s="60"/>
      <c r="P106" s="60"/>
      <c r="U106" s="39"/>
    </row>
    <row r="107" spans="1:30" s="102" customFormat="1" ht="15.75" thickBot="1" x14ac:dyDescent="0.3">
      <c r="A107" s="115"/>
      <c r="B107" s="115"/>
      <c r="C107" s="115"/>
      <c r="D107" s="115"/>
      <c r="E107" s="63" t="s">
        <v>351</v>
      </c>
      <c r="F107" s="47">
        <f>F106/F105</f>
        <v>0.47619047619047616</v>
      </c>
      <c r="G107" s="48" t="s">
        <v>363</v>
      </c>
      <c r="H107" s="50"/>
      <c r="I107" s="60"/>
      <c r="J107" s="100"/>
      <c r="K107" s="100"/>
      <c r="L107" s="61"/>
      <c r="M107" s="60"/>
      <c r="N107" s="60"/>
      <c r="O107" s="60"/>
      <c r="P107" s="60"/>
      <c r="Q107" s="44"/>
      <c r="R107" s="44"/>
      <c r="S107" s="44"/>
      <c r="T107" s="44"/>
      <c r="U107" s="100"/>
      <c r="W107" s="45"/>
      <c r="Z107" s="46"/>
    </row>
    <row r="108" spans="1:30" x14ac:dyDescent="0.25">
      <c r="A108" s="115" t="s">
        <v>242</v>
      </c>
      <c r="B108" s="115"/>
      <c r="C108" s="115"/>
      <c r="D108" s="115"/>
      <c r="E108" s="64"/>
      <c r="F108" s="64"/>
      <c r="G108" s="64"/>
      <c r="H108" s="50"/>
      <c r="I108" s="60"/>
      <c r="J108" s="39"/>
      <c r="K108" s="39"/>
      <c r="L108" s="61"/>
      <c r="M108" s="60"/>
      <c r="N108" s="60"/>
      <c r="O108" s="60"/>
      <c r="P108" s="60"/>
      <c r="U108" s="39"/>
    </row>
    <row r="109" spans="1:30" ht="15.75" thickBot="1" x14ac:dyDescent="0.3">
      <c r="A109" s="37" t="s">
        <v>21</v>
      </c>
      <c r="B109" s="49">
        <f t="shared" ref="B109:B135" si="153">Q109</f>
        <v>3.5</v>
      </c>
      <c r="C109" s="36" t="str">
        <f t="shared" ref="C109:C140" si="154">IF(L109="","",L109)</f>
        <v>cup</v>
      </c>
      <c r="D109" s="37" t="str">
        <f>_xlfn.CONCAT(K109, U109)</f>
        <v>red lentils. Blot with paper towels or clean tea towels to get as dry as possible</v>
      </c>
      <c r="E109" s="63" t="s">
        <v>327</v>
      </c>
      <c r="F109" s="87">
        <f>suLuCount</f>
        <v>10</v>
      </c>
      <c r="G109" s="64"/>
      <c r="I109" s="59">
        <v>7.5</v>
      </c>
      <c r="J109" s="52" t="s">
        <v>16</v>
      </c>
      <c r="K109" s="52" t="s">
        <v>45</v>
      </c>
      <c r="L109" s="53" t="s">
        <v>16</v>
      </c>
      <c r="M109" s="44">
        <f t="shared" ref="M109:M135" si="155">INDEX(itemGPerQty, MATCH(K109, itemNames, 0))</f>
        <v>0.80800000000000005</v>
      </c>
      <c r="N109" s="44">
        <f t="shared" ref="N109:N135" si="156">INDEX(itemMlPerQty, MATCH(K109, itemNames, 0))</f>
        <v>0.946353</v>
      </c>
      <c r="O109" s="44">
        <f t="shared" ref="O109:O135" si="157">IF(J109 = "", I109 * M109, IF(ISNA(CONVERT(I109, J109, "kg")), CONVERT(I109, J109, "l") * IF(N109 &lt;&gt; 0, M109 / N109, 0), CONVERT(I109, J109, "kg")))</f>
        <v>1.5149999135523426</v>
      </c>
      <c r="P109" s="44">
        <f t="shared" ref="P109:P135" si="158">IF(J109 = "", I109 * N109, IF(ISNA(CONVERT(I109, J109, "l")), CONVERT(I109, J109, "kg") * IF(M109 &lt;&gt; 0, N109 / M109, 0), CONVERT(I109, J109, "l")))</f>
        <v>1.77441177375</v>
      </c>
      <c r="Q109" s="44">
        <f>MROUND(IF(AND(J109 = "", L109 = ""), I109 * recipe08DayScale, IF(ISNA(CONVERT(O109, "kg", L109)), CONVERT(P109 * recipe08DayScale, "l", L109), CONVERT(O109 * recipe08DayScale, "kg", L109))), roundTo)</f>
        <v>3.5</v>
      </c>
      <c r="R109" s="44">
        <f>recipe08TotScale * IF(L109 = "", Q109 * M109, IF(ISNA(CONVERT(Q109, L109, "kg")), CONVERT(Q109, L109, "l") * IF(N109 &lt;&gt; 0, M109 / N109, 0), CONVERT(Q109, L109, "kg")))</f>
        <v>0.70699995965775986</v>
      </c>
      <c r="S109" s="44">
        <f>recipe08TotScale * IF(R109 = 0, IF(L109 = "", Q109 * N109, IF(ISNA(CONVERT(Q109, L109, "l")), CONVERT(Q109, L109, "kg") * IF(M109 &lt;&gt; 0, N109 / M109, 0), CONVERT(Q109, L109, "l"))), 0)</f>
        <v>0</v>
      </c>
      <c r="T109" s="44">
        <f>recipe08TotScale * IF(AND(R109 = 0, S109 = 0, J109 = "", L109 = ""), Q109, 0)</f>
        <v>0</v>
      </c>
      <c r="U109" s="41" t="s">
        <v>218</v>
      </c>
      <c r="V109" s="41" t="b">
        <f>INDEX(itemPrepMethods, MATCH(K109, itemNames, 0))="chop"</f>
        <v>0</v>
      </c>
      <c r="W109" s="54" t="str">
        <f>IF(V109, Q109, "")</f>
        <v/>
      </c>
      <c r="X109" s="55" t="str">
        <f>IF(V109, IF(L109 = "", "", L109), "")</f>
        <v/>
      </c>
      <c r="Y109" s="55" t="str">
        <f>IF(V109, K109, "")</f>
        <v/>
      </c>
      <c r="Z109" s="56"/>
      <c r="AA109" s="41" t="b">
        <f>INDEX(itemPrepMethods, MATCH(K109, itemNames, 0))="soak"</f>
        <v>1</v>
      </c>
      <c r="AB109" s="55">
        <f>IF(AA109, Q109, "")</f>
        <v>3.5</v>
      </c>
      <c r="AC109" s="55" t="str">
        <f>IF(AA109, IF(L109 = "", "", L109), "")</f>
        <v>cup</v>
      </c>
      <c r="AD109" s="55" t="str">
        <f>IF(AA109, K109, "")</f>
        <v>red lentils</v>
      </c>
    </row>
    <row r="110" spans="1:30" ht="15.75" thickBot="1" x14ac:dyDescent="0.3">
      <c r="A110" s="115"/>
      <c r="B110" s="115"/>
      <c r="C110" s="115"/>
      <c r="D110" s="115"/>
      <c r="E110" s="63" t="s">
        <v>352</v>
      </c>
      <c r="F110" s="47">
        <f>F109/F106</f>
        <v>1</v>
      </c>
      <c r="G110" s="48" t="s">
        <v>364</v>
      </c>
      <c r="I110" s="44"/>
      <c r="M110" s="41"/>
      <c r="N110" s="41"/>
      <c r="O110" s="41"/>
      <c r="P110" s="41"/>
      <c r="W110" s="71"/>
      <c r="X110" s="71"/>
      <c r="Y110" s="71"/>
      <c r="Z110" s="71"/>
      <c r="AA110" s="64"/>
      <c r="AB110" s="71"/>
      <c r="AC110" s="71"/>
      <c r="AD110" s="71"/>
    </row>
    <row r="111" spans="1:30" x14ac:dyDescent="0.25">
      <c r="A111" s="115" t="s">
        <v>238</v>
      </c>
      <c r="B111" s="115"/>
      <c r="C111" s="115"/>
      <c r="D111" s="115"/>
      <c r="I111" s="44"/>
      <c r="M111" s="41"/>
      <c r="N111" s="41"/>
      <c r="O111" s="41"/>
      <c r="P111" s="41"/>
      <c r="W111" s="71"/>
      <c r="X111" s="71"/>
      <c r="Y111" s="71"/>
      <c r="Z111" s="71"/>
      <c r="AA111" s="64"/>
      <c r="AB111" s="71"/>
      <c r="AC111" s="71"/>
      <c r="AD111" s="71"/>
    </row>
    <row r="112" spans="1:30" x14ac:dyDescent="0.25">
      <c r="A112" s="37" t="s">
        <v>21</v>
      </c>
      <c r="D112" s="37" t="str">
        <f>_xlfn.CONCAT(K112, U112)</f>
        <v>washed lentils from step 1</v>
      </c>
      <c r="I112" s="44"/>
      <c r="U112" s="41" t="s">
        <v>235</v>
      </c>
      <c r="W112" s="71"/>
      <c r="X112" s="71"/>
      <c r="Y112" s="71"/>
      <c r="Z112" s="71"/>
      <c r="AA112" s="64"/>
      <c r="AB112" s="71"/>
      <c r="AC112" s="71"/>
      <c r="AD112" s="71"/>
    </row>
    <row r="113" spans="1:30" x14ac:dyDescent="0.25">
      <c r="A113" s="37" t="s">
        <v>21</v>
      </c>
      <c r="B113" s="49">
        <f t="shared" si="153"/>
        <v>1.25</v>
      </c>
      <c r="C113" s="36" t="str">
        <f t="shared" si="154"/>
        <v>tbs</v>
      </c>
      <c r="D113" s="37" t="str">
        <f>_xlfn.CONCAT(K113, U113)</f>
        <v>ground turmeric</v>
      </c>
      <c r="I113" s="59">
        <v>7.5</v>
      </c>
      <c r="J113" s="52" t="s">
        <v>13</v>
      </c>
      <c r="K113" s="52" t="s">
        <v>305</v>
      </c>
      <c r="L113" s="53" t="s">
        <v>15</v>
      </c>
      <c r="M113" s="44">
        <f t="shared" si="155"/>
        <v>1.4E-2</v>
      </c>
      <c r="N113" s="44">
        <f t="shared" si="156"/>
        <v>2.2180100000000001E-2</v>
      </c>
      <c r="O113" s="44">
        <f t="shared" si="157"/>
        <v>2.3333382957865384E-2</v>
      </c>
      <c r="P113" s="44">
        <f t="shared" si="158"/>
        <v>3.6966911953125001E-2</v>
      </c>
      <c r="Q113" s="44">
        <f>MROUND(IF(AND(J113 = "", L113 = ""), I113 * recipe08DayScale, IF(ISNA(CONVERT(O113, "kg", L113)), CONVERT(P113 * recipe08DayScale, "l", L113), CONVERT(O113 * recipe08DayScale, "kg", L113))), roundTo)</f>
        <v>1.25</v>
      </c>
      <c r="R113" s="44">
        <f>recipe08TotScale * IF(L113 = "", Q113 * M113, IF(ISNA(CONVERT(Q113, L113, "kg")), CONVERT(Q113, L113, "l") * IF(N113 &lt;&gt; 0, M113 / N113, 0), CONVERT(Q113, L113, "kg")))</f>
        <v>1.1666691478932692E-2</v>
      </c>
      <c r="S113" s="44">
        <f>recipe08TotScale * IF(R113 = 0, IF(L113 = "", Q113 * N113, IF(ISNA(CONVERT(Q113, L113, "l")), CONVERT(Q113, L113, "kg") * IF(M113 &lt;&gt; 0, N113 / M113, 0), CONVERT(Q113, L113, "l"))), 0)</f>
        <v>0</v>
      </c>
      <c r="T113" s="44">
        <f>recipe08TotScale * IF(AND(R113 = 0, S113 = 0, J113 = "", L113 = ""), Q113, 0)</f>
        <v>0</v>
      </c>
      <c r="V113" s="41" t="b">
        <f>INDEX(itemPrepMethods, MATCH(K113, itemNames, 0))="chop"</f>
        <v>0</v>
      </c>
      <c r="W113" s="54" t="str">
        <f>IF(V113, Q113, "")</f>
        <v/>
      </c>
      <c r="X113" s="55" t="str">
        <f>IF(V113, IF(L113 = "", "", L113), "")</f>
        <v/>
      </c>
      <c r="Y113" s="55" t="str">
        <f>IF(V113, K113, "")</f>
        <v/>
      </c>
      <c r="Z113" s="56"/>
      <c r="AA113" s="41" t="b">
        <f>INDEX(itemPrepMethods, MATCH(K113, itemNames, 0))="soak"</f>
        <v>0</v>
      </c>
      <c r="AB113" s="55" t="str">
        <f>IF(AA113, Q113, "")</f>
        <v/>
      </c>
      <c r="AC113" s="55" t="str">
        <f>IF(AA113, IF(L113 = "", "", L113), "")</f>
        <v/>
      </c>
      <c r="AD113" s="55" t="str">
        <f>IF(AA113, K113, "")</f>
        <v/>
      </c>
    </row>
    <row r="114" spans="1:30" x14ac:dyDescent="0.25">
      <c r="A114" s="37" t="s">
        <v>21</v>
      </c>
      <c r="B114" s="49">
        <f t="shared" si="153"/>
        <v>0.25</v>
      </c>
      <c r="C114" s="36" t="str">
        <f t="shared" si="154"/>
        <v>cup</v>
      </c>
      <c r="D114" s="37" t="str">
        <f>_xlfn.CONCAT(K114, U114)</f>
        <v>oil</v>
      </c>
      <c r="I114" s="59">
        <v>0.75</v>
      </c>
      <c r="J114" s="52" t="s">
        <v>16</v>
      </c>
      <c r="K114" s="52" t="s">
        <v>46</v>
      </c>
      <c r="L114" s="53" t="s">
        <v>16</v>
      </c>
      <c r="M114" s="44">
        <f t="shared" si="155"/>
        <v>0</v>
      </c>
      <c r="N114" s="44">
        <f t="shared" si="156"/>
        <v>0</v>
      </c>
      <c r="O114" s="44">
        <f t="shared" si="157"/>
        <v>0</v>
      </c>
      <c r="P114" s="44">
        <f t="shared" si="158"/>
        <v>0.17744117737499998</v>
      </c>
      <c r="Q114" s="44">
        <f>MROUND(IF(AND(J114 = "", L114 = ""), I114 * recipe08DayScale, IF(ISNA(CONVERT(O114, "kg", L114)), CONVERT(P114 * recipe08DayScale, "l", L114), CONVERT(O114 * recipe08DayScale, "kg", L114))), roundTo)</f>
        <v>0.25</v>
      </c>
      <c r="R114" s="44">
        <f>recipe08TotScale * IF(L114 = "", Q114 * M114, IF(ISNA(CONVERT(Q114, L114, "kg")), CONVERT(Q114, L114, "l") * IF(N114 &lt;&gt; 0, M114 / N114, 0), CONVERT(Q114, L114, "kg")))</f>
        <v>0</v>
      </c>
      <c r="S114" s="44">
        <f>recipe08TotScale * IF(R114 = 0, IF(L114 = "", Q114 * N114, IF(ISNA(CONVERT(Q114, L114, "l")), CONVERT(Q114, L114, "kg") * IF(M114 &lt;&gt; 0, N114 / M114, 0), CONVERT(Q114, L114, "l"))), 0)</f>
        <v>5.9147059124999998E-2</v>
      </c>
      <c r="T114" s="44">
        <f>recipe08TotScale * IF(AND(R114 = 0, S114 = 0, J114 = "", L114 = ""), Q114, 0)</f>
        <v>0</v>
      </c>
      <c r="V114" s="41" t="b">
        <f>INDEX(itemPrepMethods, MATCH(K114, itemNames, 0))="chop"</f>
        <v>0</v>
      </c>
      <c r="W114" s="54" t="str">
        <f>IF(V114, Q114, "")</f>
        <v/>
      </c>
      <c r="X114" s="55" t="str">
        <f>IF(V114, IF(L114 = "", "", L114), "")</f>
        <v/>
      </c>
      <c r="Y114" s="55" t="str">
        <f>IF(V114, K114, "")</f>
        <v/>
      </c>
      <c r="Z114" s="56"/>
      <c r="AA114" s="41" t="b">
        <f>INDEX(itemPrepMethods, MATCH(K114, itemNames, 0))="soak"</f>
        <v>0</v>
      </c>
      <c r="AB114" s="55" t="str">
        <f>IF(AA114, Q114, "")</f>
        <v/>
      </c>
      <c r="AC114" s="55" t="str">
        <f>IF(AA114, IF(L114 = "", "", L114), "")</f>
        <v/>
      </c>
      <c r="AD114" s="55" t="str">
        <f>IF(AA114, K114, "")</f>
        <v/>
      </c>
    </row>
    <row r="115" spans="1:30" x14ac:dyDescent="0.25">
      <c r="A115" s="115"/>
      <c r="B115" s="115"/>
      <c r="C115" s="115"/>
      <c r="D115" s="115"/>
      <c r="I115" s="44"/>
      <c r="M115" s="41"/>
      <c r="N115" s="41"/>
      <c r="O115" s="41"/>
      <c r="P115" s="41"/>
      <c r="W115" s="71"/>
      <c r="X115" s="71"/>
      <c r="Y115" s="71"/>
      <c r="Z115" s="71"/>
      <c r="AA115" s="64"/>
      <c r="AB115" s="71"/>
      <c r="AC115" s="71"/>
      <c r="AD115" s="71"/>
    </row>
    <row r="116" spans="1:30" x14ac:dyDescent="0.25">
      <c r="A116" s="115" t="s">
        <v>237</v>
      </c>
      <c r="B116" s="115"/>
      <c r="C116" s="115"/>
      <c r="D116" s="115"/>
      <c r="I116" s="44"/>
      <c r="M116" s="41"/>
      <c r="N116" s="41"/>
      <c r="O116" s="41"/>
      <c r="P116" s="41"/>
      <c r="W116" s="71"/>
      <c r="X116" s="71"/>
      <c r="Y116" s="71"/>
      <c r="Z116" s="71"/>
      <c r="AA116" s="64"/>
      <c r="AB116" s="71"/>
      <c r="AC116" s="71"/>
      <c r="AD116" s="71"/>
    </row>
    <row r="117" spans="1:30" x14ac:dyDescent="0.25">
      <c r="A117" s="37" t="s">
        <v>21</v>
      </c>
      <c r="B117" s="49">
        <f t="shared" si="153"/>
        <v>1.5</v>
      </c>
      <c r="C117" s="36" t="str">
        <f t="shared" si="154"/>
        <v/>
      </c>
      <c r="D117" s="37" t="str">
        <f>_xlfn.CONCAT(K117, U117)</f>
        <v>tinned chopped tomatoes, drained</v>
      </c>
      <c r="I117" s="59">
        <v>3</v>
      </c>
      <c r="J117" s="52"/>
      <c r="K117" s="52" t="s">
        <v>446</v>
      </c>
      <c r="L117" s="53"/>
      <c r="M117" s="44">
        <f t="shared" si="155"/>
        <v>0</v>
      </c>
      <c r="N117" s="44">
        <f t="shared" si="156"/>
        <v>0</v>
      </c>
      <c r="O117" s="44">
        <f t="shared" si="157"/>
        <v>0</v>
      </c>
      <c r="P117" s="44">
        <f t="shared" si="158"/>
        <v>0</v>
      </c>
      <c r="Q117" s="44">
        <f>MROUND(IF(AND(J117 = "", L117 = ""), I117 * recipe08DayScale, IF(ISNA(CONVERT(O117, "kg", L117)), CONVERT(P117 * recipe08DayScale, "l", L117), CONVERT(O117 * recipe08DayScale, "kg", L117))), roundTo)</f>
        <v>1.5</v>
      </c>
      <c r="R117" s="44">
        <f>recipe08TotScale * IF(L117 = "", Q117 * M117, IF(ISNA(CONVERT(Q117, L117, "kg")), CONVERT(Q117, L117, "l") * IF(N117 &lt;&gt; 0, M117 / N117, 0), CONVERT(Q117, L117, "kg")))</f>
        <v>0</v>
      </c>
      <c r="S117" s="44">
        <f>recipe08TotScale * IF(R117 = 0, IF(L117 = "", Q117 * N117, IF(ISNA(CONVERT(Q117, L117, "l")), CONVERT(Q117, L117, "kg") * IF(M117 &lt;&gt; 0, N117 / M117, 0), CONVERT(Q117, L117, "l"))), 0)</f>
        <v>0</v>
      </c>
      <c r="T117" s="44">
        <f>recipe08TotScale * IF(AND(R117 = 0, S117 = 0, J117 = "", L117 = ""), Q117, 0)</f>
        <v>1.5</v>
      </c>
      <c r="U117" s="41" t="s">
        <v>220</v>
      </c>
      <c r="V117" s="41" t="b">
        <f>INDEX(itemPrepMethods, MATCH(K117, itemNames, 0))="chop"</f>
        <v>0</v>
      </c>
      <c r="W117" s="54" t="str">
        <f>IF(V117, Q117, "")</f>
        <v/>
      </c>
      <c r="X117" s="55" t="str">
        <f>IF(V117, IF(L117 = "", "", L117), "")</f>
        <v/>
      </c>
      <c r="Y117" s="55" t="str">
        <f>IF(V117, K117, "")</f>
        <v/>
      </c>
      <c r="Z117" s="56"/>
      <c r="AA117" s="41" t="b">
        <f>INDEX(itemPrepMethods, MATCH(K117, itemNames, 0))="soak"</f>
        <v>0</v>
      </c>
      <c r="AB117" s="55" t="str">
        <f>IF(AA117, Q117, "")</f>
        <v/>
      </c>
      <c r="AC117" s="55" t="str">
        <f>IF(AA117, IF(L117 = "", "", L117), "")</f>
        <v/>
      </c>
      <c r="AD117" s="55" t="str">
        <f>IF(AA117, K117, "")</f>
        <v/>
      </c>
    </row>
    <row r="118" spans="1:30" x14ac:dyDescent="0.25">
      <c r="A118" s="37" t="s">
        <v>21</v>
      </c>
      <c r="B118" s="49">
        <f t="shared" si="153"/>
        <v>4.75</v>
      </c>
      <c r="C118" s="36" t="str">
        <f t="shared" si="154"/>
        <v/>
      </c>
      <c r="D118" s="37" t="str">
        <f>_xlfn.CONCAT(K118, U118)</f>
        <v>chopped zucchini</v>
      </c>
      <c r="I118" s="59">
        <v>10</v>
      </c>
      <c r="J118" s="52"/>
      <c r="K118" s="52" t="s">
        <v>187</v>
      </c>
      <c r="L118" s="53"/>
      <c r="M118" s="44">
        <f t="shared" si="155"/>
        <v>0</v>
      </c>
      <c r="N118" s="44">
        <f t="shared" si="156"/>
        <v>0</v>
      </c>
      <c r="O118" s="44">
        <f t="shared" si="157"/>
        <v>0</v>
      </c>
      <c r="P118" s="44">
        <f t="shared" si="158"/>
        <v>0</v>
      </c>
      <c r="Q118" s="44">
        <f>MROUND(IF(AND(J118 = "", L118 = ""), I118 * recipe08DayScale, IF(ISNA(CONVERT(O118, "kg", L118)), CONVERT(P118 * recipe08DayScale, "l", L118), CONVERT(O118 * recipe08DayScale, "kg", L118))), roundTo)</f>
        <v>4.75</v>
      </c>
      <c r="R118" s="44">
        <f>recipe08TotScale * IF(L118 = "", Q118 * M118, IF(ISNA(CONVERT(Q118, L118, "kg")), CONVERT(Q118, L118, "l") * IF(N118 &lt;&gt; 0, M118 / N118, 0), CONVERT(Q118, L118, "kg")))</f>
        <v>0</v>
      </c>
      <c r="S118" s="44">
        <f>recipe08TotScale * IF(R118 = 0, IF(L118 = "", Q118 * N118, IF(ISNA(CONVERT(Q118, L118, "l")), CONVERT(Q118, L118, "kg") * IF(M118 &lt;&gt; 0, N118 / M118, 0), CONVERT(Q118, L118, "l"))), 0)</f>
        <v>0</v>
      </c>
      <c r="T118" s="44">
        <f>recipe08TotScale * IF(AND(R118 = 0, S118 = 0, J118 = "", L118 = ""), Q118, 0)</f>
        <v>4.75</v>
      </c>
      <c r="V118" s="41" t="b">
        <f>INDEX(itemPrepMethods, MATCH(K118, itemNames, 0))="chop"</f>
        <v>1</v>
      </c>
      <c r="W118" s="54">
        <f>IF(V118, Q118, "")</f>
        <v>4.75</v>
      </c>
      <c r="X118" s="55" t="str">
        <f>IF(V118, IF(L118 = "", "", L118), "")</f>
        <v/>
      </c>
      <c r="Y118" s="55" t="str">
        <f>IF(V118, K118, "")</f>
        <v>chopped zucchini</v>
      </c>
      <c r="Z118" s="56"/>
      <c r="AA118" s="41" t="b">
        <f>INDEX(itemPrepMethods, MATCH(K118, itemNames, 0))="soak"</f>
        <v>0</v>
      </c>
      <c r="AB118" s="55" t="str">
        <f>IF(AA118, Q118, "")</f>
        <v/>
      </c>
      <c r="AC118" s="55" t="str">
        <f>IF(AA118, IF(L118 = "", "", L118), "")</f>
        <v/>
      </c>
      <c r="AD118" s="55" t="str">
        <f>IF(AA118, K118, "")</f>
        <v/>
      </c>
    </row>
    <row r="119" spans="1:30" x14ac:dyDescent="0.25">
      <c r="A119" s="115"/>
      <c r="B119" s="115"/>
      <c r="C119" s="115"/>
      <c r="D119" s="115"/>
      <c r="I119" s="44"/>
      <c r="M119" s="41"/>
      <c r="N119" s="41"/>
      <c r="O119" s="41"/>
      <c r="P119" s="41"/>
      <c r="W119" s="71"/>
      <c r="X119" s="71"/>
      <c r="Y119" s="71"/>
      <c r="Z119" s="71"/>
      <c r="AA119" s="64"/>
      <c r="AB119" s="71"/>
      <c r="AC119" s="71"/>
      <c r="AD119" s="71"/>
    </row>
    <row r="120" spans="1:30" x14ac:dyDescent="0.25">
      <c r="A120" s="115" t="s">
        <v>219</v>
      </c>
      <c r="B120" s="115"/>
      <c r="C120" s="115"/>
      <c r="D120" s="115"/>
      <c r="I120" s="44"/>
      <c r="M120" s="41"/>
      <c r="N120" s="41"/>
      <c r="O120" s="41"/>
      <c r="P120" s="41"/>
      <c r="W120" s="71"/>
      <c r="X120" s="71"/>
      <c r="Y120" s="71"/>
      <c r="Z120" s="71"/>
      <c r="AA120" s="64"/>
      <c r="AB120" s="71"/>
      <c r="AC120" s="71"/>
      <c r="AD120" s="71"/>
    </row>
    <row r="121" spans="1:30" x14ac:dyDescent="0.25">
      <c r="A121" s="37" t="s">
        <v>21</v>
      </c>
      <c r="B121" s="49">
        <f t="shared" si="153"/>
        <v>10</v>
      </c>
      <c r="C121" s="36" t="str">
        <f t="shared" si="154"/>
        <v>cup</v>
      </c>
      <c r="D121" s="37" t="str">
        <f>_xlfn.CONCAT(K121, U121)</f>
        <v>water</v>
      </c>
      <c r="I121" s="59">
        <v>21</v>
      </c>
      <c r="J121" s="52" t="s">
        <v>16</v>
      </c>
      <c r="K121" s="52" t="s">
        <v>47</v>
      </c>
      <c r="L121" s="53" t="s">
        <v>16</v>
      </c>
      <c r="M121" s="44">
        <f t="shared" si="155"/>
        <v>1</v>
      </c>
      <c r="N121" s="44">
        <f t="shared" si="156"/>
        <v>1</v>
      </c>
      <c r="O121" s="44">
        <f t="shared" si="157"/>
        <v>4.9683529664999995</v>
      </c>
      <c r="P121" s="44">
        <f t="shared" si="158"/>
        <v>4.9683529664999995</v>
      </c>
      <c r="Q121" s="44">
        <f>MROUND(IF(AND(J121 = "", L121 = ""), I121 * recipe08DayScale, IF(ISNA(CONVERT(O121, "kg", L121)), CONVERT(P121 * recipe08DayScale, "l", L121), CONVERT(O121 * recipe08DayScale, "kg", L121))), roundTo)</f>
        <v>10</v>
      </c>
      <c r="R121" s="44">
        <f>recipe08TotScale * IF(L121 = "", Q121 * M121, IF(ISNA(CONVERT(Q121, L121, "kg")), CONVERT(Q121, L121, "l") * IF(N121 &lt;&gt; 0, M121 / N121, 0), CONVERT(Q121, L121, "kg")))</f>
        <v>2.365882365</v>
      </c>
      <c r="S121" s="44">
        <f>recipe08TotScale * IF(R121 = 0, IF(L121 = "", Q121 * N121, IF(ISNA(CONVERT(Q121, L121, "l")), CONVERT(Q121, L121, "kg") * IF(M121 &lt;&gt; 0, N121 / M121, 0), CONVERT(Q121, L121, "l"))), 0)</f>
        <v>0</v>
      </c>
      <c r="T121" s="44">
        <f>recipe08TotScale * IF(AND(R121 = 0, S121 = 0, J121 = "", L121 = ""), Q121, 0)</f>
        <v>0</v>
      </c>
      <c r="V121" s="41" t="b">
        <f>INDEX(itemPrepMethods, MATCH(K121, itemNames, 0))="chop"</f>
        <v>0</v>
      </c>
      <c r="W121" s="54" t="str">
        <f>IF(V121, Q121, "")</f>
        <v/>
      </c>
      <c r="X121" s="55" t="str">
        <f>IF(V121, IF(L121 = "", "", L121), "")</f>
        <v/>
      </c>
      <c r="Y121" s="55" t="str">
        <f>IF(V121, K121, "")</f>
        <v/>
      </c>
      <c r="Z121" s="56"/>
      <c r="AA121" s="41" t="b">
        <f>INDEX(itemPrepMethods, MATCH(K121, itemNames, 0))="soak"</f>
        <v>0</v>
      </c>
      <c r="AB121" s="55" t="str">
        <f>IF(AA121, Q121, "")</f>
        <v/>
      </c>
      <c r="AC121" s="55" t="str">
        <f>IF(AA121, IF(L121 = "", "", L121), "")</f>
        <v/>
      </c>
      <c r="AD121" s="55" t="str">
        <f>IF(AA121, K121, "")</f>
        <v/>
      </c>
    </row>
    <row r="122" spans="1:30" x14ac:dyDescent="0.25">
      <c r="A122" s="37" t="s">
        <v>21</v>
      </c>
      <c r="B122" s="49">
        <f t="shared" si="153"/>
        <v>2.5</v>
      </c>
      <c r="C122" s="36" t="str">
        <f t="shared" si="154"/>
        <v>tsp</v>
      </c>
      <c r="D122" s="37" t="str">
        <f>_xlfn.CONCAT(K122, U122)</f>
        <v>salt</v>
      </c>
      <c r="I122" s="59">
        <v>5</v>
      </c>
      <c r="J122" s="52" t="s">
        <v>13</v>
      </c>
      <c r="K122" s="52" t="s">
        <v>11</v>
      </c>
      <c r="L122" s="53" t="s">
        <v>13</v>
      </c>
      <c r="M122" s="44">
        <f t="shared" si="155"/>
        <v>2.5000000000000001E-2</v>
      </c>
      <c r="N122" s="44">
        <f t="shared" si="156"/>
        <v>2.2180100000000001E-2</v>
      </c>
      <c r="O122" s="44">
        <f t="shared" si="157"/>
        <v>2.777783685460165E-2</v>
      </c>
      <c r="P122" s="44">
        <f t="shared" si="158"/>
        <v>2.4644607968749999E-2</v>
      </c>
      <c r="Q122" s="44">
        <f>MROUND(IF(AND(J122 = "", L122 = ""), I122 * recipe08DayScale, IF(ISNA(CONVERT(O122, "kg", L122)), CONVERT(P122 * recipe08DayScale, "l", L122), CONVERT(O122 * recipe08DayScale, "kg", L122))), roundTo)</f>
        <v>2.5</v>
      </c>
      <c r="R122" s="44">
        <f>recipe08TotScale * IF(L122 = "", Q122 * M122, IF(ISNA(CONVERT(Q122, L122, "kg")), CONVERT(Q122, L122, "l") * IF(N122 &lt;&gt; 0, M122 / N122, 0), CONVERT(Q122, L122, "kg")))</f>
        <v>1.3888918427300825E-2</v>
      </c>
      <c r="S122" s="44">
        <f>recipe08TotScale * IF(R122 = 0, IF(L122 = "", Q122 * N122, IF(ISNA(CONVERT(Q122, L122, "l")), CONVERT(Q122, L122, "kg") * IF(M122 &lt;&gt; 0, N122 / M122, 0), CONVERT(Q122, L122, "l"))), 0)</f>
        <v>0</v>
      </c>
      <c r="T122" s="44">
        <f>recipe08TotScale * IF(AND(R122 = 0, S122 = 0, J122 = "", L122 = ""), Q122, 0)</f>
        <v>0</v>
      </c>
      <c r="V122" s="41" t="b">
        <f>INDEX(itemPrepMethods, MATCH(K122, itemNames, 0))="chop"</f>
        <v>0</v>
      </c>
      <c r="W122" s="54" t="str">
        <f>IF(V122, Q122, "")</f>
        <v/>
      </c>
      <c r="X122" s="55" t="str">
        <f>IF(V122, IF(L122 = "", "", L122), "")</f>
        <v/>
      </c>
      <c r="Y122" s="55" t="str">
        <f>IF(V122, K122, "")</f>
        <v/>
      </c>
      <c r="Z122" s="56"/>
      <c r="AA122" s="41" t="b">
        <f>INDEX(itemPrepMethods, MATCH(K122, itemNames, 0))="soak"</f>
        <v>0</v>
      </c>
      <c r="AB122" s="55" t="str">
        <f>IF(AA122, Q122, "")</f>
        <v/>
      </c>
      <c r="AC122" s="55" t="str">
        <f>IF(AA122, IF(L122 = "", "", L122), "")</f>
        <v/>
      </c>
      <c r="AD122" s="55" t="str">
        <f>IF(AA122, K122, "")</f>
        <v/>
      </c>
    </row>
    <row r="123" spans="1:30" x14ac:dyDescent="0.25">
      <c r="A123" s="37" t="s">
        <v>21</v>
      </c>
      <c r="B123" s="49">
        <f t="shared" si="153"/>
        <v>1.5</v>
      </c>
      <c r="C123" s="36" t="str">
        <f t="shared" si="154"/>
        <v>tbs</v>
      </c>
      <c r="D123" s="37" t="str">
        <f>_xlfn.CONCAT(K123, U123)</f>
        <v>minced fresh ginger</v>
      </c>
      <c r="I123" s="59">
        <v>3</v>
      </c>
      <c r="J123" s="52" t="s">
        <v>15</v>
      </c>
      <c r="K123" s="52" t="s">
        <v>221</v>
      </c>
      <c r="L123" s="53" t="s">
        <v>15</v>
      </c>
      <c r="M123" s="44">
        <f t="shared" si="155"/>
        <v>0</v>
      </c>
      <c r="N123" s="44">
        <f t="shared" si="156"/>
        <v>0</v>
      </c>
      <c r="O123" s="44">
        <f t="shared" si="157"/>
        <v>0</v>
      </c>
      <c r="P123" s="44">
        <f t="shared" si="158"/>
        <v>4.4360294343749995E-2</v>
      </c>
      <c r="Q123" s="44">
        <f>MROUND(IF(AND(J123 = "", L123 = ""), I123 * recipe08DayScale, IF(ISNA(CONVERT(O123, "kg", L123)), CONVERT(P123 * recipe08DayScale, "l", L123), CONVERT(O123 * recipe08DayScale, "kg", L123))), roundTo)</f>
        <v>1.5</v>
      </c>
      <c r="R123" s="44">
        <f>recipe08TotScale * IF(L123 = "", Q123 * M123, IF(ISNA(CONVERT(Q123, L123, "kg")), CONVERT(Q123, L123, "l") * IF(N123 &lt;&gt; 0, M123 / N123, 0), CONVERT(Q123, L123, "kg")))</f>
        <v>0</v>
      </c>
      <c r="S123" s="44">
        <f>recipe08TotScale * IF(R123 = 0, IF(L123 = "", Q123 * N123, IF(ISNA(CONVERT(Q123, L123, "l")), CONVERT(Q123, L123, "kg") * IF(M123 &lt;&gt; 0, N123 / M123, 0), CONVERT(Q123, L123, "l"))), 0)</f>
        <v>2.2180147171874998E-2</v>
      </c>
      <c r="T123" s="44">
        <f>recipe08TotScale * IF(AND(R123 = 0, S123 = 0, J123 = "", L123 = ""), Q123, 0)</f>
        <v>0</v>
      </c>
      <c r="V123" s="41" t="b">
        <f>INDEX(itemPrepMethods, MATCH(K123, itemNames, 0))="chop"</f>
        <v>1</v>
      </c>
      <c r="W123" s="54">
        <f>IF(V123, Q123, "")</f>
        <v>1.5</v>
      </c>
      <c r="X123" s="55" t="str">
        <f>IF(V123, IF(L123 = "", "", L123), "")</f>
        <v>tbs</v>
      </c>
      <c r="Y123" s="55" t="str">
        <f>IF(V123, K123, "")</f>
        <v>minced fresh ginger</v>
      </c>
      <c r="Z123" s="56"/>
      <c r="AA123" s="41" t="b">
        <f>INDEX(itemPrepMethods, MATCH(K123, itemNames, 0))="soak"</f>
        <v>0</v>
      </c>
      <c r="AB123" s="55" t="str">
        <f>IF(AA123, Q123, "")</f>
        <v/>
      </c>
      <c r="AC123" s="55" t="str">
        <f>IF(AA123, IF(L123 = "", "", L123), "")</f>
        <v/>
      </c>
      <c r="AD123" s="55" t="str">
        <f>IF(AA123, K123, "")</f>
        <v/>
      </c>
    </row>
    <row r="124" spans="1:30" x14ac:dyDescent="0.25">
      <c r="A124" s="115"/>
      <c r="B124" s="115"/>
      <c r="C124" s="115"/>
      <c r="D124" s="115"/>
      <c r="I124" s="41"/>
      <c r="L124" s="41"/>
      <c r="W124" s="71"/>
      <c r="X124" s="71"/>
      <c r="Y124" s="71"/>
      <c r="Z124" s="71"/>
      <c r="AA124" s="64"/>
      <c r="AB124" s="71"/>
      <c r="AC124" s="71"/>
      <c r="AD124" s="71"/>
    </row>
    <row r="125" spans="1:30" x14ac:dyDescent="0.25">
      <c r="A125" s="115" t="s">
        <v>222</v>
      </c>
      <c r="B125" s="115"/>
      <c r="C125" s="115"/>
      <c r="D125" s="115"/>
      <c r="I125" s="41"/>
      <c r="L125" s="41"/>
      <c r="W125" s="71"/>
      <c r="X125" s="71"/>
      <c r="Y125" s="71"/>
      <c r="Z125" s="71"/>
      <c r="AA125" s="64"/>
      <c r="AB125" s="71"/>
      <c r="AC125" s="71"/>
      <c r="AD125" s="71"/>
    </row>
    <row r="126" spans="1:30" x14ac:dyDescent="0.25">
      <c r="A126" s="37" t="s">
        <v>21</v>
      </c>
      <c r="D126" s="37" t="str">
        <f>_xlfn.CONCAT(K126, U126)</f>
        <v>bring to boil over high heat then cover and reduce heat</v>
      </c>
      <c r="I126" s="41"/>
      <c r="L126" s="41"/>
      <c r="U126" s="41" t="s">
        <v>223</v>
      </c>
      <c r="W126" s="71"/>
      <c r="X126" s="71"/>
      <c r="Y126" s="71"/>
      <c r="Z126" s="71"/>
      <c r="AA126" s="64"/>
      <c r="AB126" s="71"/>
      <c r="AC126" s="71"/>
      <c r="AD126" s="71"/>
    </row>
    <row r="127" spans="1:30" x14ac:dyDescent="0.25">
      <c r="A127" s="37" t="s">
        <v>21</v>
      </c>
      <c r="D127" s="37" t="str">
        <f>_xlfn.CONCAT(K127, U127)</f>
        <v>simmer for 20 minutes or until lentils have dissolved into a thick soup porridge</v>
      </c>
      <c r="I127" s="41"/>
      <c r="L127" s="41"/>
      <c r="U127" s="41" t="s">
        <v>224</v>
      </c>
      <c r="W127" s="71"/>
      <c r="X127" s="71"/>
      <c r="Y127" s="71"/>
      <c r="Z127" s="71"/>
      <c r="AA127" s="64"/>
      <c r="AB127" s="71"/>
      <c r="AC127" s="71"/>
      <c r="AD127" s="71"/>
    </row>
    <row r="128" spans="1:30" x14ac:dyDescent="0.25">
      <c r="A128" s="37" t="s">
        <v>21</v>
      </c>
      <c r="D128" s="37" t="str">
        <f>_xlfn.CONCAT(K128, U128)</f>
        <v>add more water if needed and set aside</v>
      </c>
      <c r="I128" s="41"/>
      <c r="L128" s="41"/>
      <c r="U128" s="41" t="s">
        <v>225</v>
      </c>
      <c r="W128" s="71"/>
      <c r="X128" s="71"/>
      <c r="Y128" s="71"/>
      <c r="Z128" s="71"/>
      <c r="AA128" s="64"/>
      <c r="AB128" s="71"/>
      <c r="AC128" s="71"/>
      <c r="AD128" s="71"/>
    </row>
    <row r="129" spans="1:30" x14ac:dyDescent="0.25">
      <c r="A129" s="115"/>
      <c r="B129" s="115"/>
      <c r="C129" s="115"/>
      <c r="D129" s="115"/>
      <c r="I129" s="41"/>
      <c r="L129" s="41"/>
      <c r="W129" s="71"/>
      <c r="X129" s="71"/>
      <c r="Y129" s="71"/>
      <c r="Z129" s="71"/>
      <c r="AA129" s="64"/>
      <c r="AB129" s="71"/>
      <c r="AC129" s="71"/>
      <c r="AD129" s="71"/>
    </row>
    <row r="130" spans="1:30" x14ac:dyDescent="0.25">
      <c r="A130" s="115" t="s">
        <v>236</v>
      </c>
      <c r="B130" s="115"/>
      <c r="C130" s="115"/>
      <c r="D130" s="115"/>
      <c r="I130" s="41"/>
      <c r="L130" s="41"/>
      <c r="W130" s="71"/>
      <c r="X130" s="71"/>
      <c r="Y130" s="71"/>
      <c r="Z130" s="71"/>
      <c r="AA130" s="64"/>
      <c r="AB130" s="71"/>
      <c r="AC130" s="71"/>
      <c r="AD130" s="71"/>
    </row>
    <row r="131" spans="1:30" x14ac:dyDescent="0.25">
      <c r="A131" s="37" t="s">
        <v>21</v>
      </c>
      <c r="B131" s="49">
        <f t="shared" si="153"/>
        <v>0.25</v>
      </c>
      <c r="C131" s="36" t="str">
        <f t="shared" si="154"/>
        <v>cup</v>
      </c>
      <c r="D131" s="37" t="str">
        <f>_xlfn.CONCAT(K131, U131)</f>
        <v>oil</v>
      </c>
      <c r="I131" s="59">
        <v>0.5</v>
      </c>
      <c r="J131" s="52" t="s">
        <v>16</v>
      </c>
      <c r="K131" s="52" t="s">
        <v>46</v>
      </c>
      <c r="L131" s="53" t="s">
        <v>16</v>
      </c>
      <c r="M131" s="44">
        <f t="shared" si="155"/>
        <v>0</v>
      </c>
      <c r="N131" s="44">
        <f t="shared" si="156"/>
        <v>0</v>
      </c>
      <c r="O131" s="44">
        <f t="shared" si="157"/>
        <v>0</v>
      </c>
      <c r="P131" s="44">
        <f t="shared" si="158"/>
        <v>0.11829411825</v>
      </c>
      <c r="Q131" s="44">
        <f>MROUND(IF(AND(J131 = "", L131 = ""), I131 * recipe08DayScale, IF(ISNA(CONVERT(O131, "kg", L131)), CONVERT(P131 * recipe08DayScale, "l", L131), CONVERT(O131 * recipe08DayScale, "kg", L131))), roundTo)</f>
        <v>0.25</v>
      </c>
      <c r="R131" s="44">
        <f>recipe08TotScale * IF(L131 = "", Q131 * M131, IF(ISNA(CONVERT(Q131, L131, "kg")), CONVERT(Q131, L131, "l") * IF(N131 &lt;&gt; 0, M131 / N131, 0), CONVERT(Q131, L131, "kg")))</f>
        <v>0</v>
      </c>
      <c r="S131" s="44">
        <f>recipe08TotScale * IF(R131 = 0, IF(L131 = "", Q131 * N131, IF(ISNA(CONVERT(Q131, L131, "l")), CONVERT(Q131, L131, "kg") * IF(M131 &lt;&gt; 0, N131 / M131, 0), CONVERT(Q131, L131, "l"))), 0)</f>
        <v>5.9147059124999998E-2</v>
      </c>
      <c r="T131" s="44">
        <f>recipe08TotScale * IF(AND(R131 = 0, S131 = 0, J131 = "", L131 = ""), Q131, 0)</f>
        <v>0</v>
      </c>
      <c r="V131" s="41" t="b">
        <f>INDEX(itemPrepMethods, MATCH(K131, itemNames, 0))="chop"</f>
        <v>0</v>
      </c>
      <c r="W131" s="54" t="str">
        <f>IF(V131, Q131, "")</f>
        <v/>
      </c>
      <c r="X131" s="55" t="str">
        <f>IF(V131, IF(L131 = "", "", L131), "")</f>
        <v/>
      </c>
      <c r="Y131" s="55" t="str">
        <f>IF(V131, K131, "")</f>
        <v/>
      </c>
      <c r="Z131" s="56"/>
      <c r="AA131" s="41" t="b">
        <f>INDEX(itemPrepMethods, MATCH(K131, itemNames, 0))="soak"</f>
        <v>0</v>
      </c>
      <c r="AB131" s="55" t="str">
        <f>IF(AA131, Q131, "")</f>
        <v/>
      </c>
      <c r="AC131" s="55" t="str">
        <f>IF(AA131, IF(L131 = "", "", L131), "")</f>
        <v/>
      </c>
      <c r="AD131" s="55" t="str">
        <f>IF(AA131, K131, "")</f>
        <v/>
      </c>
    </row>
    <row r="132" spans="1:30" x14ac:dyDescent="0.25">
      <c r="A132" s="115"/>
      <c r="B132" s="115"/>
      <c r="C132" s="115"/>
      <c r="D132" s="115"/>
      <c r="I132" s="41"/>
      <c r="L132" s="41"/>
      <c r="W132" s="71"/>
      <c r="X132" s="71"/>
      <c r="Y132" s="71"/>
      <c r="Z132" s="71"/>
      <c r="AA132" s="64"/>
      <c r="AB132" s="71"/>
      <c r="AC132" s="71"/>
      <c r="AD132" s="71"/>
    </row>
    <row r="133" spans="1:30" x14ac:dyDescent="0.25">
      <c r="A133" s="115" t="s">
        <v>274</v>
      </c>
      <c r="B133" s="115"/>
      <c r="C133" s="115"/>
      <c r="D133" s="115"/>
      <c r="I133" s="41"/>
      <c r="L133" s="41"/>
      <c r="W133" s="71"/>
      <c r="X133" s="71"/>
      <c r="Y133" s="71"/>
      <c r="Z133" s="71"/>
      <c r="AA133" s="64"/>
      <c r="AB133" s="71"/>
      <c r="AC133" s="71"/>
      <c r="AD133" s="71"/>
    </row>
    <row r="134" spans="1:30" x14ac:dyDescent="0.25">
      <c r="A134" s="37" t="s">
        <v>21</v>
      </c>
      <c r="B134" s="49">
        <f t="shared" si="153"/>
        <v>3.5</v>
      </c>
      <c r="C134" s="36" t="str">
        <f t="shared" si="154"/>
        <v>tbs</v>
      </c>
      <c r="D134" s="37" t="str">
        <f>_xlfn.CONCAT(K134, U134)</f>
        <v>cumin seeds</v>
      </c>
      <c r="I134" s="59">
        <v>7.5</v>
      </c>
      <c r="J134" s="52" t="s">
        <v>15</v>
      </c>
      <c r="K134" s="52" t="s">
        <v>49</v>
      </c>
      <c r="L134" s="53" t="s">
        <v>15</v>
      </c>
      <c r="M134" s="44">
        <f t="shared" si="155"/>
        <v>1.0999999999999999E-2</v>
      </c>
      <c r="N134" s="44">
        <f t="shared" si="156"/>
        <v>2.2180100000000001E-2</v>
      </c>
      <c r="O134" s="44">
        <f t="shared" si="157"/>
        <v>5.5000116972111261E-2</v>
      </c>
      <c r="P134" s="44">
        <f t="shared" si="158"/>
        <v>0.110900735859375</v>
      </c>
      <c r="Q134" s="44">
        <f>MROUND(IF(AND(J134 = "", L134 = ""), I134 * recipe08DayScale, IF(ISNA(CONVERT(O134, "kg", L134)), CONVERT(P134 * recipe08DayScale, "l", L134), CONVERT(O134 * recipe08DayScale, "kg", L134))), roundTo)</f>
        <v>3.5</v>
      </c>
      <c r="R134" s="44">
        <f>recipe08TotScale * IF(L134 = "", Q134 * M134, IF(ISNA(CONVERT(Q134, L134, "kg")), CONVERT(Q134, L134, "l") * IF(N134 &lt;&gt; 0, M134 / N134, 0), CONVERT(Q134, L134, "kg")))</f>
        <v>2.5666721253651919E-2</v>
      </c>
      <c r="S134" s="44">
        <f>recipe08TotScale * IF(R134 = 0, IF(L134 = "", Q134 * N134, IF(ISNA(CONVERT(Q134, L134, "l")), CONVERT(Q134, L134, "kg") * IF(M134 &lt;&gt; 0, N134 / M134, 0), CONVERT(Q134, L134, "l"))), 0)</f>
        <v>0</v>
      </c>
      <c r="T134" s="44">
        <f>recipe08TotScale * IF(AND(R134 = 0, S134 = 0, J134 = "", L134 = ""), Q134, 0)</f>
        <v>0</v>
      </c>
      <c r="V134" s="41" t="b">
        <f>INDEX(itemPrepMethods, MATCH(K134, itemNames, 0))="chop"</f>
        <v>0</v>
      </c>
      <c r="W134" s="54" t="str">
        <f>IF(V134, Q134, "")</f>
        <v/>
      </c>
      <c r="X134" s="55" t="str">
        <f>IF(V134, IF(L134 = "", "", L134), "")</f>
        <v/>
      </c>
      <c r="Y134" s="55" t="str">
        <f>IF(V134, K134, "")</f>
        <v/>
      </c>
      <c r="Z134" s="56"/>
      <c r="AA134" s="41" t="b">
        <f>INDEX(itemPrepMethods, MATCH(K134, itemNames, 0))="soak"</f>
        <v>0</v>
      </c>
      <c r="AB134" s="55" t="str">
        <f>IF(AA134, Q134, "")</f>
        <v/>
      </c>
      <c r="AC134" s="55" t="str">
        <f>IF(AA134, IF(L134 = "", "", L134), "")</f>
        <v/>
      </c>
      <c r="AD134" s="55" t="str">
        <f>IF(AA134, K134, "")</f>
        <v/>
      </c>
    </row>
    <row r="135" spans="1:30" x14ac:dyDescent="0.25">
      <c r="A135" s="37" t="s">
        <v>21</v>
      </c>
      <c r="B135" s="49">
        <f t="shared" si="153"/>
        <v>3.5</v>
      </c>
      <c r="C135" s="36" t="str">
        <f t="shared" si="154"/>
        <v>tbs</v>
      </c>
      <c r="D135" s="37" t="str">
        <f>_xlfn.CONCAT(K135, U135)</f>
        <v>black mustard seeds</v>
      </c>
      <c r="I135" s="59">
        <v>7.5</v>
      </c>
      <c r="J135" s="52" t="s">
        <v>15</v>
      </c>
      <c r="K135" s="52" t="s">
        <v>48</v>
      </c>
      <c r="L135" s="53" t="s">
        <v>15</v>
      </c>
      <c r="M135" s="44">
        <f t="shared" si="155"/>
        <v>1.6E-2</v>
      </c>
      <c r="N135" s="44">
        <f t="shared" si="156"/>
        <v>2.2180100000000001E-2</v>
      </c>
      <c r="O135" s="44">
        <f t="shared" si="157"/>
        <v>8.0000170141252741E-2</v>
      </c>
      <c r="P135" s="44">
        <f t="shared" si="158"/>
        <v>0.110900735859375</v>
      </c>
      <c r="Q135" s="44">
        <f>MROUND(IF(AND(J135 = "", L135 = ""), I135 * recipe08DayScale, IF(ISNA(CONVERT(O135, "kg", L135)), CONVERT(P135 * recipe08DayScale, "l", L135), CONVERT(O135 * recipe08DayScale, "kg", L135))), roundTo)</f>
        <v>3.5</v>
      </c>
      <c r="R135" s="44">
        <f>recipe08TotScale * IF(L135 = "", Q135 * M135, IF(ISNA(CONVERT(Q135, L135, "kg")), CONVERT(Q135, L135, "l") * IF(N135 &lt;&gt; 0, M135 / N135, 0), CONVERT(Q135, L135, "kg")))</f>
        <v>3.7333412732584614E-2</v>
      </c>
      <c r="S135" s="44">
        <f>recipe08TotScale * IF(R135 = 0, IF(L135 = "", Q135 * N135, IF(ISNA(CONVERT(Q135, L135, "l")), CONVERT(Q135, L135, "kg") * IF(M135 &lt;&gt; 0, N135 / M135, 0), CONVERT(Q135, L135, "l"))), 0)</f>
        <v>0</v>
      </c>
      <c r="T135" s="44">
        <f>recipe08TotScale * IF(AND(R135 = 0, S135 = 0, J135 = "", L135 = ""), Q135, 0)</f>
        <v>0</v>
      </c>
      <c r="V135" s="41" t="b">
        <f>INDEX(itemPrepMethods, MATCH(K135, itemNames, 0))="chop"</f>
        <v>0</v>
      </c>
      <c r="W135" s="54" t="str">
        <f>IF(V135, Q135, "")</f>
        <v/>
      </c>
      <c r="X135" s="55" t="str">
        <f>IF(V135, IF(L135 = "", "", L135), "")</f>
        <v/>
      </c>
      <c r="Y135" s="55" t="str">
        <f>IF(V135, K135, "")</f>
        <v/>
      </c>
      <c r="Z135" s="56"/>
      <c r="AA135" s="41" t="b">
        <f>INDEX(itemPrepMethods, MATCH(K135, itemNames, 0))="soak"</f>
        <v>0</v>
      </c>
      <c r="AB135" s="55" t="str">
        <f>IF(AA135, Q135, "")</f>
        <v/>
      </c>
      <c r="AC135" s="55" t="str">
        <f>IF(AA135, IF(L135 = "", "", L135), "")</f>
        <v/>
      </c>
      <c r="AD135" s="55" t="str">
        <f>IF(AA135, K135, "")</f>
        <v/>
      </c>
    </row>
    <row r="136" spans="1:30" x14ac:dyDescent="0.25">
      <c r="A136" s="115"/>
      <c r="B136" s="115"/>
      <c r="C136" s="115"/>
      <c r="D136" s="115"/>
      <c r="I136" s="41"/>
      <c r="L136" s="41"/>
      <c r="W136" s="71"/>
      <c r="X136" s="71"/>
      <c r="Y136" s="71"/>
      <c r="Z136" s="71"/>
      <c r="AA136" s="64"/>
      <c r="AB136" s="71"/>
      <c r="AC136" s="71"/>
      <c r="AD136" s="71"/>
    </row>
    <row r="137" spans="1:30" x14ac:dyDescent="0.25">
      <c r="A137" s="115" t="s">
        <v>226</v>
      </c>
      <c r="B137" s="115"/>
      <c r="C137" s="115"/>
      <c r="D137" s="115"/>
      <c r="I137" s="41"/>
      <c r="L137" s="41"/>
      <c r="W137" s="71"/>
      <c r="X137" s="71"/>
      <c r="Y137" s="71"/>
      <c r="Z137" s="71"/>
      <c r="AA137" s="64"/>
      <c r="AB137" s="71"/>
      <c r="AC137" s="71"/>
      <c r="AD137" s="71"/>
    </row>
    <row r="138" spans="1:30" x14ac:dyDescent="0.25">
      <c r="C138" s="37"/>
      <c r="I138" s="41"/>
      <c r="L138" s="41"/>
      <c r="W138" s="71"/>
      <c r="X138" s="71"/>
      <c r="Y138" s="71"/>
      <c r="Z138" s="71"/>
      <c r="AA138" s="64"/>
      <c r="AB138" s="71"/>
      <c r="AC138" s="71"/>
      <c r="AD138" s="71"/>
    </row>
    <row r="139" spans="1:30" x14ac:dyDescent="0.25">
      <c r="A139" s="115" t="s">
        <v>227</v>
      </c>
      <c r="B139" s="115"/>
      <c r="C139" s="115"/>
      <c r="D139" s="115"/>
      <c r="I139" s="41"/>
      <c r="L139" s="41"/>
      <c r="W139" s="71"/>
      <c r="X139" s="71"/>
      <c r="Y139" s="71"/>
      <c r="Z139" s="71"/>
      <c r="AA139" s="64"/>
      <c r="AB139" s="71"/>
      <c r="AC139" s="71"/>
      <c r="AD139" s="71"/>
    </row>
    <row r="140" spans="1:30" x14ac:dyDescent="0.25">
      <c r="A140" s="37" t="s">
        <v>21</v>
      </c>
      <c r="B140" s="49"/>
      <c r="C140" s="36" t="str">
        <f t="shared" si="154"/>
        <v/>
      </c>
      <c r="D140" s="37" t="str">
        <f>_xlfn.CONCAT(K140, U140)</f>
        <v>sprigs fresh corriander, if available</v>
      </c>
      <c r="I140" s="60"/>
      <c r="J140" s="57"/>
      <c r="K140" s="52" t="s">
        <v>82</v>
      </c>
      <c r="L140" s="57"/>
      <c r="M140" s="57"/>
      <c r="N140" s="57"/>
      <c r="O140" s="57"/>
      <c r="P140" s="57"/>
      <c r="U140" s="41" t="s">
        <v>228</v>
      </c>
      <c r="V140" s="41" t="b">
        <f>INDEX(itemPrepMethods, MATCH(K140, itemNames, 0))="chop"</f>
        <v>0</v>
      </c>
      <c r="W140" s="54" t="str">
        <f>IF(V140, Q140, "")</f>
        <v/>
      </c>
      <c r="X140" s="55" t="str">
        <f>IF(V140, IF(L140 = "", "", L140), "")</f>
        <v/>
      </c>
      <c r="Y140" s="55" t="str">
        <f>IF(V140, K140, "")</f>
        <v/>
      </c>
      <c r="Z140" s="56"/>
      <c r="AA140" s="41" t="b">
        <f>INDEX(itemPrepMethods, MATCH(K140, itemNames, 0))="soak"</f>
        <v>0</v>
      </c>
      <c r="AB140" s="55" t="str">
        <f>IF(AA140, Q140, "")</f>
        <v/>
      </c>
      <c r="AC140" s="55" t="str">
        <f>IF(AA140, IF(L140 = "", "", L140), "")</f>
        <v/>
      </c>
      <c r="AD140" s="55" t="str">
        <f>IF(AA140, K140, "")</f>
        <v/>
      </c>
    </row>
    <row r="141" spans="1:30" ht="15.75" x14ac:dyDescent="0.25">
      <c r="A141" s="117" t="s">
        <v>27</v>
      </c>
      <c r="B141" s="117"/>
      <c r="C141" s="117"/>
      <c r="D141" s="117"/>
      <c r="E141" s="40" t="s">
        <v>127</v>
      </c>
      <c r="F141" s="100" t="s">
        <v>81</v>
      </c>
      <c r="G141" s="100"/>
      <c r="H141" s="44"/>
    </row>
    <row r="142" spans="1:30" ht="24" x14ac:dyDescent="0.2">
      <c r="A142" s="117" t="s">
        <v>28</v>
      </c>
      <c r="B142" s="117"/>
      <c r="C142" s="117"/>
      <c r="D142" s="117"/>
      <c r="E142" s="39" t="s">
        <v>53</v>
      </c>
      <c r="F142" s="87">
        <v>21</v>
      </c>
      <c r="G142" s="44"/>
      <c r="H142" s="44"/>
      <c r="I142" s="67" t="s">
        <v>434</v>
      </c>
      <c r="J142" s="68" t="s">
        <v>435</v>
      </c>
      <c r="K142" s="68" t="s">
        <v>17</v>
      </c>
      <c r="L142" s="69" t="s">
        <v>438</v>
      </c>
      <c r="M142" s="67" t="s">
        <v>141</v>
      </c>
      <c r="N142" s="67" t="s">
        <v>142</v>
      </c>
      <c r="O142" s="67" t="s">
        <v>436</v>
      </c>
      <c r="P142" s="67" t="s">
        <v>437</v>
      </c>
      <c r="Q142" s="68" t="s">
        <v>353</v>
      </c>
      <c r="R142" s="67" t="s">
        <v>354</v>
      </c>
      <c r="S142" s="67" t="s">
        <v>355</v>
      </c>
      <c r="T142" s="67" t="s">
        <v>356</v>
      </c>
      <c r="U142" s="68" t="s">
        <v>22</v>
      </c>
      <c r="V142" s="68" t="s">
        <v>202</v>
      </c>
      <c r="W142" s="70" t="s">
        <v>353</v>
      </c>
      <c r="X142" s="68" t="s">
        <v>200</v>
      </c>
      <c r="Y142" s="68" t="s">
        <v>201</v>
      </c>
      <c r="Z142" s="68" t="s">
        <v>302</v>
      </c>
      <c r="AA142" s="68" t="s">
        <v>203</v>
      </c>
      <c r="AB142" s="70" t="s">
        <v>353</v>
      </c>
      <c r="AC142" s="68" t="s">
        <v>204</v>
      </c>
      <c r="AD142" s="68" t="s">
        <v>205</v>
      </c>
    </row>
    <row r="143" spans="1:30" ht="13.5" thickBot="1" x14ac:dyDescent="0.3">
      <c r="A143" s="118" t="str">
        <f>_xlfn.CONCAT(F143," servings")</f>
        <v>10 servings</v>
      </c>
      <c r="B143" s="118"/>
      <c r="C143" s="118"/>
      <c r="D143" s="118"/>
      <c r="E143" s="63" t="s">
        <v>348</v>
      </c>
      <c r="F143" s="87">
        <f>suDiCount</f>
        <v>10</v>
      </c>
      <c r="G143" s="44"/>
      <c r="I143" s="41"/>
      <c r="L143" s="41"/>
      <c r="W143" s="64"/>
      <c r="X143" s="64"/>
      <c r="Y143" s="64"/>
      <c r="Z143" s="64"/>
      <c r="AA143" s="64"/>
      <c r="AB143" s="64"/>
      <c r="AC143" s="64"/>
      <c r="AD143" s="64"/>
    </row>
    <row r="144" spans="1:30" s="102" customFormat="1" ht="15.75" thickBot="1" x14ac:dyDescent="0.3">
      <c r="A144" s="115"/>
      <c r="B144" s="115"/>
      <c r="C144" s="115"/>
      <c r="D144" s="115"/>
      <c r="E144" s="63" t="s">
        <v>351</v>
      </c>
      <c r="F144" s="47">
        <f>F143/F142</f>
        <v>0.47619047619047616</v>
      </c>
      <c r="G144" s="48" t="s">
        <v>365</v>
      </c>
      <c r="M144" s="44"/>
      <c r="N144" s="44"/>
      <c r="O144" s="44"/>
      <c r="P144" s="44"/>
      <c r="Q144" s="44"/>
      <c r="R144" s="44"/>
      <c r="S144" s="44"/>
      <c r="T144" s="44"/>
    </row>
    <row r="145" spans="1:30" x14ac:dyDescent="0.25">
      <c r="A145" s="115" t="s">
        <v>229</v>
      </c>
      <c r="B145" s="115"/>
      <c r="C145" s="115"/>
      <c r="D145" s="115"/>
      <c r="E145" s="64"/>
      <c r="F145" s="64"/>
      <c r="G145" s="64"/>
      <c r="I145" s="41"/>
      <c r="L145" s="41"/>
      <c r="W145" s="64"/>
      <c r="X145" s="64"/>
      <c r="Y145" s="64"/>
      <c r="Z145" s="64"/>
      <c r="AA145" s="64"/>
      <c r="AB145" s="64"/>
      <c r="AC145" s="64"/>
      <c r="AD145" s="64"/>
    </row>
    <row r="146" spans="1:30" ht="15.75" thickBot="1" x14ac:dyDescent="0.3">
      <c r="A146" s="37" t="s">
        <v>21</v>
      </c>
      <c r="B146" s="49">
        <f t="shared" ref="B146:B155" si="159">Q146</f>
        <v>0.5</v>
      </c>
      <c r="C146" s="36" t="str">
        <f t="shared" ref="C146:C158" si="160">IF(L146="","",L146)</f>
        <v>cup</v>
      </c>
      <c r="D146" s="37" t="str">
        <f>_xlfn.CONCAT(K146, U146)</f>
        <v>oil</v>
      </c>
      <c r="E146" s="63" t="s">
        <v>327</v>
      </c>
      <c r="F146" s="87">
        <f>suDiCount</f>
        <v>10</v>
      </c>
      <c r="G146" s="64"/>
      <c r="I146" s="51">
        <v>1.25</v>
      </c>
      <c r="J146" s="52" t="s">
        <v>16</v>
      </c>
      <c r="K146" s="52" t="s">
        <v>46</v>
      </c>
      <c r="L146" s="53" t="s">
        <v>16</v>
      </c>
      <c r="M146" s="44">
        <f t="shared" ref="M146:M155" si="161">INDEX(itemGPerQty, MATCH(K146, itemNames, 0))</f>
        <v>0</v>
      </c>
      <c r="N146" s="44">
        <f t="shared" ref="N146:N155" si="162">INDEX(itemMlPerQty, MATCH(K146, itemNames, 0))</f>
        <v>0</v>
      </c>
      <c r="O146" s="44">
        <f t="shared" ref="O146:O155" si="163">IF(J146 = "", I146 * M146, IF(ISNA(CONVERT(I146, J146, "kg")), CONVERT(I146, J146, "l") * IF(N146 &lt;&gt; 0, M146 / N146, 0), CONVERT(I146, J146, "kg")))</f>
        <v>0</v>
      </c>
      <c r="P146" s="44">
        <f t="shared" ref="P146:P155" si="164">IF(J146 = "", I146 * N146, IF(ISNA(CONVERT(I146, J146, "l")), CONVERT(I146, J146, "kg") * IF(M146 &lt;&gt; 0, N146 / M146, 0), CONVERT(I146, J146, "l")))</f>
        <v>0.29573529562500001</v>
      </c>
      <c r="Q146" s="44">
        <f>MROUND(IF(AND(J146 = "", L146 = ""), I146 * recipe03DayScale, IF(ISNA(CONVERT(O146, "kg", L146)), CONVERT(P146 * recipe03DayScale, "l", L146), CONVERT(O146 * recipe03DayScale, "kg", L146))), roundTo)</f>
        <v>0.5</v>
      </c>
      <c r="R146" s="44">
        <f>recipe03TotScale * IF(L146 = "", Q146 * M146, IF(ISNA(CONVERT(Q146, L146, "kg")), CONVERT(Q146, L146, "l") * IF(N146 &lt;&gt; 0, M146 / N146, 0), CONVERT(Q146, L146, "kg")))</f>
        <v>0</v>
      </c>
      <c r="S146" s="44">
        <f>recipe03TotScale * IF(R146 = 0, IF(L146 = "", Q146 * N146, IF(ISNA(CONVERT(Q146, L146, "l")), CONVERT(Q146, L146, "kg") * IF(M146 &lt;&gt; 0, N146 / M146, 0), CONVERT(Q146, L146, "l"))), 0)</f>
        <v>0.11829411825</v>
      </c>
      <c r="T146" s="44">
        <f>recipe03TotScale * IF(AND(R146 = 0, S146 = 0, J146 = "", L146 = ""), Q146, 0)</f>
        <v>0</v>
      </c>
      <c r="V146" s="41" t="b">
        <f>INDEX(itemPrepMethods, MATCH(K146, itemNames, 0))="chop"</f>
        <v>0</v>
      </c>
      <c r="W146" s="54" t="str">
        <f>IF(V146, Q146, "")</f>
        <v/>
      </c>
      <c r="X146" s="55" t="str">
        <f>IF(V146, IF(L146 = "", "", L146), "")</f>
        <v/>
      </c>
      <c r="Y146" s="55" t="str">
        <f>IF(V146, K146, "")</f>
        <v/>
      </c>
      <c r="Z146" s="56"/>
      <c r="AA146" s="41" t="b">
        <f>INDEX(itemPrepMethods, MATCH(K146, itemNames, 0))="soak"</f>
        <v>0</v>
      </c>
      <c r="AB146" s="55" t="str">
        <f>IF(AA146, Q146, "")</f>
        <v/>
      </c>
      <c r="AC146" s="55" t="str">
        <f>IF(AA146, IF(L146 = "", "", L146), "")</f>
        <v/>
      </c>
      <c r="AD146" s="55" t="str">
        <f>IF(AA146, K146, "")</f>
        <v/>
      </c>
    </row>
    <row r="147" spans="1:30" ht="15.75" thickBot="1" x14ac:dyDescent="0.3">
      <c r="A147" s="37" t="s">
        <v>21</v>
      </c>
      <c r="B147" s="49">
        <f t="shared" si="159"/>
        <v>7.25</v>
      </c>
      <c r="C147" s="36" t="str">
        <f t="shared" si="160"/>
        <v/>
      </c>
      <c r="D147" s="37" t="str">
        <f>_xlfn.CONCAT(K147, U147)</f>
        <v>diced carrots</v>
      </c>
      <c r="E147" s="63" t="s">
        <v>352</v>
      </c>
      <c r="F147" s="47">
        <f>F146/F143</f>
        <v>1</v>
      </c>
      <c r="G147" s="48" t="s">
        <v>366</v>
      </c>
      <c r="I147" s="51">
        <v>15</v>
      </c>
      <c r="J147" s="52"/>
      <c r="K147" s="52" t="s">
        <v>96</v>
      </c>
      <c r="L147" s="53"/>
      <c r="M147" s="44">
        <f t="shared" si="161"/>
        <v>0</v>
      </c>
      <c r="N147" s="44">
        <f t="shared" si="162"/>
        <v>0</v>
      </c>
      <c r="O147" s="44">
        <f t="shared" si="163"/>
        <v>0</v>
      </c>
      <c r="P147" s="44">
        <f t="shared" si="164"/>
        <v>0</v>
      </c>
      <c r="Q147" s="44">
        <f>MROUND(IF(AND(J147 = "", L147 = ""), I147 * recipe03DayScale, IF(ISNA(CONVERT(O147, "kg", L147)), CONVERT(P147 * recipe03DayScale, "l", L147), CONVERT(O147 * recipe03DayScale, "kg", L147))), roundTo)</f>
        <v>7.25</v>
      </c>
      <c r="R147" s="44">
        <f>recipe03TotScale * IF(L147 = "", Q147 * M147, IF(ISNA(CONVERT(Q147, L147, "kg")), CONVERT(Q147, L147, "l") * IF(N147 &lt;&gt; 0, M147 / N147, 0), CONVERT(Q147, L147, "kg")))</f>
        <v>0</v>
      </c>
      <c r="S147" s="44">
        <f>recipe03TotScale * IF(R147 = 0, IF(L147 = "", Q147 * N147, IF(ISNA(CONVERT(Q147, L147, "l")), CONVERT(Q147, L147, "kg") * IF(M147 &lt;&gt; 0, N147 / M147, 0), CONVERT(Q147, L147, "l"))), 0)</f>
        <v>0</v>
      </c>
      <c r="T147" s="44">
        <f>recipe03TotScale * IF(AND(R147 = 0, S147 = 0, J147 = "", L147 = ""), Q147, 0)</f>
        <v>7.25</v>
      </c>
      <c r="V147" s="41" t="b">
        <f>INDEX(itemPrepMethods, MATCH(K147, itemNames, 0))="chop"</f>
        <v>1</v>
      </c>
      <c r="W147" s="54">
        <f>IF(V147, Q147, "")</f>
        <v>7.25</v>
      </c>
      <c r="X147" s="55" t="str">
        <f>IF(V147, IF(L147 = "", "", L147), "")</f>
        <v/>
      </c>
      <c r="Y147" s="55" t="str">
        <f>IF(V147, K147, "")</f>
        <v>diced carrots</v>
      </c>
      <c r="Z147" s="56"/>
      <c r="AA147" s="41" t="b">
        <f>INDEX(itemPrepMethods, MATCH(K147, itemNames, 0))="soak"</f>
        <v>0</v>
      </c>
      <c r="AB147" s="55" t="str">
        <f>IF(AA147, Q147, "")</f>
        <v/>
      </c>
      <c r="AC147" s="55" t="str">
        <f>IF(AA147, IF(L147 = "", "", L147), "")</f>
        <v/>
      </c>
      <c r="AD147" s="55" t="str">
        <f>IF(AA147, K147, "")</f>
        <v/>
      </c>
    </row>
    <row r="148" spans="1:30" x14ac:dyDescent="0.25">
      <c r="A148" s="37" t="s">
        <v>21</v>
      </c>
      <c r="B148" s="49">
        <f t="shared" si="159"/>
        <v>2.75</v>
      </c>
      <c r="C148" s="36" t="str">
        <f t="shared" si="160"/>
        <v/>
      </c>
      <c r="D148" s="37" t="str">
        <f>_xlfn.CONCAT(K148, U148)</f>
        <v>diced celery stalks</v>
      </c>
      <c r="I148" s="51">
        <v>6</v>
      </c>
      <c r="J148" s="52"/>
      <c r="K148" s="52" t="s">
        <v>97</v>
      </c>
      <c r="L148" s="53"/>
      <c r="M148" s="44">
        <f t="shared" si="161"/>
        <v>0</v>
      </c>
      <c r="N148" s="44">
        <f t="shared" si="162"/>
        <v>0</v>
      </c>
      <c r="O148" s="44">
        <f t="shared" si="163"/>
        <v>0</v>
      </c>
      <c r="P148" s="44">
        <f t="shared" si="164"/>
        <v>0</v>
      </c>
      <c r="Q148" s="44">
        <f>MROUND(IF(AND(J148 = "", L148 = ""), I148 * recipe03DayScale, IF(ISNA(CONVERT(O148, "kg", L148)), CONVERT(P148 * recipe03DayScale, "l", L148), CONVERT(O148 * recipe03DayScale, "kg", L148))), roundTo)</f>
        <v>2.75</v>
      </c>
      <c r="R148" s="44">
        <f>recipe03TotScale * IF(L148 = "", Q148 * M148, IF(ISNA(CONVERT(Q148, L148, "kg")), CONVERT(Q148, L148, "l") * IF(N148 &lt;&gt; 0, M148 / N148, 0), CONVERT(Q148, L148, "kg")))</f>
        <v>0</v>
      </c>
      <c r="S148" s="44">
        <f>recipe03TotScale * IF(R148 = 0, IF(L148 = "", Q148 * N148, IF(ISNA(CONVERT(Q148, L148, "l")), CONVERT(Q148, L148, "kg") * IF(M148 &lt;&gt; 0, N148 / M148, 0), CONVERT(Q148, L148, "l"))), 0)</f>
        <v>0</v>
      </c>
      <c r="T148" s="44">
        <f>recipe03TotScale * IF(AND(R148 = 0, S148 = 0, J148 = "", L148 = ""), Q148, 0)</f>
        <v>2.75</v>
      </c>
      <c r="V148" s="41" t="b">
        <f>INDEX(itemPrepMethods, MATCH(K148, itemNames, 0))="chop"</f>
        <v>1</v>
      </c>
      <c r="W148" s="54">
        <f>IF(V148, Q148, "")</f>
        <v>2.75</v>
      </c>
      <c r="X148" s="55" t="str">
        <f>IF(V148, IF(L148 = "", "", L148), "")</f>
        <v/>
      </c>
      <c r="Y148" s="55" t="str">
        <f>IF(V148, K148, "")</f>
        <v>diced celery stalks</v>
      </c>
      <c r="Z148" s="56"/>
      <c r="AA148" s="41" t="b">
        <f>INDEX(itemPrepMethods, MATCH(K148, itemNames, 0))="soak"</f>
        <v>0</v>
      </c>
      <c r="AB148" s="55" t="str">
        <f>IF(AA148, Q148, "")</f>
        <v/>
      </c>
      <c r="AC148" s="55" t="str">
        <f>IF(AA148, IF(L148 = "", "", L148), "")</f>
        <v/>
      </c>
      <c r="AD148" s="55" t="str">
        <f>IF(AA148, K148, "")</f>
        <v/>
      </c>
    </row>
    <row r="149" spans="1:30" x14ac:dyDescent="0.25">
      <c r="A149" s="115"/>
      <c r="B149" s="115"/>
      <c r="C149" s="115"/>
      <c r="D149" s="115"/>
      <c r="I149" s="41"/>
      <c r="L149" s="41"/>
      <c r="W149" s="71"/>
      <c r="X149" s="71"/>
      <c r="Y149" s="71"/>
      <c r="Z149" s="71"/>
      <c r="AA149" s="64"/>
      <c r="AB149" s="71"/>
      <c r="AC149" s="71"/>
      <c r="AD149" s="71"/>
    </row>
    <row r="150" spans="1:30" x14ac:dyDescent="0.25">
      <c r="A150" s="115" t="s">
        <v>117</v>
      </c>
      <c r="B150" s="115"/>
      <c r="C150" s="115"/>
      <c r="D150" s="115"/>
      <c r="I150" s="41"/>
      <c r="L150" s="41"/>
      <c r="W150" s="71"/>
      <c r="X150" s="71"/>
      <c r="Y150" s="71"/>
      <c r="Z150" s="71"/>
      <c r="AA150" s="64"/>
      <c r="AB150" s="71"/>
      <c r="AC150" s="71"/>
      <c r="AD150" s="71"/>
    </row>
    <row r="151" spans="1:30" x14ac:dyDescent="0.25">
      <c r="A151" s="37" t="s">
        <v>21</v>
      </c>
      <c r="B151" s="49">
        <f>Q151</f>
        <v>2.5</v>
      </c>
      <c r="C151" s="36" t="str">
        <f>IF(L151="","",L151)</f>
        <v/>
      </c>
      <c r="D151" s="37" t="str">
        <f>_xlfn.CONCAT(K151, U151)</f>
        <v>tinned chopped tomatoes</v>
      </c>
      <c r="I151" s="51">
        <v>5</v>
      </c>
      <c r="J151" s="52"/>
      <c r="K151" s="52" t="s">
        <v>446</v>
      </c>
      <c r="L151" s="53"/>
      <c r="M151" s="44">
        <f>INDEX(itemGPerQty, MATCH(K151, itemNames, 0))</f>
        <v>0</v>
      </c>
      <c r="N151" s="44">
        <f>INDEX(itemMlPerQty, MATCH(K151, itemNames, 0))</f>
        <v>0</v>
      </c>
      <c r="O151" s="44">
        <f>IF(J151 = "", I151 * M151, IF(ISNA(CONVERT(I151, J151, "kg")), CONVERT(I151, J151, "l") * IF(N151 &lt;&gt; 0, M151 / N151, 0), CONVERT(I151, J151, "kg")))</f>
        <v>0</v>
      </c>
      <c r="P151" s="44">
        <f>IF(J151 = "", I151 * N151, IF(ISNA(CONVERT(I151, J151, "l")), CONVERT(I151, J151, "kg") * IF(M151 &lt;&gt; 0, N151 / M151, 0), CONVERT(I151, J151, "l")))</f>
        <v>0</v>
      </c>
      <c r="Q151" s="44">
        <f>MROUND(IF(AND(J151 = "", L151 = ""), I151 * recipe03DayScale, IF(ISNA(CONVERT(O151, "kg", L151)), CONVERT(P151 * recipe03DayScale, "l", L151), CONVERT(O151 * recipe03DayScale, "kg", L151))), roundTo)</f>
        <v>2.5</v>
      </c>
      <c r="R151" s="44">
        <f>recipe03TotScale * IF(L151 = "", Q151 * M151, IF(ISNA(CONVERT(Q151, L151, "kg")), CONVERT(Q151, L151, "l") * IF(N151 &lt;&gt; 0, M151 / N151, 0), CONVERT(Q151, L151, "kg")))</f>
        <v>0</v>
      </c>
      <c r="S151" s="44">
        <f>recipe03TotScale * IF(R151 = 0, IF(L151 = "", Q151 * N151, IF(ISNA(CONVERT(Q151, L151, "l")), CONVERT(Q151, L151, "kg") * IF(M151 &lt;&gt; 0, N151 / M151, 0), CONVERT(Q151, L151, "l"))), 0)</f>
        <v>0</v>
      </c>
      <c r="T151" s="44">
        <f>recipe03TotScale * IF(AND(R151 = 0, S151 = 0, J151 = "", L151 = ""), Q151, 0)</f>
        <v>2.5</v>
      </c>
      <c r="V151" s="41" t="b">
        <f>INDEX(itemPrepMethods, MATCH(K151, itemNames, 0))="chop"</f>
        <v>0</v>
      </c>
      <c r="W151" s="54" t="str">
        <f>IF(V151, Q151, "")</f>
        <v/>
      </c>
      <c r="X151" s="55" t="str">
        <f>IF(V151, IF(L151 = "", "", L151), "")</f>
        <v/>
      </c>
      <c r="Y151" s="55" t="str">
        <f>IF(V151, K151, "")</f>
        <v/>
      </c>
      <c r="Z151" s="56"/>
      <c r="AA151" s="41" t="b">
        <f>INDEX(itemPrepMethods, MATCH(K151, itemNames, 0))="soak"</f>
        <v>0</v>
      </c>
      <c r="AB151" s="55" t="str">
        <f>IF(AA151, Q151, "")</f>
        <v/>
      </c>
      <c r="AC151" s="55" t="str">
        <f>IF(AA151, IF(L151 = "", "", L151), "")</f>
        <v/>
      </c>
      <c r="AD151" s="55" t="str">
        <f>IF(AA151, K151, "")</f>
        <v/>
      </c>
    </row>
    <row r="152" spans="1:30" x14ac:dyDescent="0.25">
      <c r="A152" s="37" t="s">
        <v>21</v>
      </c>
      <c r="B152" s="49">
        <f>Q152</f>
        <v>10</v>
      </c>
      <c r="C152" s="36" t="str">
        <f>IF(L152="","",L152)</f>
        <v>cup</v>
      </c>
      <c r="D152" s="37" t="str">
        <f>_xlfn.CONCAT(K152, U152)</f>
        <v>vegetable stock</v>
      </c>
      <c r="I152" s="51">
        <v>5</v>
      </c>
      <c r="J152" s="52" t="s">
        <v>54</v>
      </c>
      <c r="K152" s="52" t="s">
        <v>55</v>
      </c>
      <c r="L152" s="53" t="s">
        <v>16</v>
      </c>
      <c r="M152" s="44">
        <f>INDEX(itemGPerQty, MATCH(K152, itemNames, 0))</f>
        <v>0</v>
      </c>
      <c r="N152" s="44">
        <f>INDEX(itemMlPerQty, MATCH(K152, itemNames, 0))</f>
        <v>0</v>
      </c>
      <c r="O152" s="44">
        <f>IF(J152 = "", I152 * M152, IF(ISNA(CONVERT(I152, J152, "kg")), CONVERT(I152, J152, "l") * IF(N152 &lt;&gt; 0, M152 / N152, 0), CONVERT(I152, J152, "kg")))</f>
        <v>0</v>
      </c>
      <c r="P152" s="44">
        <f>IF(J152 = "", I152 * N152, IF(ISNA(CONVERT(I152, J152, "l")), CONVERT(I152, J152, "kg") * IF(M152 &lt;&gt; 0, N152 / M152, 0), CONVERT(I152, J152, "l")))</f>
        <v>5</v>
      </c>
      <c r="Q152" s="44">
        <f>MROUND(IF(AND(J152 = "", L152 = ""), I152 * recipe03DayScale, IF(ISNA(CONVERT(O152, "kg", L152)), CONVERT(P152 * recipe03DayScale, "l", L152), CONVERT(O152 * recipe03DayScale, "kg", L152))), roundTo)</f>
        <v>10</v>
      </c>
      <c r="R152" s="44">
        <f>recipe03TotScale * IF(L152 = "", Q152 * M152, IF(ISNA(CONVERT(Q152, L152, "kg")), CONVERT(Q152, L152, "l") * IF(N152 &lt;&gt; 0, M152 / N152, 0), CONVERT(Q152, L152, "kg")))</f>
        <v>0</v>
      </c>
      <c r="S152" s="44">
        <f>recipe03TotScale * IF(R152 = 0, IF(L152 = "", Q152 * N152, IF(ISNA(CONVERT(Q152, L152, "l")), CONVERT(Q152, L152, "kg") * IF(M152 &lt;&gt; 0, N152 / M152, 0), CONVERT(Q152, L152, "l"))), 0)</f>
        <v>2.365882365</v>
      </c>
      <c r="T152" s="44">
        <f>recipe03TotScale * IF(AND(R152 = 0, S152 = 0, J152 = "", L152 = ""), Q152, 0)</f>
        <v>0</v>
      </c>
      <c r="V152" s="41" t="b">
        <f>INDEX(itemPrepMethods, MATCH(K152, itemNames, 0))="chop"</f>
        <v>0</v>
      </c>
      <c r="W152" s="54" t="str">
        <f>IF(V152, Q152, "")</f>
        <v/>
      </c>
      <c r="X152" s="55" t="str">
        <f>IF(V152, IF(L152 = "", "", L152), "")</f>
        <v/>
      </c>
      <c r="Y152" s="55" t="str">
        <f>IF(V152, K152, "")</f>
        <v/>
      </c>
      <c r="Z152" s="56"/>
      <c r="AA152" s="41" t="b">
        <f>INDEX(itemPrepMethods, MATCH(K152, itemNames, 0))="soak"</f>
        <v>0</v>
      </c>
      <c r="AB152" s="55" t="str">
        <f>IF(AA152, Q152, "")</f>
        <v/>
      </c>
      <c r="AC152" s="55" t="str">
        <f>IF(AA152, IF(L152 = "", "", L152), "")</f>
        <v/>
      </c>
      <c r="AD152" s="55" t="str">
        <f>IF(AA152, K152, "")</f>
        <v/>
      </c>
    </row>
    <row r="153" spans="1:30" x14ac:dyDescent="0.25">
      <c r="A153" s="37" t="s">
        <v>21</v>
      </c>
      <c r="B153" s="49">
        <f t="shared" si="159"/>
        <v>2.5</v>
      </c>
      <c r="C153" s="36" t="str">
        <f t="shared" si="160"/>
        <v/>
      </c>
      <c r="D153" s="37" t="str">
        <f>_xlfn.CONCAT(K153, U153)</f>
        <v>sprigs fresh rosemary</v>
      </c>
      <c r="I153" s="51">
        <v>5</v>
      </c>
      <c r="J153" s="52"/>
      <c r="K153" s="52" t="s">
        <v>83</v>
      </c>
      <c r="L153" s="53"/>
      <c r="M153" s="44">
        <f t="shared" si="161"/>
        <v>0</v>
      </c>
      <c r="N153" s="44">
        <f t="shared" si="162"/>
        <v>0</v>
      </c>
      <c r="O153" s="44">
        <f t="shared" si="163"/>
        <v>0</v>
      </c>
      <c r="P153" s="44">
        <f t="shared" si="164"/>
        <v>0</v>
      </c>
      <c r="Q153" s="44">
        <f>MROUND(IF(AND(J153 = "", L153 = ""), I153 * recipe03DayScale, IF(ISNA(CONVERT(O153, "kg", L153)), CONVERT(P153 * recipe03DayScale, "l", L153), CONVERT(O153 * recipe03DayScale, "kg", L153))), roundTo)</f>
        <v>2.5</v>
      </c>
      <c r="R153" s="44">
        <f>recipe03TotScale * IF(L153 = "", Q153 * M153, IF(ISNA(CONVERT(Q153, L153, "kg")), CONVERT(Q153, L153, "l") * IF(N153 &lt;&gt; 0, M153 / N153, 0), CONVERT(Q153, L153, "kg")))</f>
        <v>0</v>
      </c>
      <c r="S153" s="44">
        <f>recipe03TotScale * IF(R153 = 0, IF(L153 = "", Q153 * N153, IF(ISNA(CONVERT(Q153, L153, "l")), CONVERT(Q153, L153, "kg") * IF(M153 &lt;&gt; 0, N153 / M153, 0), CONVERT(Q153, L153, "l"))), 0)</f>
        <v>0</v>
      </c>
      <c r="T153" s="44">
        <f>recipe03TotScale * IF(AND(R153 = 0, S153 = 0, J153 = "", L153 = ""), Q153, 0)</f>
        <v>2.5</v>
      </c>
      <c r="V153" s="41" t="b">
        <f>INDEX(itemPrepMethods, MATCH(K153, itemNames, 0))="chop"</f>
        <v>0</v>
      </c>
      <c r="W153" s="54" t="str">
        <f>IF(V153, Q153, "")</f>
        <v/>
      </c>
      <c r="X153" s="55" t="str">
        <f>IF(V153, IF(L153 = "", "", L153), "")</f>
        <v/>
      </c>
      <c r="Y153" s="55" t="str">
        <f>IF(V153, K153, "")</f>
        <v/>
      </c>
      <c r="Z153" s="56"/>
      <c r="AA153" s="41" t="b">
        <f>INDEX(itemPrepMethods, MATCH(K153, itemNames, 0))="soak"</f>
        <v>0</v>
      </c>
      <c r="AB153" s="55" t="str">
        <f>IF(AA153, Q153, "")</f>
        <v/>
      </c>
      <c r="AC153" s="55" t="str">
        <f>IF(AA153, IF(L153 = "", "", L153), "")</f>
        <v/>
      </c>
      <c r="AD153" s="55" t="str">
        <f>IF(AA153, K153, "")</f>
        <v/>
      </c>
    </row>
    <row r="154" spans="1:30" x14ac:dyDescent="0.25">
      <c r="A154" s="37" t="s">
        <v>21</v>
      </c>
      <c r="B154" s="49">
        <f t="shared" si="159"/>
        <v>2.5</v>
      </c>
      <c r="C154" s="36" t="str">
        <f t="shared" si="160"/>
        <v/>
      </c>
      <c r="D154" s="37" t="str">
        <f>_xlfn.CONCAT(K154, U154)</f>
        <v>sprigs fresh thyme</v>
      </c>
      <c r="I154" s="51">
        <v>5</v>
      </c>
      <c r="J154" s="52"/>
      <c r="K154" s="52" t="s">
        <v>84</v>
      </c>
      <c r="L154" s="53"/>
      <c r="M154" s="44">
        <f t="shared" si="161"/>
        <v>0</v>
      </c>
      <c r="N154" s="44">
        <f t="shared" si="162"/>
        <v>0</v>
      </c>
      <c r="O154" s="44">
        <f t="shared" si="163"/>
        <v>0</v>
      </c>
      <c r="P154" s="44">
        <f t="shared" si="164"/>
        <v>0</v>
      </c>
      <c r="Q154" s="44">
        <f>MROUND(IF(AND(J154 = "", L154 = ""), I154 * recipe03DayScale, IF(ISNA(CONVERT(O154, "kg", L154)), CONVERT(P154 * recipe03DayScale, "l", L154), CONVERT(O154 * recipe03DayScale, "kg", L154))), roundTo)</f>
        <v>2.5</v>
      </c>
      <c r="R154" s="44">
        <f>recipe03TotScale * IF(L154 = "", Q154 * M154, IF(ISNA(CONVERT(Q154, L154, "kg")), CONVERT(Q154, L154, "l") * IF(N154 &lt;&gt; 0, M154 / N154, 0), CONVERT(Q154, L154, "kg")))</f>
        <v>0</v>
      </c>
      <c r="S154" s="44">
        <f>recipe03TotScale * IF(R154 = 0, IF(L154 = "", Q154 * N154, IF(ISNA(CONVERT(Q154, L154, "l")), CONVERT(Q154, L154, "kg") * IF(M154 &lt;&gt; 0, N154 / M154, 0), CONVERT(Q154, L154, "l"))), 0)</f>
        <v>0</v>
      </c>
      <c r="T154" s="44">
        <f>recipe03TotScale * IF(AND(R154 = 0, S154 = 0, J154 = "", L154 = ""), Q154, 0)</f>
        <v>2.5</v>
      </c>
      <c r="V154" s="41" t="b">
        <f>INDEX(itemPrepMethods, MATCH(K154, itemNames, 0))="chop"</f>
        <v>0</v>
      </c>
      <c r="W154" s="54" t="str">
        <f>IF(V154, Q154, "")</f>
        <v/>
      </c>
      <c r="X154" s="55" t="str">
        <f>IF(V154, IF(L154 = "", "", L154), "")</f>
        <v/>
      </c>
      <c r="Y154" s="55" t="str">
        <f>IF(V154, K154, "")</f>
        <v/>
      </c>
      <c r="Z154" s="56"/>
      <c r="AA154" s="41" t="b">
        <f>INDEX(itemPrepMethods, MATCH(K154, itemNames, 0))="soak"</f>
        <v>0</v>
      </c>
      <c r="AB154" s="55" t="str">
        <f>IF(AA154, Q154, "")</f>
        <v/>
      </c>
      <c r="AC154" s="55" t="str">
        <f>IF(AA154, IF(L154 = "", "", L154), "")</f>
        <v/>
      </c>
      <c r="AD154" s="55" t="str">
        <f>IF(AA154, K154, "")</f>
        <v/>
      </c>
    </row>
    <row r="155" spans="1:30" x14ac:dyDescent="0.25">
      <c r="A155" s="37" t="s">
        <v>21</v>
      </c>
      <c r="B155" s="49">
        <f t="shared" si="159"/>
        <v>2.5</v>
      </c>
      <c r="C155" s="36" t="str">
        <f t="shared" si="160"/>
        <v/>
      </c>
      <c r="D155" s="37" t="str">
        <f>_xlfn.CONCAT(K155, U155)</f>
        <v>bay leaves</v>
      </c>
      <c r="I155" s="51">
        <v>5</v>
      </c>
      <c r="J155" s="52"/>
      <c r="K155" s="52" t="s">
        <v>85</v>
      </c>
      <c r="L155" s="53"/>
      <c r="M155" s="44">
        <f t="shared" si="161"/>
        <v>0</v>
      </c>
      <c r="N155" s="44">
        <f t="shared" si="162"/>
        <v>0</v>
      </c>
      <c r="O155" s="44">
        <f t="shared" si="163"/>
        <v>0</v>
      </c>
      <c r="P155" s="44">
        <f t="shared" si="164"/>
        <v>0</v>
      </c>
      <c r="Q155" s="44">
        <f>MROUND(IF(AND(J155 = "", L155 = ""), I155 * recipe03DayScale, IF(ISNA(CONVERT(O155, "kg", L155)), CONVERT(P155 * recipe03DayScale, "l", L155), CONVERT(O155 * recipe03DayScale, "kg", L155))), roundTo)</f>
        <v>2.5</v>
      </c>
      <c r="R155" s="44">
        <f>recipe03TotScale * IF(L155 = "", Q155 * M155, IF(ISNA(CONVERT(Q155, L155, "kg")), CONVERT(Q155, L155, "l") * IF(N155 &lt;&gt; 0, M155 / N155, 0), CONVERT(Q155, L155, "kg")))</f>
        <v>0</v>
      </c>
      <c r="S155" s="44">
        <f>recipe03TotScale * IF(R155 = 0, IF(L155 = "", Q155 * N155, IF(ISNA(CONVERT(Q155, L155, "l")), CONVERT(Q155, L155, "kg") * IF(M155 &lt;&gt; 0, N155 / M155, 0), CONVERT(Q155, L155, "l"))), 0)</f>
        <v>0</v>
      </c>
      <c r="T155" s="44">
        <f>recipe03TotScale * IF(AND(R155 = 0, S155 = 0, J155 = "", L155 = ""), Q155, 0)</f>
        <v>2.5</v>
      </c>
      <c r="V155" s="41" t="b">
        <f>INDEX(itemPrepMethods, MATCH(K155, itemNames, 0))="chop"</f>
        <v>0</v>
      </c>
      <c r="W155" s="54" t="str">
        <f>IF(V155, Q155, "")</f>
        <v/>
      </c>
      <c r="X155" s="55" t="str">
        <f>IF(V155, IF(L155 = "", "", L155), "")</f>
        <v/>
      </c>
      <c r="Y155" s="55" t="str">
        <f>IF(V155, K155, "")</f>
        <v/>
      </c>
      <c r="Z155" s="56"/>
      <c r="AA155" s="41" t="b">
        <f>INDEX(itemPrepMethods, MATCH(K155, itemNames, 0))="soak"</f>
        <v>0</v>
      </c>
      <c r="AB155" s="55" t="str">
        <f>IF(AA155, Q155, "")</f>
        <v/>
      </c>
      <c r="AC155" s="55" t="str">
        <f>IF(AA155, IF(L155 = "", "", L155), "")</f>
        <v/>
      </c>
      <c r="AD155" s="55" t="str">
        <f>IF(AA155, K155, "")</f>
        <v/>
      </c>
    </row>
    <row r="156" spans="1:30" x14ac:dyDescent="0.25">
      <c r="A156" s="115"/>
      <c r="B156" s="115"/>
      <c r="C156" s="115"/>
      <c r="D156" s="115"/>
      <c r="I156" s="44"/>
      <c r="L156" s="41"/>
      <c r="M156" s="41"/>
      <c r="N156" s="41"/>
      <c r="O156" s="41"/>
      <c r="P156" s="41"/>
      <c r="W156" s="71"/>
      <c r="X156" s="71"/>
      <c r="Y156" s="71"/>
      <c r="Z156" s="71"/>
      <c r="AA156" s="64"/>
      <c r="AB156" s="71"/>
      <c r="AC156" s="71"/>
      <c r="AD156" s="71"/>
    </row>
    <row r="157" spans="1:30" x14ac:dyDescent="0.25">
      <c r="A157" s="115" t="s">
        <v>239</v>
      </c>
      <c r="B157" s="115"/>
      <c r="C157" s="115"/>
      <c r="D157" s="115"/>
      <c r="I157" s="44"/>
      <c r="L157" s="41"/>
      <c r="M157" s="41"/>
      <c r="N157" s="41"/>
      <c r="O157" s="41"/>
      <c r="P157" s="41"/>
      <c r="W157" s="71"/>
      <c r="X157" s="71"/>
      <c r="Y157" s="71"/>
      <c r="Z157" s="71"/>
      <c r="AA157" s="64"/>
      <c r="AB157" s="71"/>
      <c r="AC157" s="71"/>
      <c r="AD157" s="71"/>
    </row>
    <row r="158" spans="1:30" x14ac:dyDescent="0.25">
      <c r="A158" s="37" t="s">
        <v>21</v>
      </c>
      <c r="B158" s="58">
        <f>Q158</f>
        <v>0</v>
      </c>
      <c r="C158" s="88" t="str">
        <f t="shared" si="160"/>
        <v>cup</v>
      </c>
      <c r="D158" s="99" t="str">
        <f>_xlfn.CONCAT(K158, U158)</f>
        <v>thinly sliced silverbeet</v>
      </c>
      <c r="I158" s="51">
        <v>1.5</v>
      </c>
      <c r="J158" s="52" t="s">
        <v>12</v>
      </c>
      <c r="K158" s="52" t="s">
        <v>89</v>
      </c>
      <c r="L158" s="53" t="s">
        <v>16</v>
      </c>
      <c r="M158" s="44">
        <f>INDEX(itemGPerQty, MATCH(K158, itemNames, 0))</f>
        <v>0</v>
      </c>
      <c r="N158" s="44">
        <f>INDEX(itemMlPerQty, MATCH(K158, itemNames, 0))</f>
        <v>0</v>
      </c>
      <c r="O158" s="44">
        <f>IF(J158 = "", I158 * M158, IF(ISNA(CONVERT(I158, J158, "kg")), CONVERT(I158, J158, "l") * IF(N158 &lt;&gt; 0, M158 / N158, 0), CONVERT(I158, J158, "kg")))</f>
        <v>1.5</v>
      </c>
      <c r="P158" s="44">
        <f>IF(J158 = "", I158 * N158, IF(ISNA(CONVERT(I158, J158, "l")), CONVERT(I158, J158, "kg") * IF(M158 &lt;&gt; 0, N158 / M158, 0), CONVERT(I158, J158, "l")))</f>
        <v>0</v>
      </c>
      <c r="Q158" s="44">
        <f>MROUND(IF(AND(J158 = "", L158 = ""), I158 * recipe03DayScale, IF(ISNA(CONVERT(O158, "kg", L158)), CONVERT(P158 * recipe03DayScale, "l", L158), CONVERT(O158 * recipe03DayScale, "kg", L158))), roundTo)</f>
        <v>0</v>
      </c>
      <c r="R158" s="44">
        <f>recipe03TotScale * IF(L158 = "", Q158 * M158, IF(ISNA(CONVERT(Q158, L158, "kg")), CONVERT(Q158, L158, "l") * IF(N158 &lt;&gt; 0, M158 / N158, 0), CONVERT(Q158, L158, "kg")))</f>
        <v>0</v>
      </c>
      <c r="S158" s="44">
        <f>recipe03TotScale * IF(R158 = 0, IF(L158 = "", Q158 * N158, IF(ISNA(CONVERT(Q158, L158, "l")), CONVERT(Q158, L158, "kg") * IF(M158 &lt;&gt; 0, N158 / M158, 0), CONVERT(Q158, L158, "l"))), 0)</f>
        <v>0</v>
      </c>
      <c r="T158" s="44">
        <f>recipe03TotScale * IF(AND(R158 = 0, S158 = 0, J158 = "", L158 = ""), Q158, 0)</f>
        <v>0</v>
      </c>
      <c r="V158" s="41" t="b">
        <f>INDEX(itemPrepMethods, MATCH(K158, itemNames, 0))="chop"</f>
        <v>1</v>
      </c>
      <c r="W158" s="54">
        <f>IF(V158, Q158, "")</f>
        <v>0</v>
      </c>
      <c r="X158" s="55" t="str">
        <f>IF(V158, IF(L158 = "", "", L158), "")</f>
        <v>cup</v>
      </c>
      <c r="Y158" s="55" t="str">
        <f>IF(V158, K158, "")</f>
        <v>thinly sliced silverbeet</v>
      </c>
      <c r="Z158" s="56"/>
      <c r="AA158" s="41" t="b">
        <f>INDEX(itemPrepMethods, MATCH(K158, itemNames, 0))="soak"</f>
        <v>0</v>
      </c>
      <c r="AB158" s="55" t="str">
        <f>IF(AA158, Q158, "")</f>
        <v/>
      </c>
      <c r="AC158" s="55" t="str">
        <f>IF(AA158, IF(L158 = "", "", L158), "")</f>
        <v/>
      </c>
      <c r="AD158" s="55" t="str">
        <f>IF(AA158, K158, "")</f>
        <v/>
      </c>
    </row>
    <row r="159" spans="1:30" x14ac:dyDescent="0.25">
      <c r="A159" s="115"/>
      <c r="B159" s="115"/>
      <c r="C159" s="115"/>
      <c r="D159" s="115"/>
      <c r="I159" s="44"/>
      <c r="L159" s="41"/>
      <c r="M159" s="41"/>
      <c r="N159" s="41"/>
      <c r="O159" s="41"/>
      <c r="P159" s="41"/>
      <c r="W159" s="71"/>
      <c r="X159" s="71"/>
      <c r="Y159" s="71"/>
      <c r="Z159" s="71"/>
      <c r="AA159" s="64"/>
      <c r="AB159" s="71"/>
      <c r="AC159" s="71"/>
      <c r="AD159" s="71"/>
    </row>
    <row r="160" spans="1:30" x14ac:dyDescent="0.25">
      <c r="A160" s="115" t="s">
        <v>240</v>
      </c>
      <c r="B160" s="115"/>
      <c r="C160" s="115"/>
      <c r="D160" s="115"/>
      <c r="I160" s="44"/>
      <c r="L160" s="41"/>
      <c r="M160" s="41"/>
      <c r="N160" s="41"/>
      <c r="O160" s="41"/>
      <c r="P160" s="41"/>
      <c r="W160" s="71"/>
      <c r="X160" s="71"/>
      <c r="Y160" s="71"/>
      <c r="Z160" s="71"/>
      <c r="AA160" s="64"/>
      <c r="AB160" s="71"/>
      <c r="AC160" s="71"/>
      <c r="AD160" s="71"/>
    </row>
    <row r="161" spans="1:30" x14ac:dyDescent="0.25">
      <c r="A161" s="115"/>
      <c r="B161" s="115"/>
      <c r="C161" s="115"/>
      <c r="D161" s="115"/>
      <c r="I161" s="44"/>
      <c r="L161" s="41"/>
      <c r="M161" s="41"/>
      <c r="N161" s="41"/>
      <c r="O161" s="41"/>
      <c r="P161" s="41"/>
      <c r="W161" s="71"/>
      <c r="X161" s="71"/>
      <c r="Y161" s="71"/>
      <c r="Z161" s="71"/>
      <c r="AA161" s="64"/>
      <c r="AB161" s="71"/>
      <c r="AC161" s="71"/>
      <c r="AD161" s="71"/>
    </row>
    <row r="162" spans="1:30" x14ac:dyDescent="0.25">
      <c r="A162" s="115" t="s">
        <v>256</v>
      </c>
      <c r="B162" s="115"/>
      <c r="C162" s="115"/>
      <c r="D162" s="115"/>
      <c r="I162" s="44"/>
      <c r="L162" s="41"/>
      <c r="W162" s="71"/>
      <c r="X162" s="71"/>
      <c r="Y162" s="71"/>
      <c r="Z162" s="71"/>
      <c r="AA162" s="64"/>
      <c r="AB162" s="71"/>
      <c r="AC162" s="71"/>
      <c r="AD162" s="71"/>
    </row>
    <row r="163" spans="1:30" x14ac:dyDescent="0.25">
      <c r="A163" s="37" t="s">
        <v>21</v>
      </c>
      <c r="B163" s="49"/>
      <c r="C163" s="36" t="str">
        <f>IF(L163="","",L163)</f>
        <v/>
      </c>
      <c r="D163" s="37" t="str">
        <f>_xlfn.CONCAT(K163, U163)</f>
        <v>salt, to taste</v>
      </c>
      <c r="I163" s="44"/>
      <c r="K163" s="52" t="s">
        <v>11</v>
      </c>
      <c r="L163" s="41"/>
      <c r="M163" s="41"/>
      <c r="N163" s="41"/>
      <c r="O163" s="41"/>
      <c r="P163" s="41"/>
      <c r="U163" s="41" t="s">
        <v>206</v>
      </c>
      <c r="V163" s="41" t="b">
        <f>INDEX(itemPrepMethods, MATCH(K163, itemNames, 0))="chop"</f>
        <v>0</v>
      </c>
      <c r="W163" s="54" t="str">
        <f>IF(V163, Q163, "")</f>
        <v/>
      </c>
      <c r="X163" s="55" t="str">
        <f>IF(V163, IF(L163 = "", "", L163), "")</f>
        <v/>
      </c>
      <c r="Y163" s="55" t="str">
        <f>IF(V163, K163, "")</f>
        <v/>
      </c>
      <c r="Z163" s="56"/>
      <c r="AA163" s="41" t="b">
        <f>INDEX(itemPrepMethods, MATCH(K163, itemNames, 0))="soak"</f>
        <v>0</v>
      </c>
      <c r="AB163" s="55" t="str">
        <f>IF(AA163, Q163, "")</f>
        <v/>
      </c>
      <c r="AC163" s="55" t="str">
        <f>IF(AA163, IF(L163 = "", "", L163), "")</f>
        <v/>
      </c>
      <c r="AD163" s="55" t="str">
        <f>IF(AA163, K163, "")</f>
        <v/>
      </c>
    </row>
    <row r="164" spans="1:30" x14ac:dyDescent="0.25">
      <c r="A164" s="37" t="s">
        <v>21</v>
      </c>
      <c r="B164" s="49"/>
      <c r="C164" s="36" t="str">
        <f>IF(L164="","",L164)</f>
        <v/>
      </c>
      <c r="D164" s="37" t="str">
        <f>_xlfn.CONCAT(K164, U164)</f>
        <v>ground black pepper, to taste</v>
      </c>
      <c r="I164" s="44"/>
      <c r="K164" s="52" t="s">
        <v>76</v>
      </c>
      <c r="L164" s="41"/>
      <c r="M164" s="41"/>
      <c r="N164" s="41"/>
      <c r="O164" s="41"/>
      <c r="P164" s="41"/>
      <c r="U164" s="41" t="s">
        <v>206</v>
      </c>
      <c r="V164" s="41" t="b">
        <f>INDEX(itemPrepMethods, MATCH(K164, itemNames, 0))="chop"</f>
        <v>0</v>
      </c>
      <c r="W164" s="54" t="str">
        <f>IF(V164, Q164, "")</f>
        <v/>
      </c>
      <c r="X164" s="55" t="str">
        <f>IF(V164, IF(L164 = "", "", L164), "")</f>
        <v/>
      </c>
      <c r="Y164" s="55" t="str">
        <f>IF(V164, K164, "")</f>
        <v/>
      </c>
      <c r="Z164" s="56"/>
      <c r="AA164" s="41" t="b">
        <f>INDEX(itemPrepMethods, MATCH(K164, itemNames, 0))="soak"</f>
        <v>0</v>
      </c>
      <c r="AB164" s="55" t="str">
        <f>IF(AA164, Q164, "")</f>
        <v/>
      </c>
      <c r="AC164" s="55" t="str">
        <f>IF(AA164, IF(L164 = "", "", L164), "")</f>
        <v/>
      </c>
      <c r="AD164" s="55" t="str">
        <f>IF(AA164, K164, "")</f>
        <v/>
      </c>
    </row>
    <row r="165" spans="1:30" ht="15.75" x14ac:dyDescent="0.25">
      <c r="A165" s="117" t="s">
        <v>30</v>
      </c>
      <c r="B165" s="117"/>
      <c r="C165" s="117"/>
      <c r="D165" s="117"/>
      <c r="E165" s="40" t="s">
        <v>134</v>
      </c>
      <c r="F165" s="100" t="s">
        <v>162</v>
      </c>
      <c r="G165" s="100"/>
    </row>
    <row r="166" spans="1:30" ht="24" x14ac:dyDescent="0.2">
      <c r="A166" s="117" t="s">
        <v>42</v>
      </c>
      <c r="B166" s="117"/>
      <c r="C166" s="117"/>
      <c r="D166" s="117"/>
      <c r="E166" s="39" t="s">
        <v>53</v>
      </c>
      <c r="F166" s="87">
        <v>16</v>
      </c>
      <c r="G166" s="44"/>
      <c r="I166" s="67" t="s">
        <v>434</v>
      </c>
      <c r="J166" s="68" t="s">
        <v>435</v>
      </c>
      <c r="K166" s="68" t="s">
        <v>17</v>
      </c>
      <c r="L166" s="69" t="s">
        <v>438</v>
      </c>
      <c r="M166" s="67" t="s">
        <v>141</v>
      </c>
      <c r="N166" s="67" t="s">
        <v>142</v>
      </c>
      <c r="O166" s="67" t="s">
        <v>436</v>
      </c>
      <c r="P166" s="67" t="s">
        <v>437</v>
      </c>
      <c r="Q166" s="68" t="s">
        <v>353</v>
      </c>
      <c r="R166" s="67" t="s">
        <v>354</v>
      </c>
      <c r="S166" s="67" t="s">
        <v>355</v>
      </c>
      <c r="T166" s="67" t="s">
        <v>356</v>
      </c>
      <c r="U166" s="68" t="s">
        <v>22</v>
      </c>
      <c r="V166" s="68" t="s">
        <v>202</v>
      </c>
      <c r="W166" s="70" t="s">
        <v>353</v>
      </c>
      <c r="X166" s="68" t="s">
        <v>200</v>
      </c>
      <c r="Y166" s="68" t="s">
        <v>201</v>
      </c>
      <c r="Z166" s="68" t="s">
        <v>302</v>
      </c>
      <c r="AA166" s="68" t="s">
        <v>203</v>
      </c>
      <c r="AB166" s="70" t="s">
        <v>353</v>
      </c>
      <c r="AC166" s="68" t="s">
        <v>204</v>
      </c>
      <c r="AD166" s="68" t="s">
        <v>205</v>
      </c>
    </row>
    <row r="167" spans="1:30" ht="13.5" thickBot="1" x14ac:dyDescent="0.3">
      <c r="A167" s="118" t="str">
        <f>_xlfn.CONCAT(F167," servings")</f>
        <v>10 servings</v>
      </c>
      <c r="B167" s="118"/>
      <c r="C167" s="118"/>
      <c r="D167" s="118"/>
      <c r="E167" s="63" t="s">
        <v>348</v>
      </c>
      <c r="F167" s="87">
        <f>thLuCount</f>
        <v>10</v>
      </c>
      <c r="G167" s="44"/>
      <c r="I167" s="44"/>
    </row>
    <row r="168" spans="1:30" s="102" customFormat="1" ht="15.75" thickBot="1" x14ac:dyDescent="0.3">
      <c r="A168" s="115"/>
      <c r="B168" s="115"/>
      <c r="C168" s="115"/>
      <c r="D168" s="115"/>
      <c r="E168" s="63" t="s">
        <v>351</v>
      </c>
      <c r="F168" s="47">
        <f>F167/F166</f>
        <v>0.625</v>
      </c>
      <c r="G168" s="48" t="s">
        <v>379</v>
      </c>
      <c r="I168" s="44"/>
      <c r="L168" s="43"/>
      <c r="M168" s="44"/>
      <c r="N168" s="44"/>
      <c r="O168" s="44"/>
      <c r="P168" s="44"/>
      <c r="Q168" s="44"/>
      <c r="R168" s="44"/>
      <c r="S168" s="44"/>
      <c r="T168" s="44"/>
      <c r="W168" s="45"/>
      <c r="Z168" s="46"/>
    </row>
    <row r="169" spans="1:30" x14ac:dyDescent="0.25">
      <c r="A169" s="115" t="s">
        <v>164</v>
      </c>
      <c r="B169" s="115"/>
      <c r="C169" s="115"/>
      <c r="D169" s="115"/>
      <c r="E169" s="64"/>
      <c r="F169" s="64"/>
      <c r="G169" s="64"/>
      <c r="I169" s="44"/>
    </row>
    <row r="170" spans="1:30" ht="15.75" thickBot="1" x14ac:dyDescent="0.3">
      <c r="A170" s="37" t="s">
        <v>21</v>
      </c>
      <c r="B170" s="49"/>
      <c r="C170" s="36" t="str">
        <f t="shared" ref="C170" si="165">IF(L170="","",L170)</f>
        <v/>
      </c>
      <c r="D170" s="37" t="str">
        <f>_xlfn.CONCAT(K170, U170)</f>
        <v>oil</v>
      </c>
      <c r="E170" s="63" t="s">
        <v>327</v>
      </c>
      <c r="F170" s="87">
        <f>thLuCount</f>
        <v>10</v>
      </c>
      <c r="G170" s="64"/>
      <c r="I170" s="44"/>
      <c r="K170" s="52" t="s">
        <v>46</v>
      </c>
      <c r="L170" s="41"/>
      <c r="M170" s="41"/>
      <c r="N170" s="41"/>
      <c r="O170" s="41"/>
      <c r="P170" s="41"/>
      <c r="Q170" s="41"/>
      <c r="T170" s="41"/>
      <c r="V170" s="41" t="b">
        <f>INDEX(itemPrepMethods, MATCH(K170, itemNames, 0))="chop"</f>
        <v>0</v>
      </c>
      <c r="W170" s="54" t="str">
        <f>IF(V170, Q170, "")</f>
        <v/>
      </c>
      <c r="X170" s="55" t="str">
        <f>IF(V170, IF(L170 = "", "", L170), "")</f>
        <v/>
      </c>
      <c r="Y170" s="55" t="str">
        <f>IF(V170, K170, "")</f>
        <v/>
      </c>
      <c r="Z170" s="56"/>
      <c r="AA170" s="41" t="b">
        <f>INDEX(itemPrepMethods, MATCH(K170, itemNames, 0))="soak"</f>
        <v>0</v>
      </c>
      <c r="AB170" s="55" t="str">
        <f>IF(AA170, Q170, "")</f>
        <v/>
      </c>
      <c r="AC170" s="55" t="str">
        <f>IF(AA170, IF(L170 = "", "", L170), "")</f>
        <v/>
      </c>
      <c r="AD170" s="55" t="str">
        <f>IF(AA170, K170, "")</f>
        <v/>
      </c>
    </row>
    <row r="171" spans="1:30" ht="36.75" thickBot="1" x14ac:dyDescent="0.3">
      <c r="A171" s="37" t="s">
        <v>21</v>
      </c>
      <c r="B171" s="49">
        <f t="shared" ref="B171" si="166">Q171</f>
        <v>500</v>
      </c>
      <c r="C171" s="36" t="str">
        <f t="shared" ref="C171" si="167">IF(L171="","",L171)</f>
        <v>g</v>
      </c>
      <c r="D171" s="37" t="str">
        <f>_xlfn.CONCAT(K171, U171)</f>
        <v>blocks tofu, cut into cubes</v>
      </c>
      <c r="E171" s="63" t="s">
        <v>352</v>
      </c>
      <c r="F171" s="47">
        <f>F170/F167</f>
        <v>1</v>
      </c>
      <c r="G171" s="48" t="s">
        <v>380</v>
      </c>
      <c r="I171" s="59">
        <v>800</v>
      </c>
      <c r="J171" s="52" t="s">
        <v>0</v>
      </c>
      <c r="K171" s="52" t="s">
        <v>260</v>
      </c>
      <c r="L171" s="53" t="s">
        <v>0</v>
      </c>
      <c r="M171" s="44">
        <f>INDEX(itemGPerQty, MATCH(K171, itemNames, 0))</f>
        <v>0</v>
      </c>
      <c r="N171" s="44">
        <f>INDEX(itemMlPerQty, MATCH(K171, itemNames, 0))</f>
        <v>0</v>
      </c>
      <c r="O171" s="44">
        <f t="shared" ref="O171:O172" si="168">IF(J171 = "", I171 * M171, IF(ISNA(CONVERT(I171, J171, "kg")), CONVERT(I171, J171, "l") * IF(N171 &lt;&gt; 0, M171 / N171, 0), CONVERT(I171, J171, "kg")))</f>
        <v>0.8</v>
      </c>
      <c r="P171" s="44">
        <f t="shared" ref="P171:P172" si="169">IF(J171 = "", I171 * N171, IF(ISNA(CONVERT(I171, J171, "l")), CONVERT(I171, J171, "kg") * IF(M171 &lt;&gt; 0, N171 / M171, 0), CONVERT(I171, J171, "l")))</f>
        <v>0</v>
      </c>
      <c r="Q171" s="44">
        <f>MROUND(IF(AND(J171 = "", L171 = ""), I171 * recipe10DayScale, IF(ISNA(CONVERT(O171, "kg", L171)), CONVERT(P171 * recipe10DayScale, "l", L171), CONVERT(O171 * recipe10DayScale, "kg", L171))), roundTo)</f>
        <v>500</v>
      </c>
      <c r="R171" s="44">
        <f>recipe10TotScale * IF(L171 = "", Q171 * M171, IF(ISNA(CONVERT(Q171, L171, "kg")), CONVERT(Q171, L171, "l") * IF(N171 &lt;&gt; 0, M171 / N171, 0), CONVERT(Q171, L171, "kg")))</f>
        <v>0.5</v>
      </c>
      <c r="S171" s="44">
        <f>recipe10TotScale * IF(R171 = 0, IF(L171 = "", Q171 * N171, IF(ISNA(CONVERT(Q171, L171, "l")), CONVERT(Q171, L171, "kg") * IF(M171 &lt;&gt; 0, N171 / M171, 0), CONVERT(Q171, L171, "l"))), 0)</f>
        <v>0</v>
      </c>
      <c r="T171" s="44">
        <f>recipe10TotScale * IF(AND(R171 = 0, S171 = 0, J171 = "", L171 = ""), Q171, 0)</f>
        <v>0</v>
      </c>
      <c r="V171" s="41" t="b">
        <f>INDEX(itemPrepMethods, MATCH(K171, itemNames, 0))="chop"</f>
        <v>1</v>
      </c>
      <c r="W171" s="54">
        <f>IF(V171, Q171, "")</f>
        <v>500</v>
      </c>
      <c r="X171" s="55" t="str">
        <f>IF(V171, IF(L171 = "", "", L171), "")</f>
        <v>g</v>
      </c>
      <c r="Y171" s="55" t="str">
        <f>IF(V171, K171, "")</f>
        <v>blocks tofu, cut into cubes</v>
      </c>
      <c r="Z171" s="56" t="s">
        <v>262</v>
      </c>
      <c r="AA171" s="41" t="b">
        <f>INDEX(itemPrepMethods, MATCH(K171, itemNames, 0))="soak"</f>
        <v>0</v>
      </c>
      <c r="AB171" s="55" t="str">
        <f>IF(AA171, Q171, "")</f>
        <v/>
      </c>
      <c r="AC171" s="55" t="str">
        <f>IF(AA171, IF(L171 = "", "", L171), "")</f>
        <v/>
      </c>
      <c r="AD171" s="55" t="str">
        <f>IF(AA171, K171, "")</f>
        <v/>
      </c>
    </row>
    <row r="172" spans="1:30" x14ac:dyDescent="0.25">
      <c r="A172" s="37" t="s">
        <v>21</v>
      </c>
      <c r="B172" s="49">
        <f t="shared" ref="B172" si="170">Q172</f>
        <v>3</v>
      </c>
      <c r="C172" s="36" t="str">
        <f t="shared" ref="C172" si="171">IF(L172="","",L172)</f>
        <v>tbs</v>
      </c>
      <c r="D172" s="37" t="str">
        <f>_xlfn.CONCAT(K172, U172)</f>
        <v>tamari</v>
      </c>
      <c r="I172" s="59">
        <v>0.3</v>
      </c>
      <c r="J172" s="52" t="s">
        <v>16</v>
      </c>
      <c r="K172" s="52" t="s">
        <v>163</v>
      </c>
      <c r="L172" s="53" t="s">
        <v>15</v>
      </c>
      <c r="M172" s="44">
        <f>INDEX(itemGPerQty, MATCH(K172, itemNames, 0))</f>
        <v>0</v>
      </c>
      <c r="N172" s="44">
        <f>INDEX(itemMlPerQty, MATCH(K172, itemNames, 0))</f>
        <v>0</v>
      </c>
      <c r="O172" s="44">
        <f t="shared" si="168"/>
        <v>0</v>
      </c>
      <c r="P172" s="44">
        <f t="shared" si="169"/>
        <v>7.0976470949999995E-2</v>
      </c>
      <c r="Q172" s="44">
        <f>MROUND(IF(AND(J172 = "", L172 = ""), I172 * recipe10DayScale, IF(ISNA(CONVERT(O172, "kg", L172)), CONVERT(P172 * recipe10DayScale, "l", L172), CONVERT(O172 * recipe10DayScale, "kg", L172))), roundTo)</f>
        <v>3</v>
      </c>
      <c r="R172" s="44">
        <f>recipe10TotScale * IF(L172 = "", Q172 * M172, IF(ISNA(CONVERT(Q172, L172, "kg")), CONVERT(Q172, L172, "l") * IF(N172 &lt;&gt; 0, M172 / N172, 0), CONVERT(Q172, L172, "kg")))</f>
        <v>0</v>
      </c>
      <c r="S172" s="44">
        <f>recipe10TotScale * IF(R172 = 0, IF(L172 = "", Q172 * N172, IF(ISNA(CONVERT(Q172, L172, "l")), CONVERT(Q172, L172, "kg") * IF(M172 &lt;&gt; 0, N172 / M172, 0), CONVERT(Q172, L172, "l"))), 0)</f>
        <v>4.4360294343749995E-2</v>
      </c>
      <c r="T172" s="44">
        <f>recipe10TotScale * IF(AND(R172 = 0, S172 = 0, J172 = "", L172 = ""), Q172, 0)</f>
        <v>0</v>
      </c>
      <c r="V172" s="41" t="b">
        <f>INDEX(itemPrepMethods, MATCH(K172, itemNames, 0))="chop"</f>
        <v>0</v>
      </c>
      <c r="W172" s="54" t="str">
        <f>IF(V172, Q172, "")</f>
        <v/>
      </c>
      <c r="X172" s="55" t="str">
        <f>IF(V172, IF(L172 = "", "", L172), "")</f>
        <v/>
      </c>
      <c r="Y172" s="55" t="str">
        <f>IF(V172, K172, "")</f>
        <v/>
      </c>
      <c r="Z172" s="56"/>
      <c r="AA172" s="41" t="b">
        <f>INDEX(itemPrepMethods, MATCH(K172, itemNames, 0))="soak"</f>
        <v>0</v>
      </c>
      <c r="AB172" s="55" t="str">
        <f>IF(AA172, Q172, "")</f>
        <v/>
      </c>
      <c r="AC172" s="55" t="str">
        <f>IF(AA172, IF(L172 = "", "", L172), "")</f>
        <v/>
      </c>
      <c r="AD172" s="55" t="str">
        <f>IF(AA172, K172, "")</f>
        <v/>
      </c>
    </row>
    <row r="173" spans="1:30" x14ac:dyDescent="0.25">
      <c r="A173" s="115"/>
      <c r="B173" s="115"/>
      <c r="C173" s="115"/>
      <c r="D173" s="115"/>
      <c r="I173" s="44"/>
      <c r="L173" s="41"/>
      <c r="M173" s="41"/>
      <c r="N173" s="41"/>
      <c r="W173" s="71"/>
      <c r="X173" s="72"/>
      <c r="Y173" s="72"/>
      <c r="Z173" s="73"/>
      <c r="AA173" s="64"/>
      <c r="AB173" s="71"/>
      <c r="AC173" s="71"/>
      <c r="AD173" s="71"/>
    </row>
    <row r="174" spans="1:30" x14ac:dyDescent="0.25">
      <c r="A174" s="115" t="s">
        <v>174</v>
      </c>
      <c r="B174" s="115"/>
      <c r="C174" s="115"/>
      <c r="D174" s="115"/>
      <c r="I174" s="44"/>
      <c r="L174" s="41"/>
      <c r="M174" s="41"/>
      <c r="N174" s="41"/>
      <c r="W174" s="71"/>
      <c r="X174" s="72"/>
      <c r="Y174" s="72"/>
      <c r="Z174" s="73"/>
      <c r="AA174" s="64"/>
      <c r="AB174" s="71"/>
      <c r="AC174" s="71"/>
      <c r="AD174" s="71"/>
    </row>
    <row r="175" spans="1:30" x14ac:dyDescent="0.25">
      <c r="A175" s="37" t="s">
        <v>21</v>
      </c>
      <c r="B175" s="49">
        <f t="shared" ref="B175" si="172">Q175</f>
        <v>6.25</v>
      </c>
      <c r="C175" s="36" t="str">
        <f t="shared" ref="C175" si="173">IF(L175="","",L175)</f>
        <v>tbs</v>
      </c>
      <c r="D175" s="37" t="str">
        <f>_xlfn.CONCAT(K175, U175)</f>
        <v>sesame oil</v>
      </c>
      <c r="I175" s="59">
        <v>10</v>
      </c>
      <c r="J175" s="52" t="s">
        <v>15</v>
      </c>
      <c r="K175" s="52" t="s">
        <v>165</v>
      </c>
      <c r="L175" s="53" t="s">
        <v>15</v>
      </c>
      <c r="M175" s="44">
        <f>INDEX(itemGPerQty, MATCH(K175, itemNames, 0))</f>
        <v>0</v>
      </c>
      <c r="N175" s="44">
        <f>INDEX(itemMlPerQty, MATCH(K175, itemNames, 0))</f>
        <v>0</v>
      </c>
      <c r="O175" s="44">
        <f t="shared" ref="O175:O179" si="174">IF(J175 = "", I175 * M175, IF(ISNA(CONVERT(I175, J175, "kg")), CONVERT(I175, J175, "l") * IF(N175 &lt;&gt; 0, M175 / N175, 0), CONVERT(I175, J175, "kg")))</f>
        <v>0</v>
      </c>
      <c r="P175" s="44">
        <f t="shared" ref="P175:P179" si="175">IF(J175 = "", I175 * N175, IF(ISNA(CONVERT(I175, J175, "l")), CONVERT(I175, J175, "kg") * IF(M175 &lt;&gt; 0, N175 / M175, 0), CONVERT(I175, J175, "l")))</f>
        <v>0.1478676478125</v>
      </c>
      <c r="Q175" s="44">
        <f>MROUND(IF(AND(J175 = "", L175 = ""), I175 * recipe10DayScale, IF(ISNA(CONVERT(O175, "kg", L175)), CONVERT(P175 * recipe10DayScale, "l", L175), CONVERT(O175 * recipe10DayScale, "kg", L175))), roundTo)</f>
        <v>6.25</v>
      </c>
      <c r="R175" s="44">
        <f>recipe10TotScale * IF(L175 = "", Q175 * M175, IF(ISNA(CONVERT(Q175, L175, "kg")), CONVERT(Q175, L175, "l") * IF(N175 &lt;&gt; 0, M175 / N175, 0), CONVERT(Q175, L175, "kg")))</f>
        <v>0</v>
      </c>
      <c r="S175" s="44">
        <f>recipe10TotScale * IF(R175 = 0, IF(L175 = "", Q175 * N175, IF(ISNA(CONVERT(Q175, L175, "l")), CONVERT(Q175, L175, "kg") * IF(M175 &lt;&gt; 0, N175 / M175, 0), CONVERT(Q175, L175, "l"))), 0)</f>
        <v>9.2417279882812495E-2</v>
      </c>
      <c r="T175" s="44">
        <f>recipe10TotScale * IF(AND(R175 = 0, S175 = 0, J175 = "", L175 = ""), Q175, 0)</f>
        <v>0</v>
      </c>
      <c r="V175" s="41" t="b">
        <f>INDEX(itemPrepMethods, MATCH(K175, itemNames, 0))="chop"</f>
        <v>0</v>
      </c>
      <c r="W175" s="54" t="str">
        <f>IF(V175, Q175, "")</f>
        <v/>
      </c>
      <c r="X175" s="55" t="str">
        <f>IF(V175, IF(L175 = "", "", L175), "")</f>
        <v/>
      </c>
      <c r="Y175" s="55" t="str">
        <f>IF(V175, K175, "")</f>
        <v/>
      </c>
      <c r="Z175" s="56"/>
      <c r="AA175" s="41" t="b">
        <f>INDEX(itemPrepMethods, MATCH(K175, itemNames, 0))="soak"</f>
        <v>0</v>
      </c>
      <c r="AB175" s="55" t="str">
        <f>IF(AA175, Q175, "")</f>
        <v/>
      </c>
      <c r="AC175" s="55" t="str">
        <f>IF(AA175, IF(L175 = "", "", L175), "")</f>
        <v/>
      </c>
      <c r="AD175" s="55" t="str">
        <f>IF(AA175, K175, "")</f>
        <v/>
      </c>
    </row>
    <row r="176" spans="1:30" x14ac:dyDescent="0.25">
      <c r="A176" s="37" t="s">
        <v>21</v>
      </c>
      <c r="B176" s="49">
        <f t="shared" ref="B176:B177" si="176">Q176</f>
        <v>2</v>
      </c>
      <c r="C176" s="36" t="str">
        <f t="shared" ref="C176:C177" si="177">IF(L176="","",L176)</f>
        <v>tbs</v>
      </c>
      <c r="D176" s="37" t="str">
        <f>_xlfn.CONCAT(K176, U176)</f>
        <v>thai green curry</v>
      </c>
      <c r="I176" s="59">
        <v>3</v>
      </c>
      <c r="J176" s="52" t="s">
        <v>15</v>
      </c>
      <c r="K176" s="52" t="s">
        <v>166</v>
      </c>
      <c r="L176" s="53" t="s">
        <v>15</v>
      </c>
      <c r="M176" s="44">
        <f>INDEX(itemGPerQty, MATCH(K176, itemNames, 0))</f>
        <v>0</v>
      </c>
      <c r="N176" s="44">
        <f>INDEX(itemMlPerQty, MATCH(K176, itemNames, 0))</f>
        <v>0</v>
      </c>
      <c r="O176" s="44">
        <f t="shared" si="174"/>
        <v>0</v>
      </c>
      <c r="P176" s="44">
        <f t="shared" si="175"/>
        <v>4.4360294343749995E-2</v>
      </c>
      <c r="Q176" s="44">
        <f>MROUND(IF(AND(J176 = "", L176 = ""), I176 * recipe10DayScale, IF(ISNA(CONVERT(O176, "kg", L176)), CONVERT(P176 * recipe10DayScale, "l", L176), CONVERT(O176 * recipe10DayScale, "kg", L176))), roundTo)</f>
        <v>2</v>
      </c>
      <c r="R176" s="44">
        <f>recipe10TotScale * IF(L176 = "", Q176 * M176, IF(ISNA(CONVERT(Q176, L176, "kg")), CONVERT(Q176, L176, "l") * IF(N176 &lt;&gt; 0, M176 / N176, 0), CONVERT(Q176, L176, "kg")))</f>
        <v>0</v>
      </c>
      <c r="S176" s="44">
        <f>recipe10TotScale * IF(R176 = 0, IF(L176 = "", Q176 * N176, IF(ISNA(CONVERT(Q176, L176, "l")), CONVERT(Q176, L176, "kg") * IF(M176 &lt;&gt; 0, N176 / M176, 0), CONVERT(Q176, L176, "l"))), 0)</f>
        <v>2.9573529562499999E-2</v>
      </c>
      <c r="T176" s="44">
        <f>recipe10TotScale * IF(AND(R176 = 0, S176 = 0, J176 = "", L176 = ""), Q176, 0)</f>
        <v>0</v>
      </c>
      <c r="V176" s="41" t="b">
        <f>INDEX(itemPrepMethods, MATCH(K176, itemNames, 0))="chop"</f>
        <v>0</v>
      </c>
      <c r="W176" s="54" t="str">
        <f>IF(V176, Q176, "")</f>
        <v/>
      </c>
      <c r="X176" s="55" t="str">
        <f>IF(V176, IF(L176 = "", "", L176), "")</f>
        <v/>
      </c>
      <c r="Y176" s="55" t="str">
        <f>IF(V176, K176, "")</f>
        <v/>
      </c>
      <c r="Z176" s="56"/>
      <c r="AA176" s="41" t="b">
        <f>INDEX(itemPrepMethods, MATCH(K176, itemNames, 0))="soak"</f>
        <v>0</v>
      </c>
      <c r="AB176" s="55" t="str">
        <f>IF(AA176, Q176, "")</f>
        <v/>
      </c>
      <c r="AC176" s="55" t="str">
        <f>IF(AA176, IF(L176 = "", "", L176), "")</f>
        <v/>
      </c>
      <c r="AD176" s="55" t="str">
        <f>IF(AA176, K176, "")</f>
        <v/>
      </c>
    </row>
    <row r="177" spans="1:30" x14ac:dyDescent="0.25">
      <c r="A177" s="37" t="s">
        <v>21</v>
      </c>
      <c r="B177" s="49">
        <f t="shared" si="176"/>
        <v>2.5</v>
      </c>
      <c r="C177" s="36" t="str">
        <f t="shared" si="177"/>
        <v/>
      </c>
      <c r="D177" s="37" t="str">
        <f>_xlfn.CONCAT(K177, U177)</f>
        <v>chopped onions</v>
      </c>
      <c r="I177" s="59">
        <v>4</v>
      </c>
      <c r="J177" s="52"/>
      <c r="K177" s="52" t="s">
        <v>6</v>
      </c>
      <c r="L177" s="53"/>
      <c r="M177" s="44">
        <f>INDEX(itemGPerQty, MATCH(K177, itemNames, 0))</f>
        <v>0.185</v>
      </c>
      <c r="N177" s="44">
        <f>INDEX(itemMlPerQty, MATCH(K177, itemNames, 0))</f>
        <v>0.3</v>
      </c>
      <c r="O177" s="44">
        <f t="shared" si="174"/>
        <v>0.74</v>
      </c>
      <c r="P177" s="44">
        <f t="shared" si="175"/>
        <v>1.2</v>
      </c>
      <c r="Q177" s="44">
        <f>MROUND(IF(AND(J177 = "", L177 = ""), I177 * recipe10DayScale, IF(ISNA(CONVERT(O177, "kg", L177)), CONVERT(P177 * recipe10DayScale, "l", L177), CONVERT(O177 * recipe10DayScale, "kg", L177))), roundTo)</f>
        <v>2.5</v>
      </c>
      <c r="R177" s="44">
        <f>recipe10TotScale * IF(L177 = "", Q177 * M177, IF(ISNA(CONVERT(Q177, L177, "kg")), CONVERT(Q177, L177, "l") * IF(N177 &lt;&gt; 0, M177 / N177, 0), CONVERT(Q177, L177, "kg")))</f>
        <v>0.46250000000000002</v>
      </c>
      <c r="S177" s="44">
        <f>recipe10TotScale * IF(R177 = 0, IF(L177 = "", Q177 * N177, IF(ISNA(CONVERT(Q177, L177, "l")), CONVERT(Q177, L177, "kg") * IF(M177 &lt;&gt; 0, N177 / M177, 0), CONVERT(Q177, L177, "l"))), 0)</f>
        <v>0</v>
      </c>
      <c r="T177" s="44">
        <f>recipe10TotScale * IF(AND(R177 = 0, S177 = 0, J177 = "", L177 = ""), Q177, 0)</f>
        <v>0</v>
      </c>
      <c r="V177" s="41" t="b">
        <f>INDEX(itemPrepMethods, MATCH(K177, itemNames, 0))="chop"</f>
        <v>1</v>
      </c>
      <c r="W177" s="54">
        <f>IF(V177, Q177, "")</f>
        <v>2.5</v>
      </c>
      <c r="X177" s="55" t="str">
        <f>IF(V177, IF(L177 = "", "", L177), "")</f>
        <v/>
      </c>
      <c r="Y177" s="55" t="str">
        <f>IF(V177, K177, "")</f>
        <v>chopped onions</v>
      </c>
      <c r="Z177" s="56"/>
      <c r="AA177" s="41" t="b">
        <f>INDEX(itemPrepMethods, MATCH(K177, itemNames, 0))="soak"</f>
        <v>0</v>
      </c>
      <c r="AB177" s="55" t="str">
        <f>IF(AA177, Q177, "")</f>
        <v/>
      </c>
      <c r="AC177" s="55" t="str">
        <f>IF(AA177, IF(L177 = "", "", L177), "")</f>
        <v/>
      </c>
      <c r="AD177" s="55" t="str">
        <f>IF(AA177, K177, "")</f>
        <v/>
      </c>
    </row>
    <row r="178" spans="1:30" x14ac:dyDescent="0.25">
      <c r="A178" s="37" t="s">
        <v>21</v>
      </c>
      <c r="B178" s="49">
        <f t="shared" ref="B178" si="178">Q178</f>
        <v>3.25</v>
      </c>
      <c r="C178" s="36" t="str">
        <f t="shared" ref="C178" si="179">IF(L178="","",L178)</f>
        <v>tbs</v>
      </c>
      <c r="D178" s="37" t="str">
        <f>_xlfn.CONCAT(K178, U178)</f>
        <v>minced fresh ginger</v>
      </c>
      <c r="I178" s="59">
        <v>5</v>
      </c>
      <c r="J178" s="52" t="s">
        <v>15</v>
      </c>
      <c r="K178" s="52" t="s">
        <v>221</v>
      </c>
      <c r="L178" s="53" t="s">
        <v>15</v>
      </c>
      <c r="M178" s="44">
        <f>INDEX(itemGPerQty, MATCH(K178, itemNames, 0))</f>
        <v>0</v>
      </c>
      <c r="N178" s="44">
        <f>INDEX(itemMlPerQty, MATCH(K178, itemNames, 0))</f>
        <v>0</v>
      </c>
      <c r="O178" s="44">
        <f t="shared" si="174"/>
        <v>0</v>
      </c>
      <c r="P178" s="44">
        <f t="shared" si="175"/>
        <v>7.3933823906250001E-2</v>
      </c>
      <c r="Q178" s="44">
        <f>MROUND(IF(AND(J178 = "", L178 = ""), I178 * recipe10DayScale, IF(ISNA(CONVERT(O178, "kg", L178)), CONVERT(P178 * recipe10DayScale, "l", L178), CONVERT(O178 * recipe10DayScale, "kg", L178))), roundTo)</f>
        <v>3.25</v>
      </c>
      <c r="R178" s="44">
        <f>recipe10TotScale * IF(L178 = "", Q178 * M178, IF(ISNA(CONVERT(Q178, L178, "kg")), CONVERT(Q178, L178, "l") * IF(N178 &lt;&gt; 0, M178 / N178, 0), CONVERT(Q178, L178, "kg")))</f>
        <v>0</v>
      </c>
      <c r="S178" s="44">
        <f>recipe10TotScale * IF(R178 = 0, IF(L178 = "", Q178 * N178, IF(ISNA(CONVERT(Q178, L178, "l")), CONVERT(Q178, L178, "kg") * IF(M178 &lt;&gt; 0, N178 / M178, 0), CONVERT(Q178, L178, "l"))), 0)</f>
        <v>4.8056985539062499E-2</v>
      </c>
      <c r="T178" s="44">
        <f>recipe10TotScale * IF(AND(R178 = 0, S178 = 0, J178 = "", L178 = ""), Q178, 0)</f>
        <v>0</v>
      </c>
      <c r="V178" s="41" t="b">
        <f>INDEX(itemPrepMethods, MATCH(K178, itemNames, 0))="chop"</f>
        <v>1</v>
      </c>
      <c r="W178" s="54">
        <f>IF(V178, Q178, "")</f>
        <v>3.25</v>
      </c>
      <c r="X178" s="55" t="str">
        <f>IF(V178, IF(L178 = "", "", L178), "")</f>
        <v>tbs</v>
      </c>
      <c r="Y178" s="55" t="str">
        <f>IF(V178, K178, "")</f>
        <v>minced fresh ginger</v>
      </c>
      <c r="Z178" s="56"/>
      <c r="AA178" s="41" t="b">
        <f>INDEX(itemPrepMethods, MATCH(K178, itemNames, 0))="soak"</f>
        <v>0</v>
      </c>
      <c r="AB178" s="55" t="str">
        <f>IF(AA178, Q178, "")</f>
        <v/>
      </c>
      <c r="AC178" s="55" t="str">
        <f>IF(AA178, IF(L178 = "", "", L178), "")</f>
        <v/>
      </c>
      <c r="AD178" s="55" t="str">
        <f>IF(AA178, K178, "")</f>
        <v/>
      </c>
    </row>
    <row r="179" spans="1:30" x14ac:dyDescent="0.25">
      <c r="A179" s="37" t="s">
        <v>21</v>
      </c>
      <c r="B179" s="49">
        <f t="shared" ref="B179" si="180">Q179</f>
        <v>0.75</v>
      </c>
      <c r="C179" s="36" t="str">
        <f t="shared" ref="C179" si="181">IF(L179="","",L179)</f>
        <v/>
      </c>
      <c r="D179" s="37" t="str">
        <f>_xlfn.CONCAT(K179, U179)</f>
        <v>chopped cauliflowers</v>
      </c>
      <c r="I179" s="59">
        <v>1</v>
      </c>
      <c r="J179" s="52"/>
      <c r="K179" s="52" t="s">
        <v>159</v>
      </c>
      <c r="L179" s="53"/>
      <c r="M179" s="44">
        <f>INDEX(itemGPerQty, MATCH(K179, itemNames, 0))</f>
        <v>0</v>
      </c>
      <c r="N179" s="44">
        <f>INDEX(itemMlPerQty, MATCH(K179, itemNames, 0))</f>
        <v>0</v>
      </c>
      <c r="O179" s="44">
        <f t="shared" si="174"/>
        <v>0</v>
      </c>
      <c r="P179" s="44">
        <f t="shared" si="175"/>
        <v>0</v>
      </c>
      <c r="Q179" s="44">
        <f>MROUND(IF(AND(J179 = "", L179 = ""), I179 * recipe10DayScale, IF(ISNA(CONVERT(O179, "kg", L179)), CONVERT(P179 * recipe10DayScale, "l", L179), CONVERT(O179 * recipe10DayScale, "kg", L179))), roundTo)</f>
        <v>0.75</v>
      </c>
      <c r="R179" s="44">
        <f>recipe10TotScale * IF(L179 = "", Q179 * M179, IF(ISNA(CONVERT(Q179, L179, "kg")), CONVERT(Q179, L179, "l") * IF(N179 &lt;&gt; 0, M179 / N179, 0), CONVERT(Q179, L179, "kg")))</f>
        <v>0</v>
      </c>
      <c r="S179" s="44">
        <f>recipe10TotScale * IF(R179 = 0, IF(L179 = "", Q179 * N179, IF(ISNA(CONVERT(Q179, L179, "l")), CONVERT(Q179, L179, "kg") * IF(M179 &lt;&gt; 0, N179 / M179, 0), CONVERT(Q179, L179, "l"))), 0)</f>
        <v>0</v>
      </c>
      <c r="T179" s="44">
        <f>recipe10TotScale * IF(AND(R179 = 0, S179 = 0, J179 = "", L179 = ""), Q179, 0)</f>
        <v>0.75</v>
      </c>
      <c r="V179" s="41" t="b">
        <f>INDEX(itemPrepMethods, MATCH(K179, itemNames, 0))="chop"</f>
        <v>1</v>
      </c>
      <c r="W179" s="54">
        <f>IF(V179, Q179, "")</f>
        <v>0.75</v>
      </c>
      <c r="X179" s="55" t="str">
        <f>IF(V179, IF(L179 = "", "", L179), "")</f>
        <v/>
      </c>
      <c r="Y179" s="55" t="str">
        <f>IF(V179, K179, "")</f>
        <v>chopped cauliflowers</v>
      </c>
      <c r="Z179" s="56"/>
      <c r="AA179" s="41" t="b">
        <f>INDEX(itemPrepMethods, MATCH(K179, itemNames, 0))="soak"</f>
        <v>0</v>
      </c>
      <c r="AB179" s="55" t="str">
        <f>IF(AA179, Q179, "")</f>
        <v/>
      </c>
      <c r="AC179" s="55" t="str">
        <f>IF(AA179, IF(L179 = "", "", L179), "")</f>
        <v/>
      </c>
      <c r="AD179" s="55" t="str">
        <f>IF(AA179, K179, "")</f>
        <v/>
      </c>
    </row>
    <row r="180" spans="1:30" x14ac:dyDescent="0.25">
      <c r="A180" s="115"/>
      <c r="B180" s="115"/>
      <c r="C180" s="115"/>
      <c r="D180" s="115"/>
      <c r="I180" s="44"/>
      <c r="L180" s="41"/>
      <c r="M180" s="41"/>
      <c r="N180" s="41"/>
      <c r="W180" s="71"/>
      <c r="X180" s="72"/>
      <c r="Y180" s="72"/>
      <c r="Z180" s="73"/>
      <c r="AA180" s="64"/>
      <c r="AB180" s="71"/>
      <c r="AC180" s="71"/>
      <c r="AD180" s="71"/>
    </row>
    <row r="181" spans="1:30" x14ac:dyDescent="0.25">
      <c r="A181" s="115" t="s">
        <v>175</v>
      </c>
      <c r="B181" s="115"/>
      <c r="C181" s="115"/>
      <c r="D181" s="115"/>
      <c r="I181" s="44"/>
      <c r="L181" s="41"/>
      <c r="M181" s="41"/>
      <c r="N181" s="41"/>
      <c r="W181" s="71"/>
      <c r="X181" s="72"/>
      <c r="Y181" s="72"/>
      <c r="Z181" s="73"/>
      <c r="AA181" s="64"/>
      <c r="AB181" s="71"/>
      <c r="AC181" s="71"/>
      <c r="AD181" s="71"/>
    </row>
    <row r="182" spans="1:30" x14ac:dyDescent="0.25">
      <c r="A182" s="37" t="s">
        <v>21</v>
      </c>
      <c r="B182" s="49">
        <f t="shared" ref="B182:B183" si="182">Q182</f>
        <v>0.25</v>
      </c>
      <c r="C182" s="36" t="str">
        <f t="shared" ref="C182:C183" si="183">IF(L182="","",L182)</f>
        <v>l</v>
      </c>
      <c r="D182" s="37" t="str">
        <f>_xlfn.CONCAT(K182, U182)</f>
        <v>water</v>
      </c>
      <c r="I182" s="59">
        <v>0.5</v>
      </c>
      <c r="J182" s="52" t="s">
        <v>54</v>
      </c>
      <c r="K182" s="52" t="s">
        <v>47</v>
      </c>
      <c r="L182" s="53" t="s">
        <v>54</v>
      </c>
      <c r="M182" s="44">
        <f>INDEX(itemGPerQty, MATCH(K182, itemNames, 0))</f>
        <v>1</v>
      </c>
      <c r="N182" s="44">
        <f>INDEX(itemMlPerQty, MATCH(K182, itemNames, 0))</f>
        <v>1</v>
      </c>
      <c r="O182" s="44">
        <f t="shared" ref="O182:O186" si="184">IF(J182 = "", I182 * M182, IF(ISNA(CONVERT(I182, J182, "kg")), CONVERT(I182, J182, "l") * IF(N182 &lt;&gt; 0, M182 / N182, 0), CONVERT(I182, J182, "kg")))</f>
        <v>0.5</v>
      </c>
      <c r="P182" s="44">
        <f t="shared" ref="P182:P186" si="185">IF(J182 = "", I182 * N182, IF(ISNA(CONVERT(I182, J182, "l")), CONVERT(I182, J182, "kg") * IF(M182 &lt;&gt; 0, N182 / M182, 0), CONVERT(I182, J182, "l")))</f>
        <v>0.5</v>
      </c>
      <c r="Q182" s="44">
        <f>MROUND(IF(AND(J182 = "", L182 = ""), I182 * recipe10DayScale, IF(ISNA(CONVERT(O182, "kg", L182)), CONVERT(P182 * recipe10DayScale, "l", L182), CONVERT(O182 * recipe10DayScale, "kg", L182))), roundTo)</f>
        <v>0.25</v>
      </c>
      <c r="R182" s="44">
        <f>recipe10TotScale * IF(L182 = "", Q182 * M182, IF(ISNA(CONVERT(Q182, L182, "kg")), CONVERT(Q182, L182, "l") * IF(N182 &lt;&gt; 0, M182 / N182, 0), CONVERT(Q182, L182, "kg")))</f>
        <v>0.25</v>
      </c>
      <c r="S182" s="44">
        <f>recipe10TotScale * IF(R182 = 0, IF(L182 = "", Q182 * N182, IF(ISNA(CONVERT(Q182, L182, "l")), CONVERT(Q182, L182, "kg") * IF(M182 &lt;&gt; 0, N182 / M182, 0), CONVERT(Q182, L182, "l"))), 0)</f>
        <v>0</v>
      </c>
      <c r="T182" s="44">
        <f>recipe10TotScale * IF(AND(R182 = 0, S182 = 0, J182 = "", L182 = ""), Q182, 0)</f>
        <v>0</v>
      </c>
      <c r="V182" s="41" t="b">
        <f>INDEX(itemPrepMethods, MATCH(K182, itemNames, 0))="chop"</f>
        <v>0</v>
      </c>
      <c r="W182" s="54" t="str">
        <f>IF(V182, Q182, "")</f>
        <v/>
      </c>
      <c r="X182" s="55" t="str">
        <f>IF(V182, IF(L182 = "", "", L182), "")</f>
        <v/>
      </c>
      <c r="Y182" s="55" t="str">
        <f>IF(V182, K182, "")</f>
        <v/>
      </c>
      <c r="Z182" s="56"/>
      <c r="AA182" s="41" t="b">
        <f>INDEX(itemPrepMethods, MATCH(K182, itemNames, 0))="soak"</f>
        <v>0</v>
      </c>
      <c r="AB182" s="55" t="str">
        <f>IF(AA182, Q182, "")</f>
        <v/>
      </c>
      <c r="AC182" s="55" t="str">
        <f>IF(AA182, IF(L182 = "", "", L182), "")</f>
        <v/>
      </c>
      <c r="AD182" s="55" t="str">
        <f>IF(AA182, K182, "")</f>
        <v/>
      </c>
    </row>
    <row r="183" spans="1:30" x14ac:dyDescent="0.25">
      <c r="A183" s="37" t="s">
        <v>21</v>
      </c>
      <c r="B183" s="49">
        <f t="shared" si="182"/>
        <v>1.25</v>
      </c>
      <c r="C183" s="36" t="str">
        <f t="shared" si="183"/>
        <v/>
      </c>
      <c r="D183" s="37" t="str">
        <f>_xlfn.CONCAT(K183, U183)</f>
        <v>chopped broccoli</v>
      </c>
      <c r="I183" s="59">
        <v>1.9</v>
      </c>
      <c r="J183" s="52"/>
      <c r="K183" s="52" t="s">
        <v>114</v>
      </c>
      <c r="L183" s="53"/>
      <c r="M183" s="44">
        <f>INDEX(itemGPerQty, MATCH(K183, itemNames, 0))</f>
        <v>0.313</v>
      </c>
      <c r="N183" s="44">
        <f>INDEX(itemMlPerQty, MATCH(K183, itemNames, 0))</f>
        <v>0</v>
      </c>
      <c r="O183" s="44">
        <f t="shared" si="184"/>
        <v>0.59470000000000001</v>
      </c>
      <c r="P183" s="44">
        <f t="shared" si="185"/>
        <v>0</v>
      </c>
      <c r="Q183" s="44">
        <f>MROUND(IF(AND(J183 = "", L183 = ""), I183 * recipe10DayScale, IF(ISNA(CONVERT(O183, "kg", L183)), CONVERT(P183 * recipe10DayScale, "l", L183), CONVERT(O183 * recipe10DayScale, "kg", L183))), roundTo)</f>
        <v>1.25</v>
      </c>
      <c r="R183" s="44">
        <f>recipe10TotScale * IF(L183 = "", Q183 * M183, IF(ISNA(CONVERT(Q183, L183, "kg")), CONVERT(Q183, L183, "l") * IF(N183 &lt;&gt; 0, M183 / N183, 0), CONVERT(Q183, L183, "kg")))</f>
        <v>0.39124999999999999</v>
      </c>
      <c r="S183" s="44">
        <f>recipe10TotScale * IF(R183 = 0, IF(L183 = "", Q183 * N183, IF(ISNA(CONVERT(Q183, L183, "l")), CONVERT(Q183, L183, "kg") * IF(M183 &lt;&gt; 0, N183 / M183, 0), CONVERT(Q183, L183, "l"))), 0)</f>
        <v>0</v>
      </c>
      <c r="T183" s="44">
        <f>recipe10TotScale * IF(AND(R183 = 0, S183 = 0, J183 = "", L183 = ""), Q183, 0)</f>
        <v>0</v>
      </c>
      <c r="V183" s="41" t="b">
        <f>INDEX(itemPrepMethods, MATCH(K183, itemNames, 0))="chop"</f>
        <v>1</v>
      </c>
      <c r="W183" s="54">
        <f>IF(V183, Q183, "")</f>
        <v>1.25</v>
      </c>
      <c r="X183" s="55" t="str">
        <f>IF(V183, IF(L183 = "", "", L183), "")</f>
        <v/>
      </c>
      <c r="Y183" s="55" t="str">
        <f>IF(V183, K183, "")</f>
        <v>chopped broccoli</v>
      </c>
      <c r="Z183" s="56"/>
      <c r="AA183" s="41" t="b">
        <f>INDEX(itemPrepMethods, MATCH(K183, itemNames, 0))="soak"</f>
        <v>0</v>
      </c>
      <c r="AB183" s="55" t="str">
        <f>IF(AA183, Q183, "")</f>
        <v/>
      </c>
      <c r="AC183" s="55" t="str">
        <f>IF(AA183, IF(L183 = "", "", L183), "")</f>
        <v/>
      </c>
      <c r="AD183" s="55" t="str">
        <f>IF(AA183, K183, "")</f>
        <v/>
      </c>
    </row>
    <row r="184" spans="1:30" x14ac:dyDescent="0.25">
      <c r="A184" s="37" t="s">
        <v>21</v>
      </c>
      <c r="B184" s="49">
        <f t="shared" ref="B184:B185" si="186">Q184</f>
        <v>2.5</v>
      </c>
      <c r="C184" s="36" t="str">
        <f t="shared" ref="C184:C185" si="187">IF(L184="","",L184)</f>
        <v/>
      </c>
      <c r="D184" s="37" t="str">
        <f>_xlfn.CONCAT(K184, U184)</f>
        <v>chopped yellow capsicums</v>
      </c>
      <c r="I184" s="59">
        <v>4</v>
      </c>
      <c r="J184" s="52"/>
      <c r="K184" s="52" t="s">
        <v>168</v>
      </c>
      <c r="L184" s="53"/>
      <c r="M184" s="44">
        <f>INDEX(itemGPerQty, MATCH(K184, itemNames, 0))</f>
        <v>0.1885</v>
      </c>
      <c r="N184" s="44">
        <f>INDEX(itemMlPerQty, MATCH(K184, itemNames, 0))</f>
        <v>0.25</v>
      </c>
      <c r="O184" s="44">
        <f t="shared" si="184"/>
        <v>0.754</v>
      </c>
      <c r="P184" s="44">
        <f t="shared" si="185"/>
        <v>1</v>
      </c>
      <c r="Q184" s="44">
        <f>MROUND(IF(AND(J184 = "", L184 = ""), I184 * recipe10DayScale, IF(ISNA(CONVERT(O184, "kg", L184)), CONVERT(P184 * recipe10DayScale, "l", L184), CONVERT(O184 * recipe10DayScale, "kg", L184))), roundTo)</f>
        <v>2.5</v>
      </c>
      <c r="R184" s="44">
        <f>recipe10TotScale * IF(L184 = "", Q184 * M184, IF(ISNA(CONVERT(Q184, L184, "kg")), CONVERT(Q184, L184, "l") * IF(N184 &lt;&gt; 0, M184 / N184, 0), CONVERT(Q184, L184, "kg")))</f>
        <v>0.47125</v>
      </c>
      <c r="S184" s="44">
        <f>recipe10TotScale * IF(R184 = 0, IF(L184 = "", Q184 * N184, IF(ISNA(CONVERT(Q184, L184, "l")), CONVERT(Q184, L184, "kg") * IF(M184 &lt;&gt; 0, N184 / M184, 0), CONVERT(Q184, L184, "l"))), 0)</f>
        <v>0</v>
      </c>
      <c r="T184" s="44">
        <f>recipe10TotScale * IF(AND(R184 = 0, S184 = 0, J184 = "", L184 = ""), Q184, 0)</f>
        <v>0</v>
      </c>
      <c r="V184" s="41" t="b">
        <f>INDEX(itemPrepMethods, MATCH(K184, itemNames, 0))="chop"</f>
        <v>1</v>
      </c>
      <c r="W184" s="54">
        <f>IF(V184, Q184, "")</f>
        <v>2.5</v>
      </c>
      <c r="X184" s="55" t="str">
        <f>IF(V184, IF(L184 = "", "", L184), "")</f>
        <v/>
      </c>
      <c r="Y184" s="55" t="str">
        <f>IF(V184, K184, "")</f>
        <v>chopped yellow capsicums</v>
      </c>
      <c r="Z184" s="56"/>
      <c r="AA184" s="41" t="b">
        <f>INDEX(itemPrepMethods, MATCH(K184, itemNames, 0))="soak"</f>
        <v>0</v>
      </c>
      <c r="AB184" s="55" t="str">
        <f>IF(AA184, Q184, "")</f>
        <v/>
      </c>
      <c r="AC184" s="55" t="str">
        <f>IF(AA184, IF(L184 = "", "", L184), "")</f>
        <v/>
      </c>
      <c r="AD184" s="55" t="str">
        <f>IF(AA184, K184, "")</f>
        <v/>
      </c>
    </row>
    <row r="185" spans="1:30" x14ac:dyDescent="0.25">
      <c r="A185" s="37" t="s">
        <v>21</v>
      </c>
      <c r="B185" s="49">
        <f t="shared" si="186"/>
        <v>6.25</v>
      </c>
      <c r="C185" s="36" t="str">
        <f t="shared" si="187"/>
        <v/>
      </c>
      <c r="D185" s="37" t="str">
        <f>_xlfn.CONCAT(K185, U185)</f>
        <v>sliced celery stalks</v>
      </c>
      <c r="I185" s="59">
        <v>10</v>
      </c>
      <c r="J185" s="52"/>
      <c r="K185" s="52" t="s">
        <v>169</v>
      </c>
      <c r="L185" s="53"/>
      <c r="M185" s="44">
        <f>INDEX(itemGPerQty, MATCH(K185, itemNames, 0))</f>
        <v>0</v>
      </c>
      <c r="N185" s="44">
        <f>INDEX(itemMlPerQty, MATCH(K185, itemNames, 0))</f>
        <v>0</v>
      </c>
      <c r="O185" s="44">
        <f t="shared" si="184"/>
        <v>0</v>
      </c>
      <c r="P185" s="44">
        <f t="shared" si="185"/>
        <v>0</v>
      </c>
      <c r="Q185" s="44">
        <f>MROUND(IF(AND(J185 = "", L185 = ""), I185 * recipe10DayScale, IF(ISNA(CONVERT(O185, "kg", L185)), CONVERT(P185 * recipe10DayScale, "l", L185), CONVERT(O185 * recipe10DayScale, "kg", L185))), roundTo)</f>
        <v>6.25</v>
      </c>
      <c r="R185" s="44">
        <f>recipe10TotScale * IF(L185 = "", Q185 * M185, IF(ISNA(CONVERT(Q185, L185, "kg")), CONVERT(Q185, L185, "l") * IF(N185 &lt;&gt; 0, M185 / N185, 0), CONVERT(Q185, L185, "kg")))</f>
        <v>0</v>
      </c>
      <c r="S185" s="44">
        <f>recipe10TotScale * IF(R185 = 0, IF(L185 = "", Q185 * N185, IF(ISNA(CONVERT(Q185, L185, "l")), CONVERT(Q185, L185, "kg") * IF(M185 &lt;&gt; 0, N185 / M185, 0), CONVERT(Q185, L185, "l"))), 0)</f>
        <v>0</v>
      </c>
      <c r="T185" s="44">
        <f>recipe10TotScale * IF(AND(R185 = 0, S185 = 0, J185 = "", L185 = ""), Q185, 0)</f>
        <v>6.25</v>
      </c>
      <c r="V185" s="41" t="b">
        <f>INDEX(itemPrepMethods, MATCH(K185, itemNames, 0))="chop"</f>
        <v>1</v>
      </c>
      <c r="W185" s="54">
        <f>IF(V185, Q185, "")</f>
        <v>6.25</v>
      </c>
      <c r="X185" s="55" t="str">
        <f>IF(V185, IF(L185 = "", "", L185), "")</f>
        <v/>
      </c>
      <c r="Y185" s="55" t="str">
        <f>IF(V185, K185, "")</f>
        <v>sliced celery stalks</v>
      </c>
      <c r="Z185" s="56"/>
      <c r="AA185" s="41" t="b">
        <f>INDEX(itemPrepMethods, MATCH(K185, itemNames, 0))="soak"</f>
        <v>0</v>
      </c>
      <c r="AB185" s="55" t="str">
        <f>IF(AA185, Q185, "")</f>
        <v/>
      </c>
      <c r="AC185" s="55" t="str">
        <f>IF(AA185, IF(L185 = "", "", L185), "")</f>
        <v/>
      </c>
      <c r="AD185" s="55" t="str">
        <f>IF(AA185, K185, "")</f>
        <v/>
      </c>
    </row>
    <row r="186" spans="1:30" x14ac:dyDescent="0.25">
      <c r="A186" s="37" t="s">
        <v>21</v>
      </c>
      <c r="B186" s="49">
        <f t="shared" ref="B186" si="188">Q186</f>
        <v>3.75</v>
      </c>
      <c r="C186" s="36" t="str">
        <f t="shared" ref="C186" si="189">IF(L186="","",L186)</f>
        <v/>
      </c>
      <c r="D186" s="37" t="str">
        <f>_xlfn.CONCAT(K186, U186)</f>
        <v>tinned bamboo</v>
      </c>
      <c r="I186" s="59">
        <v>6</v>
      </c>
      <c r="J186" s="52"/>
      <c r="K186" s="52" t="s">
        <v>443</v>
      </c>
      <c r="L186" s="53"/>
      <c r="M186" s="44">
        <f>INDEX(itemGPerQty, MATCH(K186, itemNames, 0))</f>
        <v>0</v>
      </c>
      <c r="N186" s="44">
        <f>INDEX(itemMlPerQty, MATCH(K186, itemNames, 0))</f>
        <v>0</v>
      </c>
      <c r="O186" s="44">
        <f t="shared" si="184"/>
        <v>0</v>
      </c>
      <c r="P186" s="44">
        <f t="shared" si="185"/>
        <v>0</v>
      </c>
      <c r="Q186" s="44">
        <f>MROUND(IF(AND(J186 = "", L186 = ""), I186 * recipe10DayScale, IF(ISNA(CONVERT(O186, "kg", L186)), CONVERT(P186 * recipe10DayScale, "l", L186), CONVERT(O186 * recipe10DayScale, "kg", L186))), roundTo)</f>
        <v>3.75</v>
      </c>
      <c r="R186" s="44">
        <f>recipe10TotScale * IF(L186 = "", Q186 * M186, IF(ISNA(CONVERT(Q186, L186, "kg")), CONVERT(Q186, L186, "l") * IF(N186 &lt;&gt; 0, M186 / N186, 0), CONVERT(Q186, L186, "kg")))</f>
        <v>0</v>
      </c>
      <c r="S186" s="44">
        <f>recipe10TotScale * IF(R186 = 0, IF(L186 = "", Q186 * N186, IF(ISNA(CONVERT(Q186, L186, "l")), CONVERT(Q186, L186, "kg") * IF(M186 &lt;&gt; 0, N186 / M186, 0), CONVERT(Q186, L186, "l"))), 0)</f>
        <v>0</v>
      </c>
      <c r="T186" s="44">
        <f>recipe10TotScale * IF(AND(R186 = 0, S186 = 0, J186 = "", L186 = ""), Q186, 0)</f>
        <v>3.75</v>
      </c>
      <c r="V186" s="41" t="b">
        <f>INDEX(itemPrepMethods, MATCH(K186, itemNames, 0))="chop"</f>
        <v>0</v>
      </c>
      <c r="W186" s="54" t="str">
        <f>IF(V186, Q186, "")</f>
        <v/>
      </c>
      <c r="X186" s="55" t="str">
        <f>IF(V186, IF(L186 = "", "", L186), "")</f>
        <v/>
      </c>
      <c r="Y186" s="55" t="str">
        <f>IF(V186, K186, "")</f>
        <v/>
      </c>
      <c r="Z186" s="56"/>
      <c r="AA186" s="41" t="b">
        <f>INDEX(itemPrepMethods, MATCH(K186, itemNames, 0))="soak"</f>
        <v>0</v>
      </c>
      <c r="AB186" s="55" t="str">
        <f>IF(AA186, Q186, "")</f>
        <v/>
      </c>
      <c r="AC186" s="55" t="str">
        <f>IF(AA186, IF(L186 = "", "", L186), "")</f>
        <v/>
      </c>
      <c r="AD186" s="55" t="str">
        <f>IF(AA186, K186, "")</f>
        <v/>
      </c>
    </row>
    <row r="187" spans="1:30" x14ac:dyDescent="0.25">
      <c r="A187" s="115"/>
      <c r="B187" s="115"/>
      <c r="C187" s="115"/>
      <c r="D187" s="115"/>
      <c r="I187" s="44"/>
      <c r="L187" s="41"/>
      <c r="M187" s="41"/>
      <c r="N187" s="41"/>
      <c r="W187" s="71"/>
      <c r="X187" s="72"/>
      <c r="Y187" s="72"/>
      <c r="Z187" s="73"/>
      <c r="AA187" s="64"/>
      <c r="AB187" s="71"/>
      <c r="AC187" s="71"/>
      <c r="AD187" s="71"/>
    </row>
    <row r="188" spans="1:30" x14ac:dyDescent="0.25">
      <c r="A188" s="115" t="s">
        <v>153</v>
      </c>
      <c r="B188" s="115"/>
      <c r="C188" s="115"/>
      <c r="D188" s="115"/>
      <c r="I188" s="44"/>
      <c r="L188" s="41"/>
      <c r="M188" s="41"/>
      <c r="N188" s="41"/>
      <c r="W188" s="71"/>
      <c r="X188" s="72"/>
      <c r="Y188" s="72"/>
      <c r="Z188" s="73"/>
      <c r="AA188" s="64"/>
      <c r="AB188" s="71"/>
      <c r="AC188" s="71"/>
      <c r="AD188" s="71"/>
    </row>
    <row r="189" spans="1:30" x14ac:dyDescent="0.25">
      <c r="A189" s="37" t="s">
        <v>21</v>
      </c>
      <c r="B189" s="49">
        <f t="shared" ref="B189" si="190">Q189</f>
        <v>3</v>
      </c>
      <c r="C189" s="36" t="str">
        <f t="shared" ref="C189" si="191">IF(L189="","",L189)</f>
        <v/>
      </c>
      <c r="D189" s="89" t="str">
        <f>_xlfn.CONCAT(K189, U189)</f>
        <v>juiced lemons</v>
      </c>
      <c r="I189" s="59">
        <v>4.75</v>
      </c>
      <c r="J189" s="52"/>
      <c r="K189" s="52" t="s">
        <v>383</v>
      </c>
      <c r="L189" s="53"/>
      <c r="M189" s="44">
        <f>INDEX(itemGPerQty, MATCH(K189, itemNames, 0))</f>
        <v>0</v>
      </c>
      <c r="N189" s="44">
        <f>INDEX(itemMlPerQty, MATCH(K189, itemNames, 0))</f>
        <v>0</v>
      </c>
      <c r="O189" s="44">
        <f t="shared" ref="O189:O191" si="192">IF(J189 = "", I189 * M189, IF(ISNA(CONVERT(I189, J189, "kg")), CONVERT(I189, J189, "l") * IF(N189 &lt;&gt; 0, M189 / N189, 0), CONVERT(I189, J189, "kg")))</f>
        <v>0</v>
      </c>
      <c r="P189" s="44">
        <f t="shared" ref="P189:P191" si="193">IF(J189 = "", I189 * N189, IF(ISNA(CONVERT(I189, J189, "l")), CONVERT(I189, J189, "kg") * IF(M189 &lt;&gt; 0, N189 / M189, 0), CONVERT(I189, J189, "l")))</f>
        <v>0</v>
      </c>
      <c r="Q189" s="44">
        <f>MROUND(IF(AND(J189 = "", L189 = ""), I189 * recipe10DayScale, IF(ISNA(CONVERT(O189, "kg", L189)), CONVERT(P189 * recipe10DayScale, "l", L189), CONVERT(O189 * recipe10DayScale, "kg", L189))), roundTo)</f>
        <v>3</v>
      </c>
      <c r="R189" s="44">
        <f>recipe10TotScale * IF(L189 = "", Q189 * M189, IF(ISNA(CONVERT(Q189, L189, "kg")), CONVERT(Q189, L189, "l") * IF(N189 &lt;&gt; 0, M189 / N189, 0), CONVERT(Q189, L189, "kg")))</f>
        <v>0</v>
      </c>
      <c r="S189" s="44">
        <f>recipe10TotScale * IF(R189 = 0, IF(L189 = "", Q189 * N189, IF(ISNA(CONVERT(Q189, L189, "l")), CONVERT(Q189, L189, "kg") * IF(M189 &lt;&gt; 0, N189 / M189, 0), CONVERT(Q189, L189, "l"))), 0)</f>
        <v>0</v>
      </c>
      <c r="T189" s="44">
        <f>recipe10TotScale * IF(AND(R189 = 0, S189 = 0, J189 = "", L189 = ""), Q189, 0)</f>
        <v>3</v>
      </c>
      <c r="V189" s="41" t="b">
        <f>INDEX(itemPrepMethods, MATCH(K189, itemNames, 0))="chop"</f>
        <v>1</v>
      </c>
      <c r="W189" s="54">
        <f>IF(V189, Q189, "")</f>
        <v>3</v>
      </c>
      <c r="X189" s="55" t="str">
        <f>IF(V189, IF(L189 = "", "", L189), "")</f>
        <v/>
      </c>
      <c r="Y189" s="55" t="str">
        <f>IF(V189, K189, "")</f>
        <v>juiced lemons</v>
      </c>
      <c r="Z189" s="56"/>
      <c r="AA189" s="41" t="b">
        <f>INDEX(itemPrepMethods, MATCH(K189, itemNames, 0))="soak"</f>
        <v>0</v>
      </c>
      <c r="AB189" s="55" t="str">
        <f>IF(AA189, Q189, "")</f>
        <v/>
      </c>
      <c r="AC189" s="55" t="str">
        <f>IF(AA189, IF(L189 = "", "", L189), "")</f>
        <v/>
      </c>
      <c r="AD189" s="55" t="str">
        <f>IF(AA189, K189, "")</f>
        <v/>
      </c>
    </row>
    <row r="190" spans="1:30" x14ac:dyDescent="0.25">
      <c r="A190" s="37" t="s">
        <v>21</v>
      </c>
      <c r="B190" s="58">
        <f t="shared" ref="B190" si="194">Q190</f>
        <v>750</v>
      </c>
      <c r="C190" s="88" t="str">
        <f t="shared" ref="C190" si="195">IF(L190="","",L190)</f>
        <v>g</v>
      </c>
      <c r="D190" s="37" t="str">
        <f>_xlfn.CONCAT(K190, U190)</f>
        <v>green beans</v>
      </c>
      <c r="I190" s="59">
        <v>1.2</v>
      </c>
      <c r="J190" s="52" t="s">
        <v>12</v>
      </c>
      <c r="K190" s="52" t="s">
        <v>172</v>
      </c>
      <c r="L190" s="53" t="s">
        <v>0</v>
      </c>
      <c r="M190" s="44">
        <f>INDEX(itemGPerQty, MATCH(K190, itemNames, 0))</f>
        <v>0</v>
      </c>
      <c r="N190" s="44">
        <f>INDEX(itemMlPerQty, MATCH(K190, itemNames, 0))</f>
        <v>0</v>
      </c>
      <c r="O190" s="44">
        <f t="shared" si="192"/>
        <v>1.2</v>
      </c>
      <c r="P190" s="44">
        <f t="shared" si="193"/>
        <v>0</v>
      </c>
      <c r="Q190" s="44">
        <f>MROUND(IF(AND(J190 = "", L190 = ""), I190 * recipe10DayScale, IF(ISNA(CONVERT(O190, "kg", L190)), CONVERT(P190 * recipe10DayScale, "l", L190), CONVERT(O190 * recipe10DayScale, "kg", L190))), roundTo)</f>
        <v>750</v>
      </c>
      <c r="R190" s="44">
        <f>recipe10TotScale * IF(L190 = "", Q190 * M190, IF(ISNA(CONVERT(Q190, L190, "kg")), CONVERT(Q190, L190, "l") * IF(N190 &lt;&gt; 0, M190 / N190, 0), CONVERT(Q190, L190, "kg")))</f>
        <v>0.75</v>
      </c>
      <c r="S190" s="44">
        <f>recipe10TotScale * IF(R190 = 0, IF(L190 = "", Q190 * N190, IF(ISNA(CONVERT(Q190, L190, "l")), CONVERT(Q190, L190, "kg") * IF(M190 &lt;&gt; 0, N190 / M190, 0), CONVERT(Q190, L190, "l"))), 0)</f>
        <v>0</v>
      </c>
      <c r="T190" s="44">
        <f>recipe10TotScale * IF(AND(R190 = 0, S190 = 0, J190 = "", L190 = ""), Q190, 0)</f>
        <v>0</v>
      </c>
      <c r="V190" s="41" t="b">
        <f>INDEX(itemPrepMethods, MATCH(K190, itemNames, 0))="chop"</f>
        <v>0</v>
      </c>
      <c r="W190" s="54" t="str">
        <f>IF(V190, Q190, "")</f>
        <v/>
      </c>
      <c r="X190" s="55" t="str">
        <f>IF(V190, IF(L190 = "", "", L190), "")</f>
        <v/>
      </c>
      <c r="Y190" s="55" t="str">
        <f>IF(V190, K190, "")</f>
        <v/>
      </c>
      <c r="Z190" s="56"/>
      <c r="AA190" s="41" t="b">
        <f>INDEX(itemPrepMethods, MATCH(K190, itemNames, 0))="soak"</f>
        <v>0</v>
      </c>
      <c r="AB190" s="55" t="str">
        <f>IF(AA190, Q190, "")</f>
        <v/>
      </c>
      <c r="AC190" s="55" t="str">
        <f>IF(AA190, IF(L190 = "", "", L190), "")</f>
        <v/>
      </c>
      <c r="AD190" s="55" t="str">
        <f>IF(AA190, K190, "")</f>
        <v/>
      </c>
    </row>
    <row r="191" spans="1:30" x14ac:dyDescent="0.25">
      <c r="A191" s="37" t="s">
        <v>21</v>
      </c>
      <c r="B191" s="49">
        <f t="shared" ref="B191" si="196">Q191</f>
        <v>1.25</v>
      </c>
      <c r="C191" s="36" t="str">
        <f t="shared" ref="C191" si="197">IF(L191="","",L191)</f>
        <v/>
      </c>
      <c r="D191" s="37" t="str">
        <f>_xlfn.CONCAT(K191, U191)</f>
        <v>tinned coconut cream</v>
      </c>
      <c r="I191" s="59">
        <v>1.9</v>
      </c>
      <c r="J191" s="52"/>
      <c r="K191" s="52" t="s">
        <v>447</v>
      </c>
      <c r="L191" s="53"/>
      <c r="M191" s="44">
        <f>INDEX(itemGPerQty, MATCH(K191, itemNames, 0))</f>
        <v>0</v>
      </c>
      <c r="N191" s="44">
        <f>INDEX(itemMlPerQty, MATCH(K191, itemNames, 0))</f>
        <v>0</v>
      </c>
      <c r="O191" s="44">
        <f t="shared" si="192"/>
        <v>0</v>
      </c>
      <c r="P191" s="44">
        <f t="shared" si="193"/>
        <v>0</v>
      </c>
      <c r="Q191" s="44">
        <f>MROUND(IF(AND(J191 = "", L191 = ""), I191 * recipe10DayScale, IF(ISNA(CONVERT(O191, "kg", L191)), CONVERT(P191 * recipe10DayScale, "l", L191), CONVERT(O191 * recipe10DayScale, "kg", L191))), roundTo)</f>
        <v>1.25</v>
      </c>
      <c r="R191" s="44">
        <f>recipe10TotScale * IF(L191 = "", Q191 * M191, IF(ISNA(CONVERT(Q191, L191, "kg")), CONVERT(Q191, L191, "l") * IF(N191 &lt;&gt; 0, M191 / N191, 0), CONVERT(Q191, L191, "kg")))</f>
        <v>0</v>
      </c>
      <c r="S191" s="44">
        <f>recipe10TotScale * IF(R191 = 0, IF(L191 = "", Q191 * N191, IF(ISNA(CONVERT(Q191, L191, "l")), CONVERT(Q191, L191, "kg") * IF(M191 &lt;&gt; 0, N191 / M191, 0), CONVERT(Q191, L191, "l"))), 0)</f>
        <v>0</v>
      </c>
      <c r="T191" s="44">
        <f>recipe10TotScale * IF(AND(R191 = 0, S191 = 0, J191 = "", L191 = ""), Q191, 0)</f>
        <v>1.25</v>
      </c>
      <c r="V191" s="41" t="b">
        <f>INDEX(itemPrepMethods, MATCH(K191, itemNames, 0))="chop"</f>
        <v>0</v>
      </c>
      <c r="W191" s="54" t="str">
        <f>IF(V191, Q191, "")</f>
        <v/>
      </c>
      <c r="X191" s="55" t="str">
        <f>IF(V191, IF(L191 = "", "", L191), "")</f>
        <v/>
      </c>
      <c r="Y191" s="55" t="str">
        <f>IF(V191, K191, "")</f>
        <v/>
      </c>
      <c r="Z191" s="56"/>
      <c r="AA191" s="41" t="b">
        <f>INDEX(itemPrepMethods, MATCH(K191, itemNames, 0))="soak"</f>
        <v>0</v>
      </c>
      <c r="AB191" s="55" t="str">
        <f>IF(AA191, Q191, "")</f>
        <v/>
      </c>
      <c r="AC191" s="55" t="str">
        <f>IF(AA191, IF(L191 = "", "", L191), "")</f>
        <v/>
      </c>
      <c r="AD191" s="55" t="str">
        <f>IF(AA191, K191, "")</f>
        <v/>
      </c>
    </row>
    <row r="192" spans="1:30" x14ac:dyDescent="0.25">
      <c r="A192" s="115"/>
      <c r="B192" s="115"/>
      <c r="C192" s="115"/>
      <c r="D192" s="115"/>
      <c r="I192" s="44"/>
      <c r="L192" s="41"/>
      <c r="M192" s="41"/>
      <c r="N192" s="41"/>
      <c r="W192" s="71"/>
      <c r="X192" s="72"/>
      <c r="Y192" s="72"/>
      <c r="Z192" s="73"/>
      <c r="AA192" s="64"/>
      <c r="AB192" s="71"/>
      <c r="AC192" s="71"/>
      <c r="AD192" s="71"/>
    </row>
    <row r="193" spans="1:30" x14ac:dyDescent="0.25">
      <c r="A193" s="115" t="s">
        <v>292</v>
      </c>
      <c r="B193" s="115"/>
      <c r="C193" s="115"/>
      <c r="D193" s="115"/>
      <c r="I193" s="44"/>
      <c r="L193" s="41"/>
      <c r="M193" s="41"/>
      <c r="N193" s="41"/>
      <c r="W193" s="71"/>
      <c r="X193" s="72"/>
      <c r="Y193" s="72"/>
      <c r="Z193" s="73"/>
      <c r="AA193" s="64"/>
      <c r="AB193" s="71"/>
      <c r="AC193" s="71"/>
      <c r="AD193" s="71"/>
    </row>
    <row r="194" spans="1:30" x14ac:dyDescent="0.25">
      <c r="A194" s="115"/>
      <c r="B194" s="115"/>
      <c r="C194" s="115"/>
      <c r="D194" s="115"/>
      <c r="I194" s="44"/>
      <c r="L194" s="41"/>
      <c r="M194" s="41"/>
      <c r="N194" s="41"/>
      <c r="W194" s="71"/>
      <c r="X194" s="72"/>
      <c r="Y194" s="72"/>
      <c r="Z194" s="73"/>
      <c r="AA194" s="64"/>
      <c r="AB194" s="71"/>
      <c r="AC194" s="71"/>
      <c r="AD194" s="71"/>
    </row>
    <row r="195" spans="1:30" x14ac:dyDescent="0.25">
      <c r="A195" s="115" t="s">
        <v>176</v>
      </c>
      <c r="B195" s="115"/>
      <c r="C195" s="115"/>
      <c r="D195" s="115"/>
      <c r="I195" s="44"/>
      <c r="L195" s="41"/>
      <c r="M195" s="41"/>
      <c r="N195" s="41"/>
      <c r="W195" s="71"/>
      <c r="X195" s="72"/>
      <c r="Y195" s="72"/>
      <c r="Z195" s="73"/>
      <c r="AA195" s="64"/>
      <c r="AB195" s="71"/>
      <c r="AC195" s="71"/>
      <c r="AD195" s="71"/>
    </row>
    <row r="196" spans="1:30" x14ac:dyDescent="0.25">
      <c r="A196" s="37" t="s">
        <v>21</v>
      </c>
      <c r="B196" s="49">
        <f t="shared" ref="B196" si="198">Q196</f>
        <v>2</v>
      </c>
      <c r="C196" s="36" t="str">
        <f t="shared" ref="C196:C198" si="199">IF(L196="","",L196)</f>
        <v>cup</v>
      </c>
      <c r="D196" s="37" t="str">
        <f>_xlfn.CONCAT(K196, U196)</f>
        <v>cashew nuts</v>
      </c>
      <c r="I196" s="59">
        <v>3</v>
      </c>
      <c r="J196" s="52" t="s">
        <v>16</v>
      </c>
      <c r="K196" s="52" t="s">
        <v>177</v>
      </c>
      <c r="L196" s="53" t="s">
        <v>16</v>
      </c>
      <c r="M196" s="44">
        <f>INDEX(itemGPerQty, MATCH(K196, itemNames, 0))</f>
        <v>0</v>
      </c>
      <c r="N196" s="44">
        <f>INDEX(itemMlPerQty, MATCH(K196, itemNames, 0))</f>
        <v>0</v>
      </c>
      <c r="O196" s="44">
        <f>IF(J196 = "", I196 * M196, IF(ISNA(CONVERT(I196, J196, "kg")), CONVERT(I196, J196, "l") * IF(N196 &lt;&gt; 0, M196 / N196, 0), CONVERT(I196, J196, "kg")))</f>
        <v>0</v>
      </c>
      <c r="P196" s="44">
        <f>IF(J196 = "", I196 * N196, IF(ISNA(CONVERT(I196, J196, "l")), CONVERT(I196, J196, "kg") * IF(M196 &lt;&gt; 0, N196 / M196, 0), CONVERT(I196, J196, "l")))</f>
        <v>0.70976470949999992</v>
      </c>
      <c r="Q196" s="44">
        <f>MROUND(IF(AND(J196 = "", L196 = ""), I196 * recipe10DayScale, IF(ISNA(CONVERT(O196, "kg", L196)), CONVERT(P196 * recipe10DayScale, "l", L196), CONVERT(O196 * recipe10DayScale, "kg", L196))), roundTo)</f>
        <v>2</v>
      </c>
      <c r="R196" s="44">
        <f>recipe10TotScale * IF(L196 = "", Q196 * M196, IF(ISNA(CONVERT(Q196, L196, "kg")), CONVERT(Q196, L196, "l") * IF(N196 &lt;&gt; 0, M196 / N196, 0), CONVERT(Q196, L196, "kg")))</f>
        <v>0</v>
      </c>
      <c r="S196" s="44">
        <f>recipe10TotScale * IF(R196 = 0, IF(L196 = "", Q196 * N196, IF(ISNA(CONVERT(Q196, L196, "l")), CONVERT(Q196, L196, "kg") * IF(M196 &lt;&gt; 0, N196 / M196, 0), CONVERT(Q196, L196, "l"))), 0)</f>
        <v>0.47317647299999999</v>
      </c>
      <c r="T196" s="44">
        <f>recipe10TotScale * IF(AND(R196 = 0, S196 = 0, J196 = "", L196 = ""), Q196, 0)</f>
        <v>0</v>
      </c>
      <c r="V196" s="41" t="b">
        <f>INDEX(itemPrepMethods, MATCH(K196, itemNames, 0))="chop"</f>
        <v>0</v>
      </c>
      <c r="W196" s="54" t="str">
        <f>IF(V196, Q196, "")</f>
        <v/>
      </c>
      <c r="X196" s="55" t="str">
        <f>IF(V196, IF(L196 = "", "", L196), "")</f>
        <v/>
      </c>
      <c r="Y196" s="55" t="str">
        <f>IF(V196, K196, "")</f>
        <v/>
      </c>
      <c r="Z196" s="56"/>
      <c r="AA196" s="41" t="b">
        <f>INDEX(itemPrepMethods, MATCH(K196, itemNames, 0))="soak"</f>
        <v>0</v>
      </c>
      <c r="AB196" s="55" t="str">
        <f>IF(AA196, Q196, "")</f>
        <v/>
      </c>
      <c r="AC196" s="55" t="str">
        <f>IF(AA196, IF(L196 = "", "", L196), "")</f>
        <v/>
      </c>
      <c r="AD196" s="55" t="str">
        <f>IF(AA196, K196, "")</f>
        <v/>
      </c>
    </row>
    <row r="197" spans="1:30" x14ac:dyDescent="0.25">
      <c r="A197" s="37" t="s">
        <v>21</v>
      </c>
      <c r="B197" s="49"/>
      <c r="C197" s="36" t="str">
        <f t="shared" si="199"/>
        <v/>
      </c>
      <c r="D197" s="37" t="str">
        <f>_xlfn.CONCAT(K197, U197)</f>
        <v>grilled tofu</v>
      </c>
      <c r="I197" s="44"/>
      <c r="L197" s="41"/>
      <c r="M197" s="41"/>
      <c r="N197" s="41"/>
      <c r="O197" s="41"/>
      <c r="P197" s="41"/>
      <c r="Q197" s="41"/>
      <c r="T197" s="41"/>
      <c r="U197" s="41" t="s">
        <v>121</v>
      </c>
      <c r="V197" s="64"/>
      <c r="W197" s="71"/>
      <c r="X197" s="72"/>
      <c r="Y197" s="72"/>
      <c r="Z197" s="73"/>
      <c r="AA197" s="64"/>
      <c r="AB197" s="71"/>
      <c r="AC197" s="71"/>
      <c r="AD197" s="71"/>
    </row>
    <row r="198" spans="1:30" x14ac:dyDescent="0.25">
      <c r="A198" s="37" t="s">
        <v>21</v>
      </c>
      <c r="B198" s="49"/>
      <c r="C198" s="36" t="str">
        <f t="shared" si="199"/>
        <v/>
      </c>
      <c r="D198" s="37" t="str">
        <f>_xlfn.CONCAT(K198, U198)</f>
        <v>sprigs fresh corriander, for garnish</v>
      </c>
      <c r="I198" s="60"/>
      <c r="J198" s="57"/>
      <c r="K198" s="52" t="s">
        <v>82</v>
      </c>
      <c r="L198" s="57"/>
      <c r="M198" s="57"/>
      <c r="N198" s="57"/>
      <c r="O198" s="57"/>
      <c r="P198" s="57"/>
      <c r="U198" s="41" t="s">
        <v>208</v>
      </c>
      <c r="V198" s="41" t="b">
        <f>INDEX(itemPrepMethods, MATCH(K198, itemNames, 0))="chop"</f>
        <v>0</v>
      </c>
      <c r="W198" s="54" t="str">
        <f>IF(V198, Q198, "")</f>
        <v/>
      </c>
      <c r="X198" s="55" t="str">
        <f>IF(V198, IF(L198 = "", "", L198), "")</f>
        <v/>
      </c>
      <c r="Y198" s="55" t="str">
        <f>IF(V198, K198, "")</f>
        <v/>
      </c>
      <c r="Z198" s="56"/>
      <c r="AA198" s="41" t="b">
        <f>INDEX(itemPrepMethods, MATCH(K198, itemNames, 0))="soak"</f>
        <v>0</v>
      </c>
      <c r="AB198" s="55" t="str">
        <f>IF(AA198, Q198, "")</f>
        <v/>
      </c>
      <c r="AC198" s="55" t="str">
        <f>IF(AA198, IF(L198 = "", "", L198), "")</f>
        <v/>
      </c>
      <c r="AD198" s="55" t="str">
        <f>IF(AA198, K198, "")</f>
        <v/>
      </c>
    </row>
    <row r="199" spans="1:30" ht="15.75" x14ac:dyDescent="0.25">
      <c r="A199" s="117" t="s">
        <v>29</v>
      </c>
      <c r="B199" s="117"/>
      <c r="C199" s="117"/>
      <c r="D199" s="117"/>
      <c r="E199" s="40" t="s">
        <v>129</v>
      </c>
      <c r="F199" s="100" t="s">
        <v>78</v>
      </c>
      <c r="G199" s="100"/>
      <c r="H199" s="44"/>
    </row>
    <row r="200" spans="1:30" ht="24" x14ac:dyDescent="0.2">
      <c r="A200" s="117" t="s">
        <v>249</v>
      </c>
      <c r="B200" s="117"/>
      <c r="C200" s="117"/>
      <c r="D200" s="117"/>
      <c r="E200" s="39" t="s">
        <v>53</v>
      </c>
      <c r="F200" s="87">
        <v>15</v>
      </c>
      <c r="G200" s="44"/>
      <c r="H200" s="44"/>
      <c r="I200" s="67" t="s">
        <v>434</v>
      </c>
      <c r="J200" s="68" t="s">
        <v>435</v>
      </c>
      <c r="K200" s="68" t="s">
        <v>17</v>
      </c>
      <c r="L200" s="69" t="s">
        <v>438</v>
      </c>
      <c r="M200" s="67" t="s">
        <v>141</v>
      </c>
      <c r="N200" s="67" t="s">
        <v>142</v>
      </c>
      <c r="O200" s="67" t="s">
        <v>436</v>
      </c>
      <c r="P200" s="67" t="s">
        <v>437</v>
      </c>
      <c r="Q200" s="68" t="s">
        <v>353</v>
      </c>
      <c r="R200" s="67" t="s">
        <v>354</v>
      </c>
      <c r="S200" s="67" t="s">
        <v>355</v>
      </c>
      <c r="T200" s="67" t="s">
        <v>356</v>
      </c>
      <c r="U200" s="68" t="s">
        <v>22</v>
      </c>
      <c r="V200" s="68" t="s">
        <v>202</v>
      </c>
      <c r="W200" s="70" t="s">
        <v>353</v>
      </c>
      <c r="X200" s="68" t="s">
        <v>200</v>
      </c>
      <c r="Y200" s="68" t="s">
        <v>201</v>
      </c>
      <c r="Z200" s="68" t="s">
        <v>302</v>
      </c>
      <c r="AA200" s="68" t="s">
        <v>203</v>
      </c>
      <c r="AB200" s="70" t="s">
        <v>353</v>
      </c>
      <c r="AC200" s="68" t="s">
        <v>204</v>
      </c>
      <c r="AD200" s="68" t="s">
        <v>205</v>
      </c>
    </row>
    <row r="201" spans="1:30" ht="13.5" thickBot="1" x14ac:dyDescent="0.3">
      <c r="A201" s="118" t="str">
        <f>_xlfn.CONCAT(F201," servings")</f>
        <v>10 servings</v>
      </c>
      <c r="B201" s="118"/>
      <c r="C201" s="118"/>
      <c r="D201" s="118"/>
      <c r="E201" s="63" t="s">
        <v>348</v>
      </c>
      <c r="F201" s="87">
        <f>moDiCount</f>
        <v>10</v>
      </c>
      <c r="G201" s="44"/>
      <c r="H201" s="44"/>
      <c r="I201" s="60"/>
      <c r="J201" s="39"/>
      <c r="K201" s="39"/>
      <c r="L201" s="61"/>
      <c r="M201" s="60"/>
      <c r="N201" s="60"/>
      <c r="O201" s="60"/>
      <c r="P201" s="60"/>
      <c r="Q201" s="39"/>
      <c r="R201" s="60"/>
      <c r="S201" s="60"/>
      <c r="T201" s="60"/>
      <c r="U201" s="39"/>
      <c r="V201" s="39"/>
      <c r="W201" s="57"/>
      <c r="X201" s="39"/>
      <c r="Y201" s="39"/>
      <c r="Z201" s="38"/>
      <c r="AA201" s="39"/>
      <c r="AB201" s="39"/>
      <c r="AC201" s="39"/>
      <c r="AD201" s="39"/>
    </row>
    <row r="202" spans="1:30" s="102" customFormat="1" ht="15.75" thickBot="1" x14ac:dyDescent="0.3">
      <c r="A202" s="115"/>
      <c r="B202" s="115"/>
      <c r="C202" s="115"/>
      <c r="D202" s="115"/>
      <c r="E202" s="63" t="s">
        <v>351</v>
      </c>
      <c r="F202" s="47">
        <f>F201/F200</f>
        <v>0.66666666666666663</v>
      </c>
      <c r="G202" s="48" t="s">
        <v>369</v>
      </c>
      <c r="H202" s="44"/>
      <c r="I202" s="60"/>
      <c r="J202" s="100"/>
      <c r="K202" s="100"/>
      <c r="L202" s="61"/>
      <c r="M202" s="60"/>
      <c r="N202" s="60"/>
      <c r="O202" s="60"/>
      <c r="P202" s="60"/>
      <c r="Q202" s="100"/>
      <c r="R202" s="60"/>
      <c r="S202" s="60"/>
      <c r="T202" s="60"/>
      <c r="U202" s="100"/>
      <c r="V202" s="100"/>
      <c r="W202" s="101"/>
      <c r="X202" s="100"/>
      <c r="Y202" s="100"/>
      <c r="Z202" s="38"/>
      <c r="AA202" s="100"/>
      <c r="AB202" s="100"/>
      <c r="AC202" s="100"/>
      <c r="AD202" s="100"/>
    </row>
    <row r="203" spans="1:30" x14ac:dyDescent="0.25">
      <c r="A203" s="115" t="s">
        <v>250</v>
      </c>
      <c r="B203" s="115"/>
      <c r="C203" s="115"/>
      <c r="D203" s="115"/>
      <c r="E203" s="64"/>
      <c r="F203" s="64"/>
      <c r="G203" s="64"/>
      <c r="H203" s="50"/>
      <c r="I203" s="44"/>
    </row>
    <row r="204" spans="1:30" ht="15.75" thickBot="1" x14ac:dyDescent="0.3">
      <c r="A204" s="37" t="s">
        <v>21</v>
      </c>
      <c r="B204" s="49">
        <f>Q204</f>
        <v>3</v>
      </c>
      <c r="C204" s="36" t="str">
        <f>IF(L204="","",L204)</f>
        <v>l</v>
      </c>
      <c r="D204" s="37" t="str">
        <f>_xlfn.CONCAT(K204, U204)</f>
        <v>vegetable stock</v>
      </c>
      <c r="E204" s="63" t="s">
        <v>327</v>
      </c>
      <c r="F204" s="87">
        <f>moDiCount</f>
        <v>10</v>
      </c>
      <c r="G204" s="64"/>
      <c r="I204" s="51">
        <v>4.5</v>
      </c>
      <c r="J204" s="52" t="s">
        <v>54</v>
      </c>
      <c r="K204" s="52" t="s">
        <v>55</v>
      </c>
      <c r="L204" s="53" t="s">
        <v>54</v>
      </c>
      <c r="M204" s="44">
        <f>INDEX(itemGPerQty, MATCH(K204, itemNames, 0))</f>
        <v>0</v>
      </c>
      <c r="N204" s="44">
        <f>INDEX(itemMlPerQty, MATCH(K204, itemNames, 0))</f>
        <v>0</v>
      </c>
      <c r="O204" s="44">
        <f>IF(J204 = "", I204 * M204, IF(ISNA(CONVERT(I204, J204, "kg")), CONVERT(I204, J204, "l") * IF(N204 &lt;&gt; 0, M204 / N204, 0), CONVERT(I204, J204, "kg")))</f>
        <v>0</v>
      </c>
      <c r="P204" s="44">
        <f>IF(J204 = "", I204 * N204, IF(ISNA(CONVERT(I204, J204, "l")), CONVERT(I204, J204, "kg") * IF(M204 &lt;&gt; 0, N204 / M204, 0), CONVERT(I204, J204, "l")))</f>
        <v>4.5</v>
      </c>
      <c r="Q204" s="44">
        <f>MROUND(IF(AND(J204 = "", L204 = ""), I204 * recipe05DayScale, IF(ISNA(CONVERT(O204, "kg", L204)), CONVERT(P204 * recipe05DayScale, "l", L204), CONVERT(O204 * recipe05DayScale, "kg", L204))), roundTo)</f>
        <v>3</v>
      </c>
      <c r="R204" s="44">
        <f>recipe05TotScale * IF(L204 = "", Q204 * M204, IF(ISNA(CONVERT(Q204, L204, "kg")), CONVERT(Q204, L204, "l") * IF(N204 &lt;&gt; 0, M204 / N204, 0), CONVERT(Q204, L204, "kg")))</f>
        <v>0</v>
      </c>
      <c r="S204" s="44">
        <f>recipe05TotScale * IF(R204 = 0, IF(L204 = "", Q204 * N204, IF(ISNA(CONVERT(Q204, L204, "l")), CONVERT(Q204, L204, "kg") * IF(M204 &lt;&gt; 0, N204 / M204, 0), CONVERT(Q204, L204, "l"))), 0)</f>
        <v>3</v>
      </c>
      <c r="T204" s="44">
        <f>recipe05TotScale * IF(AND(R204 = 0, S204 = 0, J204 = "", L204 = ""), Q204, 0)</f>
        <v>0</v>
      </c>
      <c r="V204" s="41" t="b">
        <f>INDEX(itemPrepMethods, MATCH(K204, itemNames, 0))="chop"</f>
        <v>0</v>
      </c>
      <c r="W204" s="54" t="str">
        <f>IF(V204, Q204, "")</f>
        <v/>
      </c>
      <c r="X204" s="55" t="str">
        <f>IF(V204, IF(L204 = "", "", L204), "")</f>
        <v/>
      </c>
      <c r="Y204" s="55" t="str">
        <f>IF(V204, K204, "")</f>
        <v/>
      </c>
      <c r="Z204" s="56"/>
      <c r="AA204" s="41" t="b">
        <f>INDEX(itemPrepMethods, MATCH(K204, itemNames, 0))="soak"</f>
        <v>0</v>
      </c>
      <c r="AB204" s="55" t="str">
        <f>IF(AA204, Q204, "")</f>
        <v/>
      </c>
      <c r="AC204" s="55" t="str">
        <f>IF(AA204, IF(L204 = "", "", L204), "")</f>
        <v/>
      </c>
      <c r="AD204" s="55" t="str">
        <f>IF(AA204, K204, "")</f>
        <v/>
      </c>
    </row>
    <row r="205" spans="1:30" ht="16.5" thickBot="1" x14ac:dyDescent="0.3">
      <c r="A205" s="116"/>
      <c r="B205" s="116"/>
      <c r="C205" s="116"/>
      <c r="D205" s="116"/>
      <c r="E205" s="63" t="s">
        <v>352</v>
      </c>
      <c r="F205" s="47">
        <f>F204/F201</f>
        <v>1</v>
      </c>
      <c r="G205" s="48" t="s">
        <v>370</v>
      </c>
      <c r="H205" s="44"/>
      <c r="I205" s="60"/>
      <c r="J205" s="39"/>
      <c r="K205" s="39"/>
      <c r="L205" s="61"/>
      <c r="M205" s="60"/>
      <c r="N205" s="60"/>
      <c r="O205" s="60"/>
      <c r="P205" s="60"/>
      <c r="Q205" s="39"/>
      <c r="R205" s="60"/>
      <c r="S205" s="60"/>
      <c r="T205" s="60"/>
      <c r="U205" s="39"/>
      <c r="W205" s="71"/>
      <c r="X205" s="71"/>
      <c r="Y205" s="71"/>
      <c r="Z205" s="71"/>
      <c r="AA205" s="64"/>
      <c r="AB205" s="71"/>
      <c r="AC205" s="71"/>
      <c r="AD205" s="71"/>
    </row>
    <row r="206" spans="1:30" x14ac:dyDescent="0.25">
      <c r="A206" s="115" t="s">
        <v>117</v>
      </c>
      <c r="B206" s="115"/>
      <c r="C206" s="115"/>
      <c r="D206" s="115"/>
      <c r="H206" s="44"/>
      <c r="I206" s="60"/>
      <c r="J206" s="39"/>
      <c r="K206" s="39"/>
      <c r="L206" s="61"/>
      <c r="M206" s="60"/>
      <c r="N206" s="60"/>
      <c r="O206" s="60"/>
      <c r="P206" s="60"/>
      <c r="Q206" s="39"/>
      <c r="R206" s="60"/>
      <c r="S206" s="60"/>
      <c r="T206" s="60"/>
      <c r="U206" s="39"/>
      <c r="W206" s="71"/>
      <c r="X206" s="71"/>
      <c r="Y206" s="71"/>
      <c r="Z206" s="71"/>
      <c r="AA206" s="64"/>
      <c r="AB206" s="71"/>
      <c r="AC206" s="71"/>
      <c r="AD206" s="71"/>
    </row>
    <row r="207" spans="1:30" x14ac:dyDescent="0.25">
      <c r="A207" s="37" t="s">
        <v>21</v>
      </c>
      <c r="B207" s="49">
        <f t="shared" ref="B207:B222" si="200">Q207</f>
        <v>16</v>
      </c>
      <c r="C207" s="36" t="str">
        <f t="shared" ref="C207:C231" si="201">IF(L207="","",L207)</f>
        <v/>
      </c>
      <c r="D207" s="37" t="str">
        <f>_xlfn.CONCAT(K207, U207)</f>
        <v>chopped kumara</v>
      </c>
      <c r="I207" s="51">
        <v>24</v>
      </c>
      <c r="J207" s="52"/>
      <c r="K207" s="52" t="s">
        <v>151</v>
      </c>
      <c r="L207" s="53"/>
      <c r="M207" s="44">
        <f t="shared" ref="M207:M222" si="202">INDEX(itemGPerQty, MATCH(K207, itemNames, 0))</f>
        <v>0.34</v>
      </c>
      <c r="N207" s="44">
        <f t="shared" ref="N207:N222" si="203">INDEX(itemMlPerQty, MATCH(K207, itemNames, 0))</f>
        <v>0</v>
      </c>
      <c r="O207" s="44">
        <f t="shared" ref="O207:O222" si="204">IF(J207 = "", I207 * M207, IF(ISNA(CONVERT(I207, J207, "kg")), CONVERT(I207, J207, "l") * IF(N207 &lt;&gt; 0, M207 / N207, 0), CONVERT(I207, J207, "kg")))</f>
        <v>8.16</v>
      </c>
      <c r="P207" s="44">
        <f t="shared" ref="P207:P222" si="205">IF(J207 = "", I207 * N207, IF(ISNA(CONVERT(I207, J207, "l")), CONVERT(I207, J207, "kg") * IF(M207 &lt;&gt; 0, N207 / M207, 0), CONVERT(I207, J207, "l")))</f>
        <v>0</v>
      </c>
      <c r="Q207" s="44">
        <f>MROUND(IF(AND(J207 = "", L207 = ""), I207 * recipe05DayScale, IF(ISNA(CONVERT(O207, "kg", L207)), CONVERT(P207 * recipe05DayScale, "l", L207), CONVERT(O207 * recipe05DayScale, "kg", L207))), roundTo)</f>
        <v>16</v>
      </c>
      <c r="R207" s="44">
        <f>recipe05TotScale * IF(L207 = "", Q207 * M207, IF(ISNA(CONVERT(Q207, L207, "kg")), CONVERT(Q207, L207, "l") * IF(N207 &lt;&gt; 0, M207 / N207, 0), CONVERT(Q207, L207, "kg")))</f>
        <v>5.44</v>
      </c>
      <c r="S207" s="44">
        <f>recipe05TotScale * IF(R207 = 0, IF(L207 = "", Q207 * N207, IF(ISNA(CONVERT(Q207, L207, "l")), CONVERT(Q207, L207, "kg") * IF(M207 &lt;&gt; 0, N207 / M207, 0), CONVERT(Q207, L207, "l"))), 0)</f>
        <v>0</v>
      </c>
      <c r="T207" s="44">
        <f>recipe05TotScale * IF(AND(R207 = 0, S207 = 0, J207 = "", L207 = ""), Q207, 0)</f>
        <v>0</v>
      </c>
      <c r="V207" s="41" t="b">
        <f>INDEX(itemPrepMethods, MATCH(K207, itemNames, 0))="chop"</f>
        <v>1</v>
      </c>
      <c r="W207" s="54">
        <f>IF(V207, Q207, "")</f>
        <v>16</v>
      </c>
      <c r="X207" s="55" t="str">
        <f>IF(V207, IF(L207 = "", "", L207), "")</f>
        <v/>
      </c>
      <c r="Y207" s="55" t="str">
        <f>IF(V207, K207, "")</f>
        <v>chopped kumara</v>
      </c>
      <c r="Z207" s="56"/>
      <c r="AA207" s="41" t="b">
        <f>INDEX(itemPrepMethods, MATCH(K207, itemNames, 0))="soak"</f>
        <v>0</v>
      </c>
      <c r="AB207" s="55" t="str">
        <f>IF(AA207, Q207, "")</f>
        <v/>
      </c>
      <c r="AC207" s="55" t="str">
        <f>IF(AA207, IF(L207 = "", "", L207), "")</f>
        <v/>
      </c>
      <c r="AD207" s="55" t="str">
        <f>IF(AA207, K207, "")</f>
        <v/>
      </c>
    </row>
    <row r="208" spans="1:30" x14ac:dyDescent="0.25">
      <c r="A208" s="37" t="s">
        <v>21</v>
      </c>
      <c r="B208" s="49">
        <f t="shared" si="200"/>
        <v>8</v>
      </c>
      <c r="C208" s="36" t="str">
        <f t="shared" si="201"/>
        <v/>
      </c>
      <c r="D208" s="37" t="str">
        <f>_xlfn.CONCAT(K208, U208)</f>
        <v>chopped carrots</v>
      </c>
      <c r="I208" s="51">
        <v>12</v>
      </c>
      <c r="J208" s="52"/>
      <c r="K208" s="52" t="s">
        <v>5</v>
      </c>
      <c r="L208" s="53"/>
      <c r="M208" s="44">
        <f t="shared" si="202"/>
        <v>0.14833333333333334</v>
      </c>
      <c r="N208" s="44">
        <f t="shared" si="203"/>
        <v>0.19999999999999998</v>
      </c>
      <c r="O208" s="44">
        <f t="shared" si="204"/>
        <v>1.7800000000000002</v>
      </c>
      <c r="P208" s="44">
        <f t="shared" si="205"/>
        <v>2.4</v>
      </c>
      <c r="Q208" s="44">
        <f>MROUND(IF(AND(J208 = "", L208 = ""), I208 * recipe05DayScale, IF(ISNA(CONVERT(O208, "kg", L208)), CONVERT(P208 * recipe05DayScale, "l", L208), CONVERT(O208 * recipe05DayScale, "kg", L208))), roundTo)</f>
        <v>8</v>
      </c>
      <c r="R208" s="44">
        <f>recipe05TotScale * IF(L208 = "", Q208 * M208, IF(ISNA(CONVERT(Q208, L208, "kg")), CONVERT(Q208, L208, "l") * IF(N208 &lt;&gt; 0, M208 / N208, 0), CONVERT(Q208, L208, "kg")))</f>
        <v>1.1866666666666668</v>
      </c>
      <c r="S208" s="44">
        <f>recipe05TotScale * IF(R208 = 0, IF(L208 = "", Q208 * N208, IF(ISNA(CONVERT(Q208, L208, "l")), CONVERT(Q208, L208, "kg") * IF(M208 &lt;&gt; 0, N208 / M208, 0), CONVERT(Q208, L208, "l"))), 0)</f>
        <v>0</v>
      </c>
      <c r="T208" s="44">
        <f>recipe05TotScale * IF(AND(R208 = 0, S208 = 0, J208 = "", L208 = ""), Q208, 0)</f>
        <v>0</v>
      </c>
      <c r="V208" s="41" t="b">
        <f>INDEX(itemPrepMethods, MATCH(K208, itemNames, 0))="chop"</f>
        <v>1</v>
      </c>
      <c r="W208" s="54">
        <f>IF(V208, Q208, "")</f>
        <v>8</v>
      </c>
      <c r="X208" s="55" t="str">
        <f>IF(V208, IF(L208 = "", "", L208), "")</f>
        <v/>
      </c>
      <c r="Y208" s="55" t="str">
        <f>IF(V208, K208, "")</f>
        <v>chopped carrots</v>
      </c>
      <c r="Z208" s="56"/>
      <c r="AA208" s="41" t="b">
        <f>INDEX(itemPrepMethods, MATCH(K208, itemNames, 0))="soak"</f>
        <v>0</v>
      </c>
      <c r="AB208" s="55" t="str">
        <f>IF(AA208, Q208, "")</f>
        <v/>
      </c>
      <c r="AC208" s="55" t="str">
        <f>IF(AA208, IF(L208 = "", "", L208), "")</f>
        <v/>
      </c>
      <c r="AD208" s="55" t="str">
        <f>IF(AA208, K208, "")</f>
        <v/>
      </c>
    </row>
    <row r="209" spans="1:30" x14ac:dyDescent="0.25">
      <c r="A209" s="37" t="s">
        <v>21</v>
      </c>
      <c r="B209" s="49"/>
      <c r="C209" s="36" t="str">
        <f>IF(L209="","",L209)</f>
        <v/>
      </c>
      <c r="D209" s="37" t="str">
        <f>_xlfn.CONCAT(K209, U209)</f>
        <v>water, ONLY IF REQUIRED to completely cover vegetables</v>
      </c>
      <c r="I209" s="44"/>
      <c r="K209" s="52" t="s">
        <v>47</v>
      </c>
      <c r="L209" s="41"/>
      <c r="M209" s="41"/>
      <c r="N209" s="41"/>
      <c r="O209" s="41"/>
      <c r="P209" s="41"/>
      <c r="U209" s="41" t="s">
        <v>251</v>
      </c>
      <c r="V209" s="41" t="b">
        <f>INDEX(itemPrepMethods, MATCH(K209, itemNames, 0))="chop"</f>
        <v>0</v>
      </c>
      <c r="W209" s="54" t="str">
        <f>IF(V209, Q209, "")</f>
        <v/>
      </c>
      <c r="X209" s="55" t="str">
        <f>IF(V209, IF(L209 = "", "", L209), "")</f>
        <v/>
      </c>
      <c r="Y209" s="55" t="str">
        <f>IF(V209, K209, "")</f>
        <v/>
      </c>
      <c r="Z209" s="56"/>
      <c r="AA209" s="41" t="b">
        <f>INDEX(itemPrepMethods, MATCH(K209, itemNames, 0))="soak"</f>
        <v>0</v>
      </c>
      <c r="AB209" s="55" t="str">
        <f>IF(AA209, Q209, "")</f>
        <v/>
      </c>
      <c r="AC209" s="55" t="str">
        <f>IF(AA209, IF(L209 = "", "", L209), "")</f>
        <v/>
      </c>
      <c r="AD209" s="55" t="str">
        <f>IF(AA209, K209, "")</f>
        <v/>
      </c>
    </row>
    <row r="210" spans="1:30" ht="15.75" x14ac:dyDescent="0.25">
      <c r="A210" s="116"/>
      <c r="B210" s="116"/>
      <c r="C210" s="116"/>
      <c r="D210" s="116"/>
      <c r="E210" s="39"/>
      <c r="F210" s="39"/>
      <c r="G210" s="44"/>
      <c r="H210" s="44"/>
      <c r="I210" s="60"/>
      <c r="J210" s="39"/>
      <c r="K210" s="39"/>
      <c r="L210" s="61"/>
      <c r="M210" s="60"/>
      <c r="N210" s="60"/>
      <c r="O210" s="60"/>
      <c r="P210" s="60"/>
      <c r="Q210" s="39"/>
      <c r="R210" s="60"/>
      <c r="S210" s="60"/>
      <c r="T210" s="60"/>
      <c r="U210" s="39"/>
      <c r="W210" s="71"/>
      <c r="X210" s="71"/>
      <c r="Y210" s="71"/>
      <c r="Z210" s="71"/>
      <c r="AA210" s="64"/>
      <c r="AB210" s="71"/>
      <c r="AC210" s="71"/>
      <c r="AD210" s="71"/>
    </row>
    <row r="211" spans="1:30" x14ac:dyDescent="0.25">
      <c r="A211" s="115" t="s">
        <v>252</v>
      </c>
      <c r="B211" s="115"/>
      <c r="C211" s="115"/>
      <c r="D211" s="115"/>
      <c r="E211" s="39"/>
      <c r="F211" s="39"/>
      <c r="G211" s="44"/>
      <c r="H211" s="44"/>
      <c r="I211" s="60"/>
      <c r="J211" s="39"/>
      <c r="K211" s="39"/>
      <c r="L211" s="61"/>
      <c r="M211" s="60"/>
      <c r="N211" s="60"/>
      <c r="O211" s="60"/>
      <c r="P211" s="60"/>
      <c r="Q211" s="39"/>
      <c r="R211" s="60"/>
      <c r="S211" s="60"/>
      <c r="T211" s="60"/>
      <c r="U211" s="39"/>
      <c r="W211" s="71"/>
      <c r="X211" s="71"/>
      <c r="Y211" s="71"/>
      <c r="Z211" s="71"/>
      <c r="AA211" s="64"/>
      <c r="AB211" s="71"/>
      <c r="AC211" s="71"/>
      <c r="AD211" s="71"/>
    </row>
    <row r="212" spans="1:30" ht="15.75" x14ac:dyDescent="0.25">
      <c r="A212" s="116"/>
      <c r="B212" s="116"/>
      <c r="C212" s="116"/>
      <c r="D212" s="116"/>
      <c r="E212" s="39"/>
      <c r="F212" s="39"/>
      <c r="G212" s="44"/>
      <c r="H212" s="44"/>
      <c r="I212" s="60"/>
      <c r="J212" s="39"/>
      <c r="K212" s="39"/>
      <c r="L212" s="61"/>
      <c r="M212" s="60"/>
      <c r="N212" s="60"/>
      <c r="O212" s="60"/>
      <c r="P212" s="60"/>
      <c r="Q212" s="39"/>
      <c r="R212" s="60"/>
      <c r="S212" s="60"/>
      <c r="T212" s="60"/>
      <c r="U212" s="39"/>
      <c r="W212" s="71"/>
      <c r="X212" s="71"/>
      <c r="Y212" s="71"/>
      <c r="Z212" s="71"/>
      <c r="AA212" s="64"/>
      <c r="AB212" s="71"/>
      <c r="AC212" s="71"/>
      <c r="AD212" s="71"/>
    </row>
    <row r="213" spans="1:30" x14ac:dyDescent="0.25">
      <c r="A213" s="115" t="s">
        <v>259</v>
      </c>
      <c r="B213" s="115"/>
      <c r="C213" s="115"/>
      <c r="D213" s="115"/>
      <c r="E213" s="39"/>
      <c r="F213" s="39"/>
      <c r="G213" s="44"/>
      <c r="H213" s="44"/>
      <c r="I213" s="60"/>
      <c r="J213" s="39"/>
      <c r="K213" s="39"/>
      <c r="L213" s="61"/>
      <c r="M213" s="60"/>
      <c r="N213" s="60"/>
      <c r="O213" s="60"/>
      <c r="P213" s="60"/>
      <c r="Q213" s="39"/>
      <c r="R213" s="60"/>
      <c r="S213" s="60"/>
      <c r="T213" s="60"/>
      <c r="U213" s="39"/>
      <c r="W213" s="71"/>
      <c r="X213" s="71"/>
      <c r="Y213" s="71"/>
      <c r="Z213" s="71"/>
      <c r="AA213" s="64"/>
      <c r="AB213" s="71"/>
      <c r="AC213" s="71"/>
      <c r="AD213" s="71"/>
    </row>
    <row r="214" spans="1:30" ht="15.75" x14ac:dyDescent="0.25">
      <c r="A214" s="116"/>
      <c r="B214" s="116"/>
      <c r="C214" s="116"/>
      <c r="D214" s="116"/>
      <c r="E214" s="39"/>
      <c r="F214" s="39"/>
      <c r="G214" s="44"/>
      <c r="H214" s="44"/>
      <c r="I214" s="60"/>
      <c r="J214" s="39"/>
      <c r="K214" s="39"/>
      <c r="L214" s="61"/>
      <c r="M214" s="60"/>
      <c r="N214" s="60"/>
      <c r="O214" s="60"/>
      <c r="P214" s="60"/>
      <c r="Q214" s="39"/>
      <c r="R214" s="60"/>
      <c r="S214" s="60"/>
      <c r="T214" s="60"/>
      <c r="U214" s="39"/>
      <c r="W214" s="71"/>
      <c r="X214" s="71"/>
      <c r="Y214" s="71"/>
      <c r="Z214" s="71"/>
      <c r="AA214" s="64"/>
      <c r="AB214" s="71"/>
      <c r="AC214" s="71"/>
      <c r="AD214" s="71"/>
    </row>
    <row r="215" spans="1:30" x14ac:dyDescent="0.25">
      <c r="A215" s="115" t="s">
        <v>253</v>
      </c>
      <c r="B215" s="115"/>
      <c r="C215" s="115"/>
      <c r="D215" s="115"/>
      <c r="E215" s="39"/>
      <c r="F215" s="39"/>
      <c r="G215" s="44"/>
      <c r="H215" s="44"/>
      <c r="I215" s="60"/>
      <c r="J215" s="39"/>
      <c r="K215" s="39"/>
      <c r="L215" s="61"/>
      <c r="M215" s="60"/>
      <c r="N215" s="60"/>
      <c r="O215" s="60"/>
      <c r="P215" s="60"/>
      <c r="Q215" s="39"/>
      <c r="R215" s="60"/>
      <c r="S215" s="60"/>
      <c r="T215" s="60"/>
      <c r="U215" s="39"/>
      <c r="W215" s="71"/>
      <c r="X215" s="71"/>
      <c r="Y215" s="71"/>
      <c r="Z215" s="71"/>
      <c r="AA215" s="64"/>
      <c r="AB215" s="71"/>
      <c r="AC215" s="71"/>
      <c r="AD215" s="71"/>
    </row>
    <row r="216" spans="1:30" x14ac:dyDescent="0.25">
      <c r="A216" s="37" t="s">
        <v>21</v>
      </c>
      <c r="B216" s="49">
        <f t="shared" si="200"/>
        <v>2</v>
      </c>
      <c r="C216" s="36" t="str">
        <f t="shared" si="201"/>
        <v/>
      </c>
      <c r="D216" s="37" t="str">
        <f>_xlfn.CONCAT(K216, U216)</f>
        <v>tinned creamed corn</v>
      </c>
      <c r="I216" s="51">
        <v>3</v>
      </c>
      <c r="J216" s="52"/>
      <c r="K216" s="52" t="s">
        <v>449</v>
      </c>
      <c r="L216" s="53"/>
      <c r="M216" s="44">
        <f t="shared" si="202"/>
        <v>0</v>
      </c>
      <c r="N216" s="44">
        <f t="shared" si="203"/>
        <v>0</v>
      </c>
      <c r="O216" s="44">
        <f t="shared" si="204"/>
        <v>0</v>
      </c>
      <c r="P216" s="44">
        <f t="shared" si="205"/>
        <v>0</v>
      </c>
      <c r="Q216" s="44">
        <f>MROUND(IF(AND(J216 = "", L216 = ""), I216 * recipe05DayScale, IF(ISNA(CONVERT(O216, "kg", L216)), CONVERT(P216 * recipe05DayScale, "l", L216), CONVERT(O216 * recipe05DayScale, "kg", L216))), roundTo)</f>
        <v>2</v>
      </c>
      <c r="R216" s="44">
        <f>recipe05TotScale * IF(L216 = "", Q216 * M216, IF(ISNA(CONVERT(Q216, L216, "kg")), CONVERT(Q216, L216, "l") * IF(N216 &lt;&gt; 0, M216 / N216, 0), CONVERT(Q216, L216, "kg")))</f>
        <v>0</v>
      </c>
      <c r="S216" s="44">
        <f>recipe05TotScale * IF(R216 = 0, IF(L216 = "", Q216 * N216, IF(ISNA(CONVERT(Q216, L216, "l")), CONVERT(Q216, L216, "kg") * IF(M216 &lt;&gt; 0, N216 / M216, 0), CONVERT(Q216, L216, "l"))), 0)</f>
        <v>0</v>
      </c>
      <c r="T216" s="44">
        <f>recipe05TotScale * IF(AND(R216 = 0, S216 = 0, J216 = "", L216 = ""), Q216, 0)</f>
        <v>2</v>
      </c>
      <c r="V216" s="41" t="b">
        <f>INDEX(itemPrepMethods, MATCH(K216, itemNames, 0))="chop"</f>
        <v>0</v>
      </c>
      <c r="W216" s="54" t="str">
        <f>IF(V216, Q216, "")</f>
        <v/>
      </c>
      <c r="X216" s="55" t="str">
        <f>IF(V216, IF(L216 = "", "", L216), "")</f>
        <v/>
      </c>
      <c r="Y216" s="55" t="str">
        <f>IF(V216, K216, "")</f>
        <v/>
      </c>
      <c r="Z216" s="56"/>
      <c r="AA216" s="41" t="b">
        <f>INDEX(itemPrepMethods, MATCH(K216, itemNames, 0))="soak"</f>
        <v>0</v>
      </c>
      <c r="AB216" s="55" t="str">
        <f>IF(AA216, Q216, "")</f>
        <v/>
      </c>
      <c r="AC216" s="55" t="str">
        <f>IF(AA216, IF(L216 = "", "", L216), "")</f>
        <v/>
      </c>
      <c r="AD216" s="55" t="str">
        <f>IF(AA216, K216, "")</f>
        <v/>
      </c>
    </row>
    <row r="217" spans="1:30" x14ac:dyDescent="0.25">
      <c r="A217" s="37" t="s">
        <v>21</v>
      </c>
      <c r="B217" s="49">
        <f t="shared" si="200"/>
        <v>5.25</v>
      </c>
      <c r="C217" s="36" t="str">
        <f t="shared" si="201"/>
        <v>tbs</v>
      </c>
      <c r="D217" s="37" t="str">
        <f>_xlfn.CONCAT(K217, U217)</f>
        <v>dijon mustard</v>
      </c>
      <c r="I217" s="51">
        <v>8</v>
      </c>
      <c r="J217" s="52" t="s">
        <v>15</v>
      </c>
      <c r="K217" s="52" t="s">
        <v>71</v>
      </c>
      <c r="L217" s="53" t="s">
        <v>15</v>
      </c>
      <c r="M217" s="44">
        <f t="shared" si="202"/>
        <v>0</v>
      </c>
      <c r="N217" s="44">
        <f t="shared" si="203"/>
        <v>0</v>
      </c>
      <c r="O217" s="44">
        <f t="shared" si="204"/>
        <v>0</v>
      </c>
      <c r="P217" s="44">
        <f t="shared" si="205"/>
        <v>0.11829411825</v>
      </c>
      <c r="Q217" s="44">
        <f>MROUND(IF(AND(J217 = "", L217 = ""), I217 * recipe05DayScale, IF(ISNA(CONVERT(O217, "kg", L217)), CONVERT(P217 * recipe05DayScale, "l", L217), CONVERT(O217 * recipe05DayScale, "kg", L217))), roundTo)</f>
        <v>5.25</v>
      </c>
      <c r="R217" s="44">
        <f>recipe05TotScale * IF(L217 = "", Q217 * M217, IF(ISNA(CONVERT(Q217, L217, "kg")), CONVERT(Q217, L217, "l") * IF(N217 &lt;&gt; 0, M217 / N217, 0), CONVERT(Q217, L217, "kg")))</f>
        <v>0</v>
      </c>
      <c r="S217" s="44">
        <f>recipe05TotScale * IF(R217 = 0, IF(L217 = "", Q217 * N217, IF(ISNA(CONVERT(Q217, L217, "l")), CONVERT(Q217, L217, "kg") * IF(M217 &lt;&gt; 0, N217 / M217, 0), CONVERT(Q217, L217, "l"))), 0)</f>
        <v>7.7630515101562492E-2</v>
      </c>
      <c r="T217" s="44">
        <f>recipe05TotScale * IF(AND(R217 = 0, S217 = 0, J217 = "", L217 = ""), Q217, 0)</f>
        <v>0</v>
      </c>
      <c r="V217" s="41" t="b">
        <f>INDEX(itemPrepMethods, MATCH(K217, itemNames, 0))="chop"</f>
        <v>0</v>
      </c>
      <c r="W217" s="54" t="str">
        <f>IF(V217, Q217, "")</f>
        <v/>
      </c>
      <c r="X217" s="55" t="str">
        <f>IF(V217, IF(L217 = "", "", L217), "")</f>
        <v/>
      </c>
      <c r="Y217" s="55" t="str">
        <f>IF(V217, K217, "")</f>
        <v/>
      </c>
      <c r="Z217" s="56"/>
      <c r="AA217" s="41" t="b">
        <f>INDEX(itemPrepMethods, MATCH(K217, itemNames, 0))="soak"</f>
        <v>0</v>
      </c>
      <c r="AB217" s="55" t="str">
        <f>IF(AA217, Q217, "")</f>
        <v/>
      </c>
      <c r="AC217" s="55" t="str">
        <f>IF(AA217, IF(L217 = "", "", L217), "")</f>
        <v/>
      </c>
      <c r="AD217" s="55" t="str">
        <f>IF(AA217, K217, "")</f>
        <v/>
      </c>
    </row>
    <row r="218" spans="1:30" x14ac:dyDescent="0.25">
      <c r="A218" s="37" t="s">
        <v>21</v>
      </c>
      <c r="B218" s="49">
        <f>Q218</f>
        <v>0.25</v>
      </c>
      <c r="C218" s="36" t="str">
        <f>IF(L218="","",L218)</f>
        <v>cup</v>
      </c>
      <c r="D218" s="37" t="str">
        <f>_xlfn.CONCAT(K218, U218)</f>
        <v>olive oil</v>
      </c>
      <c r="I218" s="51">
        <v>0.33</v>
      </c>
      <c r="J218" s="52" t="s">
        <v>16</v>
      </c>
      <c r="K218" s="52" t="s">
        <v>73</v>
      </c>
      <c r="L218" s="53" t="s">
        <v>16</v>
      </c>
      <c r="M218" s="44">
        <f>INDEX(itemGPerQty, MATCH(K218, itemNames, 0))</f>
        <v>0</v>
      </c>
      <c r="N218" s="44">
        <f>INDEX(itemMlPerQty, MATCH(K218, itemNames, 0))</f>
        <v>0</v>
      </c>
      <c r="O218" s="44">
        <f>IF(J218 = "", I218 * M218, IF(ISNA(CONVERT(I218, J218, "kg")), CONVERT(I218, J218, "l") * IF(N218 &lt;&gt; 0, M218 / N218, 0), CONVERT(I218, J218, "kg")))</f>
        <v>0</v>
      </c>
      <c r="P218" s="44">
        <f>IF(J218 = "", I218 * N218, IF(ISNA(CONVERT(I218, J218, "l")), CONVERT(I218, J218, "kg") * IF(M218 &lt;&gt; 0, N218 / M218, 0), CONVERT(I218, J218, "l")))</f>
        <v>7.8074118045000002E-2</v>
      </c>
      <c r="Q218" s="44">
        <f>MROUND(IF(AND(J218 = "", L218 = ""), I218 * recipe05DayScale, IF(ISNA(CONVERT(O218, "kg", L218)), CONVERT(P218 * recipe05DayScale, "l", L218), CONVERT(O218 * recipe05DayScale, "kg", L218))), roundTo)</f>
        <v>0.25</v>
      </c>
      <c r="R218" s="44">
        <f>recipe05TotScale * IF(L218 = "", Q218 * M218, IF(ISNA(CONVERT(Q218, L218, "kg")), CONVERT(Q218, L218, "l") * IF(N218 &lt;&gt; 0, M218 / N218, 0), CONVERT(Q218, L218, "kg")))</f>
        <v>0</v>
      </c>
      <c r="S218" s="44">
        <f>recipe05TotScale * IF(R218 = 0, IF(L218 = "", Q218 * N218, IF(ISNA(CONVERT(Q218, L218, "l")), CONVERT(Q218, L218, "kg") * IF(M218 &lt;&gt; 0, N218 / M218, 0), CONVERT(Q218, L218, "l"))), 0)</f>
        <v>5.9147059124999998E-2</v>
      </c>
      <c r="T218" s="44">
        <f>recipe05TotScale * IF(AND(R218 = 0, S218 = 0, J218 = "", L218 = ""), Q218, 0)</f>
        <v>0</v>
      </c>
      <c r="V218" s="41" t="b">
        <f>INDEX(itemPrepMethods, MATCH(K218, itemNames, 0))="chop"</f>
        <v>0</v>
      </c>
      <c r="W218" s="54" t="str">
        <f>IF(V218, Q218, "")</f>
        <v/>
      </c>
      <c r="X218" s="55" t="str">
        <f>IF(V218, IF(L218 = "", "", L218), "")</f>
        <v/>
      </c>
      <c r="Y218" s="55" t="str">
        <f>IF(V218, K218, "")</f>
        <v/>
      </c>
      <c r="Z218" s="56"/>
      <c r="AA218" s="41" t="b">
        <f>INDEX(itemPrepMethods, MATCH(K218, itemNames, 0))="soak"</f>
        <v>0</v>
      </c>
      <c r="AB218" s="55" t="str">
        <f>IF(AA218, Q218, "")</f>
        <v/>
      </c>
      <c r="AC218" s="55" t="str">
        <f>IF(AA218, IF(L218 = "", "", L218), "")</f>
        <v/>
      </c>
      <c r="AD218" s="55" t="str">
        <f>IF(AA218, K218, "")</f>
        <v/>
      </c>
    </row>
    <row r="219" spans="1:30" ht="15.75" x14ac:dyDescent="0.25">
      <c r="A219" s="116"/>
      <c r="B219" s="116"/>
      <c r="C219" s="116"/>
      <c r="D219" s="116"/>
      <c r="E219" s="39"/>
      <c r="F219" s="39"/>
      <c r="G219" s="44"/>
      <c r="H219" s="44"/>
      <c r="I219" s="60"/>
      <c r="J219" s="39"/>
      <c r="K219" s="39"/>
      <c r="L219" s="61"/>
      <c r="M219" s="60"/>
      <c r="N219" s="60"/>
      <c r="O219" s="60"/>
      <c r="P219" s="60"/>
      <c r="Q219" s="39"/>
      <c r="R219" s="60"/>
      <c r="S219" s="60"/>
      <c r="T219" s="60"/>
      <c r="U219" s="39"/>
      <c r="W219" s="71"/>
      <c r="X219" s="71"/>
      <c r="Y219" s="71"/>
      <c r="Z219" s="71"/>
      <c r="AA219" s="64"/>
      <c r="AB219" s="71"/>
      <c r="AC219" s="71"/>
      <c r="AD219" s="71"/>
    </row>
    <row r="220" spans="1:30" x14ac:dyDescent="0.25">
      <c r="A220" s="115" t="s">
        <v>254</v>
      </c>
      <c r="B220" s="115"/>
      <c r="C220" s="115"/>
      <c r="D220" s="115"/>
      <c r="E220" s="39"/>
      <c r="F220" s="39"/>
      <c r="G220" s="44"/>
      <c r="H220" s="44"/>
      <c r="I220" s="60"/>
      <c r="J220" s="39"/>
      <c r="K220" s="39"/>
      <c r="L220" s="61"/>
      <c r="M220" s="60"/>
      <c r="N220" s="60"/>
      <c r="O220" s="60"/>
      <c r="P220" s="60"/>
      <c r="Q220" s="39"/>
      <c r="R220" s="60"/>
      <c r="S220" s="60"/>
      <c r="T220" s="60"/>
      <c r="U220" s="39"/>
      <c r="W220" s="71"/>
      <c r="X220" s="71"/>
      <c r="Y220" s="71"/>
      <c r="Z220" s="71"/>
      <c r="AA220" s="64"/>
      <c r="AB220" s="71"/>
      <c r="AC220" s="71"/>
      <c r="AD220" s="71"/>
    </row>
    <row r="221" spans="1:30" x14ac:dyDescent="0.25">
      <c r="A221" s="37" t="s">
        <v>21</v>
      </c>
      <c r="B221" s="49">
        <f>Q221</f>
        <v>4</v>
      </c>
      <c r="C221" s="36" t="str">
        <f>IF(L221="","",L221)</f>
        <v>tsp</v>
      </c>
      <c r="D221" s="37" t="str">
        <f>_xlfn.CONCAT(K221, U221)</f>
        <v>ground cumin</v>
      </c>
      <c r="I221" s="51">
        <v>6</v>
      </c>
      <c r="J221" s="52" t="s">
        <v>13</v>
      </c>
      <c r="K221" s="52" t="s">
        <v>14</v>
      </c>
      <c r="L221" s="53" t="s">
        <v>13</v>
      </c>
      <c r="M221" s="44">
        <f>INDEX(itemGPerQty, MATCH(K221, itemNames, 0))</f>
        <v>1.0999999999999999E-2</v>
      </c>
      <c r="N221" s="44">
        <f>INDEX(itemMlPerQty, MATCH(K221, itemNames, 0))</f>
        <v>2.2180100000000001E-2</v>
      </c>
      <c r="O221" s="44">
        <f>IF(J221 = "", I221 * M221, IF(ISNA(CONVERT(I221, J221, "kg")), CONVERT(I221, J221, "l") * IF(N221 &lt;&gt; 0, M221 / N221, 0), CONVERT(I221, J221, "kg")))</f>
        <v>1.4666697859229668E-2</v>
      </c>
      <c r="P221" s="44">
        <f>IF(J221 = "", I221 * N221, IF(ISNA(CONVERT(I221, J221, "l")), CONVERT(I221, J221, "kg") * IF(M221 &lt;&gt; 0, N221 / M221, 0), CONVERT(I221, J221, "l")))</f>
        <v>2.9573529562499999E-2</v>
      </c>
      <c r="Q221" s="44">
        <f>MROUND(IF(AND(J221 = "", L221 = ""), I221 * recipe05DayScale, IF(ISNA(CONVERT(O221, "kg", L221)), CONVERT(P221 * recipe05DayScale, "l", L221), CONVERT(O221 * recipe05DayScale, "kg", L221))), roundTo)</f>
        <v>4</v>
      </c>
      <c r="R221" s="44">
        <f>recipe05TotScale * IF(L221 = "", Q221 * M221, IF(ISNA(CONVERT(Q221, L221, "kg")), CONVERT(Q221, L221, "l") * IF(N221 &lt;&gt; 0, M221 / N221, 0), CONVERT(Q221, L221, "kg")))</f>
        <v>9.7777985728197785E-3</v>
      </c>
      <c r="S221" s="44">
        <f>recipe05TotScale * IF(R221 = 0, IF(L221 = "", Q221 * N221, IF(ISNA(CONVERT(Q221, L221, "l")), CONVERT(Q221, L221, "kg") * IF(M221 &lt;&gt; 0, N221 / M221, 0), CONVERT(Q221, L221, "l"))), 0)</f>
        <v>0</v>
      </c>
      <c r="T221" s="44">
        <f>recipe05TotScale * IF(AND(R221 = 0, S221 = 0, J221 = "", L221 = ""), Q221, 0)</f>
        <v>0</v>
      </c>
      <c r="V221" s="41" t="b">
        <f>INDEX(itemPrepMethods, MATCH(K221, itemNames, 0))="chop"</f>
        <v>0</v>
      </c>
      <c r="W221" s="54" t="str">
        <f>IF(V221, Q221, "")</f>
        <v/>
      </c>
      <c r="X221" s="55" t="str">
        <f>IF(V221, IF(L221 = "", "", L221), "")</f>
        <v/>
      </c>
      <c r="Y221" s="55" t="str">
        <f>IF(V221, K221, "")</f>
        <v/>
      </c>
      <c r="Z221" s="56"/>
      <c r="AA221" s="41" t="b">
        <f>INDEX(itemPrepMethods, MATCH(K221, itemNames, 0))="soak"</f>
        <v>0</v>
      </c>
      <c r="AB221" s="55" t="str">
        <f>IF(AA221, Q221, "")</f>
        <v/>
      </c>
      <c r="AC221" s="55" t="str">
        <f>IF(AA221, IF(L221 = "", "", L221), "")</f>
        <v/>
      </c>
      <c r="AD221" s="55" t="str">
        <f>IF(AA221, K221, "")</f>
        <v/>
      </c>
    </row>
    <row r="222" spans="1:30" x14ac:dyDescent="0.25">
      <c r="A222" s="37" t="s">
        <v>21</v>
      </c>
      <c r="B222" s="49">
        <f t="shared" si="200"/>
        <v>4</v>
      </c>
      <c r="C222" s="36" t="str">
        <f t="shared" si="201"/>
        <v>tbs</v>
      </c>
      <c r="D222" s="37" t="str">
        <f>_xlfn.CONCAT(K222, U222)</f>
        <v>nutritional yeast</v>
      </c>
      <c r="I222" s="51">
        <v>6</v>
      </c>
      <c r="J222" s="52" t="s">
        <v>15</v>
      </c>
      <c r="K222" s="52" t="s">
        <v>72</v>
      </c>
      <c r="L222" s="53" t="s">
        <v>15</v>
      </c>
      <c r="M222" s="44">
        <f t="shared" si="202"/>
        <v>0</v>
      </c>
      <c r="N222" s="44">
        <f t="shared" si="203"/>
        <v>0</v>
      </c>
      <c r="O222" s="44">
        <f t="shared" si="204"/>
        <v>0</v>
      </c>
      <c r="P222" s="44">
        <f t="shared" si="205"/>
        <v>8.872058868749999E-2</v>
      </c>
      <c r="Q222" s="44">
        <f>MROUND(IF(AND(J222 = "", L222 = ""), I222 * recipe05DayScale, IF(ISNA(CONVERT(O222, "kg", L222)), CONVERT(P222 * recipe05DayScale, "l", L222), CONVERT(O222 * recipe05DayScale, "kg", L222))), roundTo)</f>
        <v>4</v>
      </c>
      <c r="R222" s="44">
        <f>recipe05TotScale * IF(L222 = "", Q222 * M222, IF(ISNA(CONVERT(Q222, L222, "kg")), CONVERT(Q222, L222, "l") * IF(N222 &lt;&gt; 0, M222 / N222, 0), CONVERT(Q222, L222, "kg")))</f>
        <v>0</v>
      </c>
      <c r="S222" s="44">
        <f>recipe05TotScale * IF(R222 = 0, IF(L222 = "", Q222 * N222, IF(ISNA(CONVERT(Q222, L222, "l")), CONVERT(Q222, L222, "kg") * IF(M222 &lt;&gt; 0, N222 / M222, 0), CONVERT(Q222, L222, "l"))), 0)</f>
        <v>5.9147059124999998E-2</v>
      </c>
      <c r="T222" s="44">
        <f>recipe05TotScale * IF(AND(R222 = 0, S222 = 0, J222 = "", L222 = ""), Q222, 0)</f>
        <v>0</v>
      </c>
      <c r="V222" s="41" t="b">
        <f>INDEX(itemPrepMethods, MATCH(K222, itemNames, 0))="chop"</f>
        <v>0</v>
      </c>
      <c r="W222" s="54" t="str">
        <f>IF(V222, Q222, "")</f>
        <v/>
      </c>
      <c r="X222" s="55" t="str">
        <f>IF(V222, IF(L222 = "", "", L222), "")</f>
        <v/>
      </c>
      <c r="Y222" s="55" t="str">
        <f>IF(V222, K222, "")</f>
        <v/>
      </c>
      <c r="Z222" s="56"/>
      <c r="AA222" s="41" t="b">
        <f>INDEX(itemPrepMethods, MATCH(K222, itemNames, 0))="soak"</f>
        <v>0</v>
      </c>
      <c r="AB222" s="55" t="str">
        <f>IF(AA222, Q222, "")</f>
        <v/>
      </c>
      <c r="AC222" s="55" t="str">
        <f>IF(AA222, IF(L222 = "", "", L222), "")</f>
        <v/>
      </c>
      <c r="AD222" s="55" t="str">
        <f>IF(AA222, K222, "")</f>
        <v/>
      </c>
    </row>
    <row r="223" spans="1:30" x14ac:dyDescent="0.25">
      <c r="B223" s="49"/>
      <c r="I223" s="41"/>
      <c r="L223" s="41"/>
      <c r="W223" s="71"/>
      <c r="X223" s="71"/>
      <c r="Y223" s="71"/>
      <c r="Z223" s="71"/>
      <c r="AA223" s="64"/>
      <c r="AB223" s="71"/>
      <c r="AC223" s="71"/>
      <c r="AD223" s="71"/>
    </row>
    <row r="224" spans="1:30" x14ac:dyDescent="0.25">
      <c r="A224" s="115" t="s">
        <v>255</v>
      </c>
      <c r="B224" s="115"/>
      <c r="C224" s="115"/>
      <c r="D224" s="115"/>
      <c r="I224" s="41"/>
      <c r="L224" s="41"/>
      <c r="W224" s="71"/>
      <c r="X224" s="71"/>
      <c r="Y224" s="71"/>
      <c r="Z224" s="71"/>
      <c r="AA224" s="64"/>
      <c r="AB224" s="71"/>
      <c r="AC224" s="71"/>
      <c r="AD224" s="71"/>
    </row>
    <row r="225" spans="1:30" x14ac:dyDescent="0.25">
      <c r="B225" s="49"/>
      <c r="I225" s="41"/>
      <c r="L225" s="41"/>
      <c r="W225" s="71"/>
      <c r="X225" s="71"/>
      <c r="Y225" s="71"/>
      <c r="Z225" s="71"/>
      <c r="AA225" s="64"/>
      <c r="AB225" s="71"/>
      <c r="AC225" s="71"/>
      <c r="AD225" s="71"/>
    </row>
    <row r="226" spans="1:30" x14ac:dyDescent="0.25">
      <c r="A226" s="115" t="s">
        <v>257</v>
      </c>
      <c r="B226" s="115"/>
      <c r="C226" s="115"/>
      <c r="D226" s="115"/>
      <c r="I226" s="41"/>
      <c r="L226" s="41"/>
      <c r="W226" s="71"/>
      <c r="X226" s="71"/>
      <c r="Y226" s="71"/>
      <c r="Z226" s="71"/>
      <c r="AA226" s="64"/>
      <c r="AB226" s="71"/>
      <c r="AC226" s="71"/>
      <c r="AD226" s="71"/>
    </row>
    <row r="227" spans="1:30" x14ac:dyDescent="0.25">
      <c r="A227" s="37" t="s">
        <v>21</v>
      </c>
      <c r="B227" s="49"/>
      <c r="C227" s="36" t="str">
        <f t="shared" ref="C227" si="206">IF(L227="","",L227)</f>
        <v/>
      </c>
      <c r="D227" s="37" t="str">
        <f>_xlfn.CONCAT(K227, U227)</f>
        <v>salt, to taste</v>
      </c>
      <c r="I227" s="44"/>
      <c r="K227" s="52" t="s">
        <v>11</v>
      </c>
      <c r="L227" s="41"/>
      <c r="M227" s="41"/>
      <c r="N227" s="41"/>
      <c r="O227" s="41"/>
      <c r="P227" s="41"/>
      <c r="U227" s="41" t="s">
        <v>206</v>
      </c>
      <c r="V227" s="41" t="b">
        <f>INDEX(itemPrepMethods, MATCH(K227, itemNames, 0))="chop"</f>
        <v>0</v>
      </c>
      <c r="W227" s="54" t="str">
        <f>IF(V227, Q227, "")</f>
        <v/>
      </c>
      <c r="X227" s="55" t="str">
        <f>IF(V227, IF(L227 = "", "", L227), "")</f>
        <v/>
      </c>
      <c r="Y227" s="55" t="str">
        <f>IF(V227, K227, "")</f>
        <v/>
      </c>
      <c r="Z227" s="56"/>
      <c r="AA227" s="41" t="b">
        <f>INDEX(itemPrepMethods, MATCH(K227, itemNames, 0))="soak"</f>
        <v>0</v>
      </c>
      <c r="AB227" s="55" t="str">
        <f>IF(AA227, Q227, "")</f>
        <v/>
      </c>
      <c r="AC227" s="55" t="str">
        <f>IF(AA227, IF(L227 = "", "", L227), "")</f>
        <v/>
      </c>
      <c r="AD227" s="55" t="str">
        <f>IF(AA227, K227, "")</f>
        <v/>
      </c>
    </row>
    <row r="228" spans="1:30" x14ac:dyDescent="0.25">
      <c r="A228" s="37" t="s">
        <v>21</v>
      </c>
      <c r="B228" s="49"/>
      <c r="C228" s="36" t="str">
        <f t="shared" si="201"/>
        <v/>
      </c>
      <c r="D228" s="37" t="str">
        <f>_xlfn.CONCAT(K228, U228)</f>
        <v>ground black pepper, to taste</v>
      </c>
      <c r="I228" s="44"/>
      <c r="K228" s="52" t="s">
        <v>76</v>
      </c>
      <c r="L228" s="41"/>
      <c r="M228" s="41"/>
      <c r="N228" s="41"/>
      <c r="O228" s="41"/>
      <c r="P228" s="41"/>
      <c r="U228" s="41" t="s">
        <v>206</v>
      </c>
      <c r="V228" s="41" t="b">
        <f>INDEX(itemPrepMethods, MATCH(K228, itemNames, 0))="chop"</f>
        <v>0</v>
      </c>
      <c r="W228" s="54" t="str">
        <f>IF(V228, Q228, "")</f>
        <v/>
      </c>
      <c r="X228" s="55" t="str">
        <f>IF(V228, IF(L228 = "", "", L228), "")</f>
        <v/>
      </c>
      <c r="Y228" s="55" t="str">
        <f>IF(V228, K228, "")</f>
        <v/>
      </c>
      <c r="Z228" s="56"/>
      <c r="AA228" s="41" t="b">
        <f>INDEX(itemPrepMethods, MATCH(K228, itemNames, 0))="soak"</f>
        <v>0</v>
      </c>
      <c r="AB228" s="55" t="str">
        <f>IF(AA228, Q228, "")</f>
        <v/>
      </c>
      <c r="AC228" s="55" t="str">
        <f>IF(AA228, IF(L228 = "", "", L228), "")</f>
        <v/>
      </c>
      <c r="AD228" s="55" t="str">
        <f>IF(AA228, K228, "")</f>
        <v/>
      </c>
    </row>
    <row r="229" spans="1:30" x14ac:dyDescent="0.25">
      <c r="B229" s="49"/>
      <c r="I229" s="41"/>
      <c r="L229" s="41"/>
      <c r="W229" s="71"/>
      <c r="X229" s="71"/>
      <c r="Y229" s="71"/>
      <c r="Z229" s="71"/>
      <c r="AA229" s="64"/>
      <c r="AB229" s="71"/>
      <c r="AC229" s="71"/>
      <c r="AD229" s="71"/>
    </row>
    <row r="230" spans="1:30" x14ac:dyDescent="0.25">
      <c r="A230" s="115" t="s">
        <v>258</v>
      </c>
      <c r="B230" s="115"/>
      <c r="C230" s="115"/>
      <c r="D230" s="115"/>
      <c r="I230" s="41"/>
      <c r="L230" s="41"/>
      <c r="W230" s="71"/>
      <c r="X230" s="71"/>
      <c r="Y230" s="71"/>
      <c r="Z230" s="71"/>
      <c r="AA230" s="64"/>
      <c r="AB230" s="71"/>
      <c r="AC230" s="71"/>
      <c r="AD230" s="71"/>
    </row>
    <row r="231" spans="1:30" x14ac:dyDescent="0.25">
      <c r="A231" s="37" t="s">
        <v>21</v>
      </c>
      <c r="B231" s="49"/>
      <c r="C231" s="36" t="str">
        <f t="shared" si="201"/>
        <v/>
      </c>
      <c r="D231" s="37" t="str">
        <f>_xlfn.CONCAT(K231, U231)</f>
        <v>chopped fresh chives, if available</v>
      </c>
      <c r="I231" s="44"/>
      <c r="K231" s="52" t="s">
        <v>79</v>
      </c>
      <c r="L231" s="41"/>
      <c r="M231" s="41"/>
      <c r="N231" s="41"/>
      <c r="O231" s="41"/>
      <c r="P231" s="41"/>
      <c r="U231" s="41" t="s">
        <v>228</v>
      </c>
      <c r="V231" s="41" t="b">
        <f>INDEX(itemPrepMethods, MATCH(K231, itemNames, 0))="chop"</f>
        <v>1</v>
      </c>
      <c r="W231" s="54">
        <f>IF(V231, Q231, "")</f>
        <v>0</v>
      </c>
      <c r="X231" s="55" t="str">
        <f>IF(V231, IF(L231 = "", "", L231), "")</f>
        <v/>
      </c>
      <c r="Y231" s="55" t="str">
        <f>IF(V231, K231, "")</f>
        <v>chopped fresh chives</v>
      </c>
      <c r="Z231" s="56"/>
      <c r="AA231" s="41" t="b">
        <f>INDEX(itemPrepMethods, MATCH(K231, itemNames, 0))="soak"</f>
        <v>0</v>
      </c>
      <c r="AB231" s="55" t="str">
        <f>IF(AA231, Q231, "")</f>
        <v/>
      </c>
      <c r="AC231" s="55" t="str">
        <f>IF(AA231, IF(L231 = "", "", L231), "")</f>
        <v/>
      </c>
      <c r="AD231" s="55" t="str">
        <f>IF(AA231, K231, "")</f>
        <v/>
      </c>
    </row>
    <row r="232" spans="1:30" ht="15.75" x14ac:dyDescent="0.25">
      <c r="A232" s="117" t="s">
        <v>31</v>
      </c>
      <c r="B232" s="117"/>
      <c r="C232" s="117"/>
      <c r="D232" s="117"/>
      <c r="E232" s="40" t="s">
        <v>130</v>
      </c>
      <c r="F232" s="100" t="s">
        <v>92</v>
      </c>
      <c r="G232" s="100"/>
      <c r="H232" s="44"/>
    </row>
    <row r="233" spans="1:30" ht="24" x14ac:dyDescent="0.2">
      <c r="A233" s="117" t="s">
        <v>39</v>
      </c>
      <c r="B233" s="117"/>
      <c r="C233" s="117"/>
      <c r="D233" s="117"/>
      <c r="E233" s="39" t="s">
        <v>53</v>
      </c>
      <c r="F233" s="87">
        <v>14</v>
      </c>
      <c r="G233" s="44"/>
      <c r="H233" s="44"/>
      <c r="I233" s="67" t="s">
        <v>434</v>
      </c>
      <c r="J233" s="68" t="s">
        <v>435</v>
      </c>
      <c r="K233" s="68" t="s">
        <v>17</v>
      </c>
      <c r="L233" s="69" t="s">
        <v>438</v>
      </c>
      <c r="M233" s="67" t="s">
        <v>141</v>
      </c>
      <c r="N233" s="67" t="s">
        <v>142</v>
      </c>
      <c r="O233" s="67" t="s">
        <v>436</v>
      </c>
      <c r="P233" s="67" t="s">
        <v>437</v>
      </c>
      <c r="Q233" s="68" t="s">
        <v>353</v>
      </c>
      <c r="R233" s="67" t="s">
        <v>354</v>
      </c>
      <c r="S233" s="67" t="s">
        <v>355</v>
      </c>
      <c r="T233" s="67" t="s">
        <v>356</v>
      </c>
      <c r="U233" s="68" t="s">
        <v>22</v>
      </c>
      <c r="V233" s="68" t="s">
        <v>202</v>
      </c>
      <c r="W233" s="70" t="s">
        <v>353</v>
      </c>
      <c r="X233" s="68" t="s">
        <v>200</v>
      </c>
      <c r="Y233" s="68" t="s">
        <v>201</v>
      </c>
      <c r="Z233" s="68" t="s">
        <v>302</v>
      </c>
      <c r="AA233" s="68" t="s">
        <v>203</v>
      </c>
      <c r="AB233" s="70" t="s">
        <v>353</v>
      </c>
      <c r="AC233" s="68" t="s">
        <v>204</v>
      </c>
      <c r="AD233" s="68" t="s">
        <v>205</v>
      </c>
    </row>
    <row r="234" spans="1:30" ht="13.5" thickBot="1" x14ac:dyDescent="0.3">
      <c r="A234" s="118" t="str">
        <f>_xlfn.CONCAT(F234," servings")</f>
        <v>10 servings</v>
      </c>
      <c r="B234" s="118"/>
      <c r="C234" s="118"/>
      <c r="D234" s="118"/>
      <c r="E234" s="63" t="s">
        <v>348</v>
      </c>
      <c r="F234" s="87">
        <f>tuLuCount</f>
        <v>10</v>
      </c>
      <c r="G234" s="44"/>
      <c r="H234" s="44"/>
      <c r="I234" s="60"/>
      <c r="J234" s="39"/>
      <c r="K234" s="39"/>
      <c r="L234" s="61"/>
      <c r="M234" s="60"/>
      <c r="N234" s="60"/>
      <c r="O234" s="60"/>
      <c r="P234" s="60"/>
      <c r="Q234" s="39"/>
      <c r="R234" s="60"/>
      <c r="S234" s="60"/>
      <c r="T234" s="60"/>
      <c r="U234" s="39"/>
    </row>
    <row r="235" spans="1:30" s="102" customFormat="1" ht="15.75" thickBot="1" x14ac:dyDescent="0.3">
      <c r="A235" s="115"/>
      <c r="B235" s="115"/>
      <c r="C235" s="115"/>
      <c r="D235" s="115"/>
      <c r="E235" s="63" t="s">
        <v>351</v>
      </c>
      <c r="F235" s="47">
        <f>F234/F233</f>
        <v>0.7142857142857143</v>
      </c>
      <c r="G235" s="48" t="s">
        <v>371</v>
      </c>
      <c r="H235" s="44"/>
      <c r="I235" s="60"/>
      <c r="J235" s="100"/>
      <c r="K235" s="100"/>
      <c r="L235" s="61"/>
      <c r="M235" s="60"/>
      <c r="N235" s="60"/>
      <c r="O235" s="60"/>
      <c r="P235" s="60"/>
      <c r="Q235" s="100"/>
      <c r="R235" s="60"/>
      <c r="S235" s="60"/>
      <c r="T235" s="60"/>
      <c r="U235" s="100"/>
      <c r="W235" s="45"/>
      <c r="Z235" s="46"/>
    </row>
    <row r="236" spans="1:30" x14ac:dyDescent="0.25">
      <c r="A236" s="115" t="s">
        <v>116</v>
      </c>
      <c r="B236" s="115"/>
      <c r="C236" s="115"/>
      <c r="D236" s="115"/>
      <c r="E236" s="64"/>
      <c r="F236" s="64"/>
      <c r="G236" s="64"/>
      <c r="H236" s="50"/>
      <c r="I236" s="44"/>
    </row>
    <row r="237" spans="1:30" ht="15.75" thickBot="1" x14ac:dyDescent="0.3">
      <c r="A237" s="37" t="s">
        <v>21</v>
      </c>
      <c r="B237" s="49">
        <f t="shared" ref="B237:B238" si="207">Q237</f>
        <v>2.25</v>
      </c>
      <c r="C237" s="36" t="str">
        <f>IF(L237="","",L237)</f>
        <v>cup</v>
      </c>
      <c r="D237" s="37" t="str">
        <f>_xlfn.CONCAT(K237, U237)</f>
        <v>peanut butter</v>
      </c>
      <c r="E237" s="63" t="s">
        <v>327</v>
      </c>
      <c r="F237" s="87">
        <f>tuLuCount</f>
        <v>10</v>
      </c>
      <c r="G237" s="64"/>
      <c r="I237" s="51">
        <v>3</v>
      </c>
      <c r="J237" s="52" t="s">
        <v>16</v>
      </c>
      <c r="K237" s="52" t="s">
        <v>104</v>
      </c>
      <c r="L237" s="53" t="s">
        <v>16</v>
      </c>
      <c r="M237" s="44">
        <f>INDEX(itemGPerQty, MATCH(K237, itemNames, 0))</f>
        <v>0</v>
      </c>
      <c r="N237" s="44">
        <f>INDEX(itemMlPerQty, MATCH(K237, itemNames, 0))</f>
        <v>0</v>
      </c>
      <c r="O237" s="44">
        <f t="shared" ref="O237:O238" si="208">IF(J237 = "", I237 * M237, IF(ISNA(CONVERT(I237, J237, "kg")), CONVERT(I237, J237, "l") * IF(N237 &lt;&gt; 0, M237 / N237, 0), CONVERT(I237, J237, "kg")))</f>
        <v>0</v>
      </c>
      <c r="P237" s="44">
        <f t="shared" ref="P237:P238" si="209">IF(J237 = "", I237 * N237, IF(ISNA(CONVERT(I237, J237, "l")), CONVERT(I237, J237, "kg") * IF(M237 &lt;&gt; 0, N237 / M237, 0), CONVERT(I237, J237, "l")))</f>
        <v>0.70976470949999992</v>
      </c>
      <c r="Q237" s="44">
        <f>MROUND(IF(AND(J237 = "", L237 = ""), I237 * recipe06DayScale, IF(ISNA(CONVERT(O237, "kg", L237)), CONVERT(P237 * recipe06DayScale, "l", L237), CONVERT(O237 * recipe06DayScale, "kg", L237))), roundTo)</f>
        <v>2.25</v>
      </c>
      <c r="R237" s="44">
        <f>recipe06TotScale * IF(L237 = "", Q237 * M237, IF(ISNA(CONVERT(Q237, L237, "kg")), CONVERT(Q237, L237, "l") * IF(N237 &lt;&gt; 0, M237 / N237, 0), CONVERT(Q237, L237, "kg")))</f>
        <v>0</v>
      </c>
      <c r="S237" s="44">
        <f>recipe06TotScale * IF(R237 = 0, IF(L237 = "", Q237 * N237, IF(ISNA(CONVERT(Q237, L237, "l")), CONVERT(Q237, L237, "kg") * IF(M237 &lt;&gt; 0, N237 / M237, 0), CONVERT(Q237, L237, "l"))), 0)</f>
        <v>0.53232353212499994</v>
      </c>
      <c r="T237" s="44">
        <f>recipe06TotScale * IF(AND(R237 = 0, S237 = 0, J237 = "", L237 = ""), Q237, 0)</f>
        <v>0</v>
      </c>
      <c r="V237" s="41" t="b">
        <f>INDEX(itemPrepMethods, MATCH(K237, itemNames, 0))="chop"</f>
        <v>0</v>
      </c>
      <c r="W237" s="54" t="str">
        <f>IF(V237, Q237, "")</f>
        <v/>
      </c>
      <c r="X237" s="55" t="str">
        <f>IF(V237, IF(L237 = "", "", L237), "")</f>
        <v/>
      </c>
      <c r="Y237" s="55" t="str">
        <f>IF(V237, K237, "")</f>
        <v/>
      </c>
      <c r="Z237" s="56"/>
      <c r="AA237" s="41" t="b">
        <f>INDEX(itemPrepMethods, MATCH(K237, itemNames, 0))="soak"</f>
        <v>0</v>
      </c>
      <c r="AB237" s="55" t="str">
        <f>IF(AA237, Q237, "")</f>
        <v/>
      </c>
      <c r="AC237" s="55" t="str">
        <f>IF(AA237, IF(L237 = "", "", L237), "")</f>
        <v/>
      </c>
      <c r="AD237" s="55" t="str">
        <f>IF(AA237, K237, "")</f>
        <v/>
      </c>
    </row>
    <row r="238" spans="1:30" ht="15.75" thickBot="1" x14ac:dyDescent="0.3">
      <c r="A238" s="37" t="s">
        <v>21</v>
      </c>
      <c r="B238" s="49">
        <f t="shared" si="207"/>
        <v>2.75</v>
      </c>
      <c r="C238" s="36" t="str">
        <f>IF(L238="","",L238)</f>
        <v>cup</v>
      </c>
      <c r="D238" s="37" t="str">
        <f>_xlfn.CONCAT(K238, U238)</f>
        <v>hot water</v>
      </c>
      <c r="E238" s="63" t="s">
        <v>352</v>
      </c>
      <c r="F238" s="47">
        <f>F237/F234</f>
        <v>1</v>
      </c>
      <c r="G238" s="48" t="s">
        <v>372</v>
      </c>
      <c r="I238" s="51">
        <v>4</v>
      </c>
      <c r="J238" s="52" t="s">
        <v>16</v>
      </c>
      <c r="K238" s="52" t="s">
        <v>111</v>
      </c>
      <c r="L238" s="53" t="s">
        <v>16</v>
      </c>
      <c r="M238" s="44">
        <f>INDEX(itemGPerQty, MATCH(K238, itemNames, 0))</f>
        <v>1</v>
      </c>
      <c r="N238" s="44">
        <f>INDEX(itemMlPerQty, MATCH(K238, itemNames, 0))</f>
        <v>1</v>
      </c>
      <c r="O238" s="44">
        <f t="shared" si="208"/>
        <v>0.94635294599999997</v>
      </c>
      <c r="P238" s="44">
        <f t="shared" si="209"/>
        <v>0.94635294599999997</v>
      </c>
      <c r="Q238" s="44">
        <f>MROUND(IF(AND(J238 = "", L238 = ""), I238 * recipe06DayScale, IF(ISNA(CONVERT(O238, "kg", L238)), CONVERT(P238 * recipe06DayScale, "l", L238), CONVERT(O238 * recipe06DayScale, "kg", L238))), roundTo)</f>
        <v>2.75</v>
      </c>
      <c r="R238" s="44">
        <f>recipe06TotScale * IF(L238 = "", Q238 * M238, IF(ISNA(CONVERT(Q238, L238, "kg")), CONVERT(Q238, L238, "l") * IF(N238 &lt;&gt; 0, M238 / N238, 0), CONVERT(Q238, L238, "kg")))</f>
        <v>0.65061765037499997</v>
      </c>
      <c r="S238" s="44">
        <f>recipe06TotScale * IF(R238 = 0, IF(L238 = "", Q238 * N238, IF(ISNA(CONVERT(Q238, L238, "l")), CONVERT(Q238, L238, "kg") * IF(M238 &lt;&gt; 0, N238 / M238, 0), CONVERT(Q238, L238, "l"))), 0)</f>
        <v>0</v>
      </c>
      <c r="T238" s="44">
        <f>recipe06TotScale * IF(AND(R238 = 0, S238 = 0, J238 = "", L238 = ""), Q238, 0)</f>
        <v>0</v>
      </c>
      <c r="V238" s="41" t="b">
        <f>INDEX(itemPrepMethods, MATCH(K238, itemNames, 0))="chop"</f>
        <v>0</v>
      </c>
      <c r="W238" s="54" t="str">
        <f>IF(V238, Q238, "")</f>
        <v/>
      </c>
      <c r="X238" s="55" t="str">
        <f>IF(V238, IF(L238 = "", "", L238), "")</f>
        <v/>
      </c>
      <c r="Y238" s="55" t="str">
        <f>IF(V238, K238, "")</f>
        <v/>
      </c>
      <c r="Z238" s="56"/>
      <c r="AA238" s="41" t="b">
        <f>INDEX(itemPrepMethods, MATCH(K238, itemNames, 0))="soak"</f>
        <v>0</v>
      </c>
      <c r="AB238" s="55" t="str">
        <f>IF(AA238, Q238, "")</f>
        <v/>
      </c>
      <c r="AC238" s="55" t="str">
        <f>IF(AA238, IF(L238 = "", "", L238), "")</f>
        <v/>
      </c>
      <c r="AD238" s="55" t="str">
        <f>IF(AA238, K238, "")</f>
        <v/>
      </c>
    </row>
    <row r="239" spans="1:30" x14ac:dyDescent="0.25">
      <c r="A239" s="115"/>
      <c r="B239" s="115"/>
      <c r="C239" s="115"/>
      <c r="D239" s="115"/>
      <c r="I239" s="44"/>
      <c r="W239" s="71"/>
      <c r="X239" s="71"/>
      <c r="Y239" s="71"/>
      <c r="Z239" s="71"/>
      <c r="AA239" s="64"/>
      <c r="AB239" s="71"/>
      <c r="AC239" s="71"/>
      <c r="AD239" s="71"/>
    </row>
    <row r="240" spans="1:30" x14ac:dyDescent="0.25">
      <c r="A240" s="115" t="s">
        <v>117</v>
      </c>
      <c r="B240" s="115"/>
      <c r="C240" s="115"/>
      <c r="D240" s="115"/>
      <c r="I240" s="44"/>
      <c r="W240" s="71"/>
      <c r="X240" s="71"/>
      <c r="Y240" s="71"/>
      <c r="Z240" s="71"/>
      <c r="AA240" s="64"/>
      <c r="AB240" s="71"/>
      <c r="AC240" s="71"/>
      <c r="AD240" s="71"/>
    </row>
    <row r="241" spans="1:30" x14ac:dyDescent="0.25">
      <c r="A241" s="37" t="s">
        <v>21</v>
      </c>
      <c r="B241" s="49">
        <f t="shared" ref="B241:B242" si="210">Q241</f>
        <v>0.25</v>
      </c>
      <c r="C241" s="36" t="str">
        <f>IF(L241="","",L241)</f>
        <v>cup</v>
      </c>
      <c r="D241" s="37" t="str">
        <f>_xlfn.CONCAT(K241, U241)</f>
        <v>cider vinegar</v>
      </c>
      <c r="I241" s="51">
        <v>0.5</v>
      </c>
      <c r="J241" s="52" t="s">
        <v>16</v>
      </c>
      <c r="K241" s="52" t="s">
        <v>112</v>
      </c>
      <c r="L241" s="53" t="s">
        <v>16</v>
      </c>
      <c r="M241" s="44">
        <f>INDEX(itemGPerQty, MATCH(K241, itemNames, 0))</f>
        <v>0</v>
      </c>
      <c r="N241" s="44">
        <f>INDEX(itemMlPerQty, MATCH(K241, itemNames, 0))</f>
        <v>0</v>
      </c>
      <c r="O241" s="44">
        <f t="shared" ref="O241:O242" si="211">IF(J241 = "", I241 * M241, IF(ISNA(CONVERT(I241, J241, "kg")), CONVERT(I241, J241, "l") * IF(N241 &lt;&gt; 0, M241 / N241, 0), CONVERT(I241, J241, "kg")))</f>
        <v>0</v>
      </c>
      <c r="P241" s="44">
        <f t="shared" ref="P241:P242" si="212">IF(J241 = "", I241 * N241, IF(ISNA(CONVERT(I241, J241, "l")), CONVERT(I241, J241, "kg") * IF(M241 &lt;&gt; 0, N241 / M241, 0), CONVERT(I241, J241, "l")))</f>
        <v>0.11829411825</v>
      </c>
      <c r="Q241" s="44">
        <f>MROUND(IF(AND(J241 = "", L241 = ""), I241 * recipe06DayScale, IF(ISNA(CONVERT(O241, "kg", L241)), CONVERT(P241 * recipe06DayScale, "l", L241), CONVERT(O241 * recipe06DayScale, "kg", L241))), roundTo)</f>
        <v>0.25</v>
      </c>
      <c r="R241" s="44">
        <f>recipe06TotScale * IF(L241 = "", Q241 * M241, IF(ISNA(CONVERT(Q241, L241, "kg")), CONVERT(Q241, L241, "l") * IF(N241 &lt;&gt; 0, M241 / N241, 0), CONVERT(Q241, L241, "kg")))</f>
        <v>0</v>
      </c>
      <c r="S241" s="44">
        <f>recipe06TotScale * IF(R241 = 0, IF(L241 = "", Q241 * N241, IF(ISNA(CONVERT(Q241, L241, "l")), CONVERT(Q241, L241, "kg") * IF(M241 &lt;&gt; 0, N241 / M241, 0), CONVERT(Q241, L241, "l"))), 0)</f>
        <v>5.9147059124999998E-2</v>
      </c>
      <c r="T241" s="44">
        <f>recipe06TotScale * IF(AND(R241 = 0, S241 = 0, J241 = "", L241 = ""), Q241, 0)</f>
        <v>0</v>
      </c>
      <c r="V241" s="41" t="b">
        <f>INDEX(itemPrepMethods, MATCH(K241, itemNames, 0))="chop"</f>
        <v>0</v>
      </c>
      <c r="W241" s="54" t="str">
        <f>IF(V241, Q241, "")</f>
        <v/>
      </c>
      <c r="X241" s="55" t="str">
        <f>IF(V241, IF(L241 = "", "", L241), "")</f>
        <v/>
      </c>
      <c r="Y241" s="55" t="str">
        <f>IF(V241, K241, "")</f>
        <v/>
      </c>
      <c r="Z241" s="56"/>
      <c r="AA241" s="41" t="b">
        <f>INDEX(itemPrepMethods, MATCH(K241, itemNames, 0))="soak"</f>
        <v>0</v>
      </c>
      <c r="AB241" s="55" t="str">
        <f>IF(AA241, Q241, "")</f>
        <v/>
      </c>
      <c r="AC241" s="55" t="str">
        <f>IF(AA241, IF(L241 = "", "", L241), "")</f>
        <v/>
      </c>
      <c r="AD241" s="55" t="str">
        <f>IF(AA241, K241, "")</f>
        <v/>
      </c>
    </row>
    <row r="242" spans="1:30" x14ac:dyDescent="0.25">
      <c r="A242" s="37" t="s">
        <v>21</v>
      </c>
      <c r="B242" s="49">
        <f t="shared" si="210"/>
        <v>0.25</v>
      </c>
      <c r="C242" s="36" t="str">
        <f>IF(L242="","",L242)</f>
        <v>cup</v>
      </c>
      <c r="D242" s="37" t="str">
        <f>_xlfn.CONCAT(K242, U242)</f>
        <v>soy sauce</v>
      </c>
      <c r="I242" s="51">
        <v>0.5</v>
      </c>
      <c r="J242" s="52" t="s">
        <v>16</v>
      </c>
      <c r="K242" s="52" t="s">
        <v>113</v>
      </c>
      <c r="L242" s="53" t="s">
        <v>16</v>
      </c>
      <c r="M242" s="44">
        <f>INDEX(itemGPerQty, MATCH(K242, itemNames, 0))</f>
        <v>0</v>
      </c>
      <c r="N242" s="44">
        <f>INDEX(itemMlPerQty, MATCH(K242, itemNames, 0))</f>
        <v>0</v>
      </c>
      <c r="O242" s="44">
        <f t="shared" si="211"/>
        <v>0</v>
      </c>
      <c r="P242" s="44">
        <f t="shared" si="212"/>
        <v>0.11829411825</v>
      </c>
      <c r="Q242" s="44">
        <f>MROUND(IF(AND(J242 = "", L242 = ""), I242 * recipe06DayScale, IF(ISNA(CONVERT(O242, "kg", L242)), CONVERT(P242 * recipe06DayScale, "l", L242), CONVERT(O242 * recipe06DayScale, "kg", L242))), roundTo)</f>
        <v>0.25</v>
      </c>
      <c r="R242" s="44">
        <f>recipe06TotScale * IF(L242 = "", Q242 * M242, IF(ISNA(CONVERT(Q242, L242, "kg")), CONVERT(Q242, L242, "l") * IF(N242 &lt;&gt; 0, M242 / N242, 0), CONVERT(Q242, L242, "kg")))</f>
        <v>0</v>
      </c>
      <c r="S242" s="44">
        <f>recipe06TotScale * IF(R242 = 0, IF(L242 = "", Q242 * N242, IF(ISNA(CONVERT(Q242, L242, "l")), CONVERT(Q242, L242, "kg") * IF(M242 &lt;&gt; 0, N242 / M242, 0), CONVERT(Q242, L242, "l"))), 0)</f>
        <v>5.9147059124999998E-2</v>
      </c>
      <c r="T242" s="44">
        <f>recipe06TotScale * IF(AND(R242 = 0, S242 = 0, J242 = "", L242 = ""), Q242, 0)</f>
        <v>0</v>
      </c>
      <c r="V242" s="41" t="b">
        <f>INDEX(itemPrepMethods, MATCH(K242, itemNames, 0))="chop"</f>
        <v>0</v>
      </c>
      <c r="W242" s="54" t="str">
        <f>IF(V242, Q242, "")</f>
        <v/>
      </c>
      <c r="X242" s="55" t="str">
        <f>IF(V242, IF(L242 = "", "", L242), "")</f>
        <v/>
      </c>
      <c r="Y242" s="55" t="str">
        <f>IF(V242, K242, "")</f>
        <v/>
      </c>
      <c r="Z242" s="56"/>
      <c r="AA242" s="41" t="b">
        <f>INDEX(itemPrepMethods, MATCH(K242, itemNames, 0))="soak"</f>
        <v>0</v>
      </c>
      <c r="AB242" s="55" t="str">
        <f>IF(AA242, Q242, "")</f>
        <v/>
      </c>
      <c r="AC242" s="55" t="str">
        <f>IF(AA242, IF(L242 = "", "", L242), "")</f>
        <v/>
      </c>
      <c r="AD242" s="55" t="str">
        <f>IF(AA242, K242, "")</f>
        <v/>
      </c>
    </row>
    <row r="243" spans="1:30" x14ac:dyDescent="0.25">
      <c r="A243" s="115"/>
      <c r="B243" s="115"/>
      <c r="C243" s="115"/>
      <c r="D243" s="115"/>
      <c r="I243" s="44"/>
      <c r="W243" s="71"/>
      <c r="X243" s="71"/>
      <c r="Y243" s="71"/>
      <c r="Z243" s="71"/>
      <c r="AA243" s="64"/>
      <c r="AB243" s="71"/>
      <c r="AC243" s="71"/>
      <c r="AD243" s="71"/>
    </row>
    <row r="244" spans="1:30" x14ac:dyDescent="0.25">
      <c r="A244" s="115" t="s">
        <v>118</v>
      </c>
      <c r="B244" s="115"/>
      <c r="C244" s="115"/>
      <c r="D244" s="115"/>
      <c r="I244" s="44"/>
      <c r="W244" s="71"/>
      <c r="X244" s="71"/>
      <c r="Y244" s="71"/>
      <c r="Z244" s="71"/>
      <c r="AA244" s="64"/>
      <c r="AB244" s="71"/>
      <c r="AC244" s="71"/>
      <c r="AD244" s="71"/>
    </row>
    <row r="245" spans="1:30" ht="36" x14ac:dyDescent="0.25">
      <c r="A245" s="37" t="s">
        <v>21</v>
      </c>
      <c r="B245" s="49">
        <f>Q245</f>
        <v>2.25</v>
      </c>
      <c r="C245" s="36" t="str">
        <f>IF(L245="","",L245)</f>
        <v/>
      </c>
      <c r="D245" s="37" t="str">
        <f>_xlfn.CONCAT(K245, U245)</f>
        <v>blocks tofu, cut into cubes</v>
      </c>
      <c r="I245" s="51">
        <v>3</v>
      </c>
      <c r="J245" s="52"/>
      <c r="K245" s="52" t="s">
        <v>260</v>
      </c>
      <c r="L245" s="53"/>
      <c r="M245" s="44">
        <f>INDEX(itemGPerQty, MATCH(K245, itemNames, 0))</f>
        <v>0</v>
      </c>
      <c r="N245" s="44">
        <f>INDEX(itemMlPerQty, MATCH(K245, itemNames, 0))</f>
        <v>0</v>
      </c>
      <c r="O245" s="44">
        <f>IF(J245 = "", I245 * M245, IF(ISNA(CONVERT(I245, J245, "kg")), CONVERT(I245, J245, "l") * IF(N245 &lt;&gt; 0, M245 / N245, 0), CONVERT(I245, J245, "kg")))</f>
        <v>0</v>
      </c>
      <c r="P245" s="44">
        <f>IF(J245 = "", I245 * N245, IF(ISNA(CONVERT(I245, J245, "l")), CONVERT(I245, J245, "kg") * IF(M245 &lt;&gt; 0, N245 / M245, 0), CONVERT(I245, J245, "l")))</f>
        <v>0</v>
      </c>
      <c r="Q245" s="44">
        <f>MROUND(IF(AND(J245 = "", L245 = ""), I245 * recipe06DayScale, IF(ISNA(CONVERT(O245, "kg", L245)), CONVERT(P245 * recipe06DayScale, "l", L245), CONVERT(O245 * recipe06DayScale, "kg", L245))), roundTo)</f>
        <v>2.25</v>
      </c>
      <c r="R245" s="44">
        <f>recipe06TotScale * IF(L245 = "", Q245 * M245, IF(ISNA(CONVERT(Q245, L245, "kg")), CONVERT(Q245, L245, "l") * IF(N245 &lt;&gt; 0, M245 / N245, 0), CONVERT(Q245, L245, "kg")))</f>
        <v>0</v>
      </c>
      <c r="S245" s="44">
        <f>recipe06TotScale * IF(R245 = 0, IF(L245 = "", Q245 * N245, IF(ISNA(CONVERT(Q245, L245, "l")), CONVERT(Q245, L245, "kg") * IF(M245 &lt;&gt; 0, N245 / M245, 0), CONVERT(Q245, L245, "l"))), 0)</f>
        <v>0</v>
      </c>
      <c r="T245" s="44">
        <f>recipe06TotScale * IF(AND(R245 = 0, S245 = 0, J245 = "", L245 = ""), Q245, 0)</f>
        <v>2.25</v>
      </c>
      <c r="V245" s="41" t="b">
        <f>INDEX(itemPrepMethods, MATCH(K245, itemNames, 0))="chop"</f>
        <v>1</v>
      </c>
      <c r="W245" s="54">
        <f>IF(V245, Q245, "")</f>
        <v>2.25</v>
      </c>
      <c r="X245" s="55" t="str">
        <f>IF(V245, IF(L245 = "", "", L245), "")</f>
        <v/>
      </c>
      <c r="Y245" s="55" t="str">
        <f>IF(V245, K245, "")</f>
        <v>blocks tofu, cut into cubes</v>
      </c>
      <c r="Z245" s="56" t="s">
        <v>262</v>
      </c>
      <c r="AA245" s="41" t="b">
        <f>INDEX(itemPrepMethods, MATCH(K245, itemNames, 0))="soak"</f>
        <v>0</v>
      </c>
      <c r="AB245" s="55" t="str">
        <f>IF(AA245, Q245, "")</f>
        <v/>
      </c>
      <c r="AC245" s="55" t="str">
        <f>IF(AA245, IF(L245 = "", "", L245), "")</f>
        <v/>
      </c>
      <c r="AD245" s="55" t="str">
        <f>IF(AA245, K245, "")</f>
        <v/>
      </c>
    </row>
    <row r="246" spans="1:30" x14ac:dyDescent="0.25">
      <c r="A246" s="115"/>
      <c r="B246" s="115"/>
      <c r="C246" s="115"/>
      <c r="D246" s="115"/>
      <c r="I246" s="44"/>
      <c r="W246" s="71"/>
      <c r="X246" s="71"/>
      <c r="Y246" s="71"/>
      <c r="Z246" s="71"/>
      <c r="AA246" s="64"/>
      <c r="AB246" s="71"/>
      <c r="AC246" s="71"/>
      <c r="AD246" s="71"/>
    </row>
    <row r="247" spans="1:30" x14ac:dyDescent="0.25">
      <c r="A247" s="115" t="s">
        <v>119</v>
      </c>
      <c r="B247" s="115"/>
      <c r="C247" s="115"/>
      <c r="D247" s="115"/>
      <c r="I247" s="44"/>
      <c r="W247" s="71"/>
      <c r="X247" s="71"/>
      <c r="Y247" s="71"/>
      <c r="Z247" s="71"/>
      <c r="AA247" s="64"/>
      <c r="AB247" s="71"/>
      <c r="AC247" s="71"/>
      <c r="AD247" s="71"/>
    </row>
    <row r="248" spans="1:30" x14ac:dyDescent="0.25">
      <c r="A248" s="37" t="s">
        <v>21</v>
      </c>
      <c r="B248" s="49">
        <f>Q248</f>
        <v>3.5</v>
      </c>
      <c r="C248" s="36" t="str">
        <f>IF(L248="","",L248)</f>
        <v/>
      </c>
      <c r="D248" s="37" t="str">
        <f>_xlfn.CONCAT(K248, U248)</f>
        <v>garlic cloves. Remove from oil once cooked</v>
      </c>
      <c r="I248" s="51">
        <v>5</v>
      </c>
      <c r="J248" s="52"/>
      <c r="K248" s="52" t="s">
        <v>8</v>
      </c>
      <c r="L248" s="53"/>
      <c r="M248" s="44">
        <f>INDEX(itemGPerQty, MATCH(K248, itemNames, 0))</f>
        <v>0</v>
      </c>
      <c r="N248" s="44">
        <f>INDEX(itemMlPerQty, MATCH(K248, itemNames, 0))</f>
        <v>0</v>
      </c>
      <c r="O248" s="44">
        <f>IF(J248 = "", I248 * M248, IF(ISNA(CONVERT(I248, J248, "kg")), CONVERT(I248, J248, "l") * IF(N248 &lt;&gt; 0, M248 / N248, 0), CONVERT(I248, J248, "kg")))</f>
        <v>0</v>
      </c>
      <c r="P248" s="44">
        <f>IF(J248 = "", I248 * N248, IF(ISNA(CONVERT(I248, J248, "l")), CONVERT(I248, J248, "kg") * IF(M248 &lt;&gt; 0, N248 / M248, 0), CONVERT(I248, J248, "l")))</f>
        <v>0</v>
      </c>
      <c r="Q248" s="44">
        <f>MROUND(IF(AND(J248 = "", L248 = ""), I248 * recipe06DayScale, IF(ISNA(CONVERT(O248, "kg", L248)), CONVERT(P248 * recipe06DayScale, "l", L248), CONVERT(O248 * recipe06DayScale, "kg", L248))), roundTo)</f>
        <v>3.5</v>
      </c>
      <c r="R248" s="44">
        <f>recipe06TotScale * IF(L248 = "", Q248 * M248, IF(ISNA(CONVERT(Q248, L248, "kg")), CONVERT(Q248, L248, "l") * IF(N248 &lt;&gt; 0, M248 / N248, 0), CONVERT(Q248, L248, "kg")))</f>
        <v>0</v>
      </c>
      <c r="S248" s="44">
        <f>recipe06TotScale * IF(R248 = 0, IF(L248 = "", Q248 * N248, IF(ISNA(CONVERT(Q248, L248, "l")), CONVERT(Q248, L248, "kg") * IF(M248 &lt;&gt; 0, N248 / M248, 0), CONVERT(Q248, L248, "l"))), 0)</f>
        <v>0</v>
      </c>
      <c r="T248" s="44">
        <f>recipe06TotScale * IF(AND(R248 = 0, S248 = 0, J248 = "", L248 = ""), Q248, 0)</f>
        <v>3.5</v>
      </c>
      <c r="U248" s="41" t="s">
        <v>233</v>
      </c>
      <c r="V248" s="41" t="b">
        <f>INDEX(itemPrepMethods, MATCH(K248, itemNames, 0))="chop"</f>
        <v>0</v>
      </c>
      <c r="W248" s="54" t="str">
        <f>IF(V248, Q248, "")</f>
        <v/>
      </c>
      <c r="X248" s="55" t="str">
        <f>IF(V248, IF(L248 = "", "", L248), "")</f>
        <v/>
      </c>
      <c r="Y248" s="55" t="str">
        <f>IF(V248, K248, "")</f>
        <v/>
      </c>
      <c r="Z248" s="56"/>
      <c r="AA248" s="41" t="b">
        <f>INDEX(itemPrepMethods, MATCH(K248, itemNames, 0))="soak"</f>
        <v>0</v>
      </c>
      <c r="AB248" s="55" t="str">
        <f>IF(AA248, Q248, "")</f>
        <v/>
      </c>
      <c r="AC248" s="55" t="str">
        <f>IF(AA248, IF(L248 = "", "", L248), "")</f>
        <v/>
      </c>
      <c r="AD248" s="55" t="str">
        <f>IF(AA248, K248, "")</f>
        <v/>
      </c>
    </row>
    <row r="249" spans="1:30" x14ac:dyDescent="0.25">
      <c r="A249" s="37" t="s">
        <v>21</v>
      </c>
      <c r="B249" s="49">
        <f t="shared" ref="B249:B250" si="213">Q249</f>
        <v>2</v>
      </c>
      <c r="C249" s="36" t="str">
        <f>IF(L249="","",L249)</f>
        <v/>
      </c>
      <c r="D249" s="37" t="str">
        <f>_xlfn.CONCAT(K249, U249)</f>
        <v>chopped onions</v>
      </c>
      <c r="I249" s="51">
        <v>2.75</v>
      </c>
      <c r="J249" s="52"/>
      <c r="K249" s="52" t="s">
        <v>6</v>
      </c>
      <c r="L249" s="53"/>
      <c r="M249" s="44">
        <f>INDEX(itemGPerQty, MATCH(K249, itemNames, 0))</f>
        <v>0.185</v>
      </c>
      <c r="N249" s="44">
        <f>INDEX(itemMlPerQty, MATCH(K249, itemNames, 0))</f>
        <v>0.3</v>
      </c>
      <c r="O249" s="44">
        <f t="shared" ref="O249:O250" si="214">IF(J249 = "", I249 * M249, IF(ISNA(CONVERT(I249, J249, "kg")), CONVERT(I249, J249, "l") * IF(N249 &lt;&gt; 0, M249 / N249, 0), CONVERT(I249, J249, "kg")))</f>
        <v>0.50875000000000004</v>
      </c>
      <c r="P249" s="44">
        <f t="shared" ref="P249:P250" si="215">IF(J249 = "", I249 * N249, IF(ISNA(CONVERT(I249, J249, "l")), CONVERT(I249, J249, "kg") * IF(M249 &lt;&gt; 0, N249 / M249, 0), CONVERT(I249, J249, "l")))</f>
        <v>0.82499999999999996</v>
      </c>
      <c r="Q249" s="44">
        <f>MROUND(IF(AND(J249 = "", L249 = ""), I249 * recipe06DayScale, IF(ISNA(CONVERT(O249, "kg", L249)), CONVERT(P249 * recipe06DayScale, "l", L249), CONVERT(O249 * recipe06DayScale, "kg", L249))), roundTo)</f>
        <v>2</v>
      </c>
      <c r="R249" s="44">
        <f>recipe06TotScale * IF(L249 = "", Q249 * M249, IF(ISNA(CONVERT(Q249, L249, "kg")), CONVERT(Q249, L249, "l") * IF(N249 &lt;&gt; 0, M249 / N249, 0), CONVERT(Q249, L249, "kg")))</f>
        <v>0.37</v>
      </c>
      <c r="S249" s="44">
        <f>recipe06TotScale * IF(R249 = 0, IF(L249 = "", Q249 * N249, IF(ISNA(CONVERT(Q249, L249, "l")), CONVERT(Q249, L249, "kg") * IF(M249 &lt;&gt; 0, N249 / M249, 0), CONVERT(Q249, L249, "l"))), 0)</f>
        <v>0</v>
      </c>
      <c r="T249" s="44">
        <f>recipe06TotScale * IF(AND(R249 = 0, S249 = 0, J249 = "", L249 = ""), Q249, 0)</f>
        <v>0</v>
      </c>
      <c r="V249" s="41" t="b">
        <f>INDEX(itemPrepMethods, MATCH(K249, itemNames, 0))="chop"</f>
        <v>1</v>
      </c>
      <c r="W249" s="54">
        <f>IF(V249, Q249, "")</f>
        <v>2</v>
      </c>
      <c r="X249" s="55" t="str">
        <f>IF(V249, IF(L249 = "", "", L249), "")</f>
        <v/>
      </c>
      <c r="Y249" s="55" t="str">
        <f>IF(V249, K249, "")</f>
        <v>chopped onions</v>
      </c>
      <c r="Z249" s="56"/>
      <c r="AA249" s="41" t="b">
        <f>INDEX(itemPrepMethods, MATCH(K249, itemNames, 0))="soak"</f>
        <v>0</v>
      </c>
      <c r="AB249" s="55" t="str">
        <f>IF(AA249, Q249, "")</f>
        <v/>
      </c>
      <c r="AC249" s="55" t="str">
        <f>IF(AA249, IF(L249 = "", "", L249), "")</f>
        <v/>
      </c>
      <c r="AD249" s="55" t="str">
        <f>IF(AA249, K249, "")</f>
        <v/>
      </c>
    </row>
    <row r="250" spans="1:30" x14ac:dyDescent="0.25">
      <c r="A250" s="37" t="s">
        <v>21</v>
      </c>
      <c r="B250" s="49">
        <f t="shared" si="213"/>
        <v>0.25</v>
      </c>
      <c r="C250" s="36" t="str">
        <f>IF(L250="","",L250)</f>
        <v>cup</v>
      </c>
      <c r="D250" s="37" t="str">
        <f>_xlfn.CONCAT(K250, U250)</f>
        <v>minced fresh ginger</v>
      </c>
      <c r="I250" s="51">
        <v>0.5</v>
      </c>
      <c r="J250" s="52" t="s">
        <v>16</v>
      </c>
      <c r="K250" s="52" t="s">
        <v>221</v>
      </c>
      <c r="L250" s="53" t="s">
        <v>16</v>
      </c>
      <c r="M250" s="44">
        <f>INDEX(itemGPerQty, MATCH(K250, itemNames, 0))</f>
        <v>0</v>
      </c>
      <c r="N250" s="44">
        <f>INDEX(itemMlPerQty, MATCH(K250, itemNames, 0))</f>
        <v>0</v>
      </c>
      <c r="O250" s="44">
        <f t="shared" si="214"/>
        <v>0</v>
      </c>
      <c r="P250" s="44">
        <f t="shared" si="215"/>
        <v>0.11829411825</v>
      </c>
      <c r="Q250" s="44">
        <f>MROUND(IF(AND(J250 = "", L250 = ""), I250 * recipe06DayScale, IF(ISNA(CONVERT(O250, "kg", L250)), CONVERT(P250 * recipe06DayScale, "l", L250), CONVERT(O250 * recipe06DayScale, "kg", L250))), roundTo)</f>
        <v>0.25</v>
      </c>
      <c r="R250" s="44">
        <f>recipe06TotScale * IF(L250 = "", Q250 * M250, IF(ISNA(CONVERT(Q250, L250, "kg")), CONVERT(Q250, L250, "l") * IF(N250 &lt;&gt; 0, M250 / N250, 0), CONVERT(Q250, L250, "kg")))</f>
        <v>0</v>
      </c>
      <c r="S250" s="44">
        <f>recipe06TotScale * IF(R250 = 0, IF(L250 = "", Q250 * N250, IF(ISNA(CONVERT(Q250, L250, "l")), CONVERT(Q250, L250, "kg") * IF(M250 &lt;&gt; 0, N250 / M250, 0), CONVERT(Q250, L250, "l"))), 0)</f>
        <v>5.9147059124999998E-2</v>
      </c>
      <c r="T250" s="44">
        <f>recipe06TotScale * IF(AND(R250 = 0, S250 = 0, J250 = "", L250 = ""), Q250, 0)</f>
        <v>0</v>
      </c>
      <c r="V250" s="41" t="b">
        <f>INDEX(itemPrepMethods, MATCH(K250, itemNames, 0))="chop"</f>
        <v>1</v>
      </c>
      <c r="W250" s="54">
        <f>IF(V250, Q250, "")</f>
        <v>0.25</v>
      </c>
      <c r="X250" s="55" t="str">
        <f>IF(V250, IF(L250 = "", "", L250), "")</f>
        <v>cup</v>
      </c>
      <c r="Y250" s="55" t="str">
        <f>IF(V250, K250, "")</f>
        <v>minced fresh ginger</v>
      </c>
      <c r="Z250" s="56"/>
      <c r="AA250" s="41" t="b">
        <f>INDEX(itemPrepMethods, MATCH(K250, itemNames, 0))="soak"</f>
        <v>0</v>
      </c>
      <c r="AB250" s="55" t="str">
        <f>IF(AA250, Q250, "")</f>
        <v/>
      </c>
      <c r="AC250" s="55" t="str">
        <f>IF(AA250, IF(L250 = "", "", L250), "")</f>
        <v/>
      </c>
      <c r="AD250" s="55" t="str">
        <f>IF(AA250, K250, "")</f>
        <v/>
      </c>
    </row>
    <row r="251" spans="1:30" x14ac:dyDescent="0.25">
      <c r="A251" s="115"/>
      <c r="B251" s="115"/>
      <c r="C251" s="115"/>
      <c r="D251" s="115"/>
      <c r="I251" s="44"/>
      <c r="W251" s="71"/>
      <c r="X251" s="71"/>
      <c r="Y251" s="71"/>
      <c r="Z251" s="71"/>
      <c r="AA251" s="64"/>
      <c r="AB251" s="71"/>
      <c r="AC251" s="71"/>
      <c r="AD251" s="71"/>
    </row>
    <row r="252" spans="1:30" x14ac:dyDescent="0.25">
      <c r="A252" s="115" t="s">
        <v>120</v>
      </c>
      <c r="B252" s="115"/>
      <c r="C252" s="115"/>
      <c r="D252" s="115"/>
      <c r="I252" s="44"/>
      <c r="W252" s="71"/>
      <c r="X252" s="71"/>
      <c r="Y252" s="71"/>
      <c r="Z252" s="71"/>
      <c r="AA252" s="64"/>
      <c r="AB252" s="71"/>
      <c r="AC252" s="71"/>
      <c r="AD252" s="71"/>
    </row>
    <row r="253" spans="1:30" x14ac:dyDescent="0.25">
      <c r="A253" s="37" t="s">
        <v>21</v>
      </c>
      <c r="B253" s="49">
        <f t="shared" ref="B253:B256" si="216">Q253</f>
        <v>2.25</v>
      </c>
      <c r="C253" s="36" t="str">
        <f>IF(L253="","",L253)</f>
        <v/>
      </c>
      <c r="D253" s="37" t="str">
        <f t="shared" ref="D253:D258" si="217">_xlfn.CONCAT(K253, U253)</f>
        <v>chopped broccoli</v>
      </c>
      <c r="I253" s="51">
        <v>3</v>
      </c>
      <c r="J253" s="52"/>
      <c r="K253" s="52" t="s">
        <v>114</v>
      </c>
      <c r="L253" s="53"/>
      <c r="M253" s="44">
        <f>INDEX(itemGPerQty, MATCH(K253, itemNames, 0))</f>
        <v>0.313</v>
      </c>
      <c r="N253" s="44">
        <f>INDEX(itemMlPerQty, MATCH(K253, itemNames, 0))</f>
        <v>0</v>
      </c>
      <c r="O253" s="44">
        <f t="shared" ref="O253:O256" si="218">IF(J253 = "", I253 * M253, IF(ISNA(CONVERT(I253, J253, "kg")), CONVERT(I253, J253, "l") * IF(N253 &lt;&gt; 0, M253 / N253, 0), CONVERT(I253, J253, "kg")))</f>
        <v>0.93900000000000006</v>
      </c>
      <c r="P253" s="44">
        <f t="shared" ref="P253:P256" si="219">IF(J253 = "", I253 * N253, IF(ISNA(CONVERT(I253, J253, "l")), CONVERT(I253, J253, "kg") * IF(M253 &lt;&gt; 0, N253 / M253, 0), CONVERT(I253, J253, "l")))</f>
        <v>0</v>
      </c>
      <c r="Q253" s="44">
        <f>MROUND(IF(AND(J253 = "", L253 = ""), I253 * recipe06DayScale, IF(ISNA(CONVERT(O253, "kg", L253)), CONVERT(P253 * recipe06DayScale, "l", L253), CONVERT(O253 * recipe06DayScale, "kg", L253))), roundTo)</f>
        <v>2.25</v>
      </c>
      <c r="R253" s="44">
        <f>recipe06TotScale * IF(L253 = "", Q253 * M253, IF(ISNA(CONVERT(Q253, L253, "kg")), CONVERT(Q253, L253, "l") * IF(N253 &lt;&gt; 0, M253 / N253, 0), CONVERT(Q253, L253, "kg")))</f>
        <v>0.70425000000000004</v>
      </c>
      <c r="S253" s="44">
        <f>recipe06TotScale * IF(R253 = 0, IF(L253 = "", Q253 * N253, IF(ISNA(CONVERT(Q253, L253, "l")), CONVERT(Q253, L253, "kg") * IF(M253 &lt;&gt; 0, N253 / M253, 0), CONVERT(Q253, L253, "l"))), 0)</f>
        <v>0</v>
      </c>
      <c r="T253" s="44">
        <f>recipe06TotScale * IF(AND(R253 = 0, S253 = 0, J253 = "", L253 = ""), Q253, 0)</f>
        <v>0</v>
      </c>
      <c r="V253" s="41" t="b">
        <f>INDEX(itemPrepMethods, MATCH(K253, itemNames, 0))="chop"</f>
        <v>1</v>
      </c>
      <c r="W253" s="54">
        <f>IF(V253, Q253, "")</f>
        <v>2.25</v>
      </c>
      <c r="X253" s="55" t="str">
        <f>IF(V253, IF(L253 = "", "", L253), "")</f>
        <v/>
      </c>
      <c r="Y253" s="55" t="str">
        <f>IF(V253, K253, "")</f>
        <v>chopped broccoli</v>
      </c>
      <c r="Z253" s="56"/>
      <c r="AA253" s="41" t="b">
        <f>INDEX(itemPrepMethods, MATCH(K253, itemNames, 0))="soak"</f>
        <v>0</v>
      </c>
      <c r="AB253" s="55" t="str">
        <f>IF(AA253, Q253, "")</f>
        <v/>
      </c>
      <c r="AC253" s="55" t="str">
        <f>IF(AA253, IF(L253 = "", "", L253), "")</f>
        <v/>
      </c>
      <c r="AD253" s="55" t="str">
        <f>IF(AA253, K253, "")</f>
        <v/>
      </c>
    </row>
    <row r="254" spans="1:30" x14ac:dyDescent="0.25">
      <c r="A254" s="37" t="s">
        <v>21</v>
      </c>
      <c r="B254" s="49">
        <f t="shared" si="216"/>
        <v>1.5</v>
      </c>
      <c r="C254" s="36" t="str">
        <f>IF(L254="","",L254)</f>
        <v/>
      </c>
      <c r="D254" s="37" t="str">
        <f t="shared" si="217"/>
        <v>chopped cauliflowers</v>
      </c>
      <c r="I254" s="51">
        <v>2</v>
      </c>
      <c r="J254" s="52"/>
      <c r="K254" s="52" t="s">
        <v>159</v>
      </c>
      <c r="L254" s="53"/>
      <c r="M254" s="44">
        <f>INDEX(itemGPerQty, MATCH(K254, itemNames, 0))</f>
        <v>0</v>
      </c>
      <c r="N254" s="44">
        <f>INDEX(itemMlPerQty, MATCH(K254, itemNames, 0))</f>
        <v>0</v>
      </c>
      <c r="O254" s="44">
        <f t="shared" si="218"/>
        <v>0</v>
      </c>
      <c r="P254" s="44">
        <f t="shared" si="219"/>
        <v>0</v>
      </c>
      <c r="Q254" s="44">
        <f>MROUND(IF(AND(J254 = "", L254 = ""), I254 * recipe06DayScale, IF(ISNA(CONVERT(O254, "kg", L254)), CONVERT(P254 * recipe06DayScale, "l", L254), CONVERT(O254 * recipe06DayScale, "kg", L254))), roundTo)</f>
        <v>1.5</v>
      </c>
      <c r="R254" s="44">
        <f>recipe06TotScale * IF(L254 = "", Q254 * M254, IF(ISNA(CONVERT(Q254, L254, "kg")), CONVERT(Q254, L254, "l") * IF(N254 &lt;&gt; 0, M254 / N254, 0), CONVERT(Q254, L254, "kg")))</f>
        <v>0</v>
      </c>
      <c r="S254" s="44">
        <f>recipe06TotScale * IF(R254 = 0, IF(L254 = "", Q254 * N254, IF(ISNA(CONVERT(Q254, L254, "l")), CONVERT(Q254, L254, "kg") * IF(M254 &lt;&gt; 0, N254 / M254, 0), CONVERT(Q254, L254, "l"))), 0)</f>
        <v>0</v>
      </c>
      <c r="T254" s="44">
        <f>recipe06TotScale * IF(AND(R254 = 0, S254 = 0, J254 = "", L254 = ""), Q254, 0)</f>
        <v>1.5</v>
      </c>
      <c r="V254" s="41" t="b">
        <f>INDEX(itemPrepMethods, MATCH(K254, itemNames, 0))="chop"</f>
        <v>1</v>
      </c>
      <c r="W254" s="54">
        <f>IF(V254, Q254, "")</f>
        <v>1.5</v>
      </c>
      <c r="X254" s="55" t="str">
        <f>IF(V254, IF(L254 = "", "", L254), "")</f>
        <v/>
      </c>
      <c r="Y254" s="55" t="str">
        <f>IF(V254, K254, "")</f>
        <v>chopped cauliflowers</v>
      </c>
      <c r="Z254" s="56"/>
      <c r="AA254" s="41" t="b">
        <f>INDEX(itemPrepMethods, MATCH(K254, itemNames, 0))="soak"</f>
        <v>0</v>
      </c>
      <c r="AB254" s="55" t="str">
        <f>IF(AA254, Q254, "")</f>
        <v/>
      </c>
      <c r="AC254" s="55" t="str">
        <f>IF(AA254, IF(L254 = "", "", L254), "")</f>
        <v/>
      </c>
      <c r="AD254" s="55" t="str">
        <f>IF(AA254, K254, "")</f>
        <v/>
      </c>
    </row>
    <row r="255" spans="1:30" x14ac:dyDescent="0.25">
      <c r="A255" s="37" t="s">
        <v>21</v>
      </c>
      <c r="B255" s="49">
        <f t="shared" si="216"/>
        <v>1</v>
      </c>
      <c r="C255" s="36" t="str">
        <f>IF(L255="","",L255)</f>
        <v>cup</v>
      </c>
      <c r="D255" s="37" t="str">
        <f t="shared" si="217"/>
        <v>peanuts</v>
      </c>
      <c r="I255" s="51">
        <v>1.5</v>
      </c>
      <c r="J255" s="52" t="s">
        <v>16</v>
      </c>
      <c r="K255" s="52" t="s">
        <v>115</v>
      </c>
      <c r="L255" s="53" t="s">
        <v>16</v>
      </c>
      <c r="M255" s="44">
        <f>INDEX(itemGPerQty, MATCH(K255, itemNames, 0))</f>
        <v>0</v>
      </c>
      <c r="N255" s="44">
        <f>INDEX(itemMlPerQty, MATCH(K255, itemNames, 0))</f>
        <v>0</v>
      </c>
      <c r="O255" s="44">
        <f t="shared" si="218"/>
        <v>0</v>
      </c>
      <c r="P255" s="44">
        <f t="shared" si="219"/>
        <v>0.35488235474999996</v>
      </c>
      <c r="Q255" s="44">
        <f>MROUND(IF(AND(J255 = "", L255 = ""), I255 * recipe06DayScale, IF(ISNA(CONVERT(O255, "kg", L255)), CONVERT(P255 * recipe06DayScale, "l", L255), CONVERT(O255 * recipe06DayScale, "kg", L255))), roundTo)</f>
        <v>1</v>
      </c>
      <c r="R255" s="44">
        <f>recipe06TotScale * IF(L255 = "", Q255 * M255, IF(ISNA(CONVERT(Q255, L255, "kg")), CONVERT(Q255, L255, "l") * IF(N255 &lt;&gt; 0, M255 / N255, 0), CONVERT(Q255, L255, "kg")))</f>
        <v>0</v>
      </c>
      <c r="S255" s="44">
        <f>recipe06TotScale * IF(R255 = 0, IF(L255 = "", Q255 * N255, IF(ISNA(CONVERT(Q255, L255, "l")), CONVERT(Q255, L255, "kg") * IF(M255 &lt;&gt; 0, N255 / M255, 0), CONVERT(Q255, L255, "l"))), 0)</f>
        <v>0.23658823649999999</v>
      </c>
      <c r="T255" s="44">
        <f>recipe06TotScale * IF(AND(R255 = 0, S255 = 0, J255 = "", L255 = ""), Q255, 0)</f>
        <v>0</v>
      </c>
      <c r="V255" s="41" t="b">
        <f>INDEX(itemPrepMethods, MATCH(K255, itemNames, 0))="chop"</f>
        <v>0</v>
      </c>
      <c r="W255" s="54" t="str">
        <f>IF(V255, Q255, "")</f>
        <v/>
      </c>
      <c r="X255" s="55" t="str">
        <f>IF(V255, IF(L255 = "", "", L255), "")</f>
        <v/>
      </c>
      <c r="Y255" s="55" t="str">
        <f>IF(V255, K255, "")</f>
        <v/>
      </c>
      <c r="Z255" s="56"/>
      <c r="AA255" s="41" t="b">
        <f>INDEX(itemPrepMethods, MATCH(K255, itemNames, 0))="soak"</f>
        <v>0</v>
      </c>
      <c r="AB255" s="55" t="str">
        <f>IF(AA255, Q255, "")</f>
        <v/>
      </c>
      <c r="AC255" s="55" t="str">
        <f>IF(AA255, IF(L255 = "", "", L255), "")</f>
        <v/>
      </c>
      <c r="AD255" s="55" t="str">
        <f>IF(AA255, K255, "")</f>
        <v/>
      </c>
    </row>
    <row r="256" spans="1:30" x14ac:dyDescent="0.25">
      <c r="A256" s="37" t="s">
        <v>21</v>
      </c>
      <c r="B256" s="49">
        <f t="shared" si="216"/>
        <v>2.25</v>
      </c>
      <c r="C256" s="36" t="str">
        <f>IF(L256="","",L256)</f>
        <v>cup</v>
      </c>
      <c r="D256" s="37" t="str">
        <f t="shared" si="217"/>
        <v>tinned coconut milk</v>
      </c>
      <c r="I256" s="51">
        <v>3</v>
      </c>
      <c r="J256" s="52" t="s">
        <v>16</v>
      </c>
      <c r="K256" s="52" t="s">
        <v>448</v>
      </c>
      <c r="L256" s="53" t="s">
        <v>16</v>
      </c>
      <c r="M256" s="44">
        <f>INDEX(itemGPerQty, MATCH(K256, itemNames, 0))</f>
        <v>0</v>
      </c>
      <c r="N256" s="44">
        <f>INDEX(itemMlPerQty, MATCH(K256, itemNames, 0))</f>
        <v>0</v>
      </c>
      <c r="O256" s="44">
        <f t="shared" si="218"/>
        <v>0</v>
      </c>
      <c r="P256" s="44">
        <f t="shared" si="219"/>
        <v>0.70976470949999992</v>
      </c>
      <c r="Q256" s="44">
        <f>MROUND(IF(AND(J256 = "", L256 = ""), I256 * recipe06DayScale, IF(ISNA(CONVERT(O256, "kg", L256)), CONVERT(P256 * recipe06DayScale, "l", L256), CONVERT(O256 * recipe06DayScale, "kg", L256))), roundTo)</f>
        <v>2.25</v>
      </c>
      <c r="R256" s="44">
        <f>recipe06TotScale * IF(L256 = "", Q256 * M256, IF(ISNA(CONVERT(Q256, L256, "kg")), CONVERT(Q256, L256, "l") * IF(N256 &lt;&gt; 0, M256 / N256, 0), CONVERT(Q256, L256, "kg")))</f>
        <v>0</v>
      </c>
      <c r="S256" s="44">
        <f>recipe06TotScale * IF(R256 = 0, IF(L256 = "", Q256 * N256, IF(ISNA(CONVERT(Q256, L256, "l")), CONVERT(Q256, L256, "kg") * IF(M256 &lt;&gt; 0, N256 / M256, 0), CONVERT(Q256, L256, "l"))), 0)</f>
        <v>0.53232353212499994</v>
      </c>
      <c r="T256" s="44">
        <f>recipe06TotScale * IF(AND(R256 = 0, S256 = 0, J256 = "", L256 = ""), Q256, 0)</f>
        <v>0</v>
      </c>
      <c r="V256" s="41" t="b">
        <f>INDEX(itemPrepMethods, MATCH(K256, itemNames, 0))="chop"</f>
        <v>0</v>
      </c>
      <c r="W256" s="54" t="str">
        <f>IF(V256, Q256, "")</f>
        <v/>
      </c>
      <c r="X256" s="55" t="str">
        <f>IF(V256, IF(L256 = "", "", L256), "")</f>
        <v/>
      </c>
      <c r="Y256" s="55" t="str">
        <f>IF(V256, K256, "")</f>
        <v/>
      </c>
      <c r="Z256" s="56"/>
      <c r="AA256" s="41" t="b">
        <f>INDEX(itemPrepMethods, MATCH(K256, itemNames, 0))="soak"</f>
        <v>0</v>
      </c>
      <c r="AB256" s="55" t="str">
        <f>IF(AA256, Q256, "")</f>
        <v/>
      </c>
      <c r="AC256" s="55" t="str">
        <f>IF(AA256, IF(L256 = "", "", L256), "")</f>
        <v/>
      </c>
      <c r="AD256" s="55" t="str">
        <f>IF(AA256, K256, "")</f>
        <v/>
      </c>
    </row>
    <row r="257" spans="1:30" x14ac:dyDescent="0.25">
      <c r="A257" s="37" t="s">
        <v>21</v>
      </c>
      <c r="D257" s="37" t="str">
        <f t="shared" si="217"/>
        <v>grilled tofu</v>
      </c>
      <c r="I257" s="44"/>
      <c r="U257" s="41" t="s">
        <v>121</v>
      </c>
    </row>
    <row r="258" spans="1:30" x14ac:dyDescent="0.25">
      <c r="A258" s="37" t="s">
        <v>21</v>
      </c>
      <c r="D258" s="37" t="str">
        <f t="shared" si="217"/>
        <v>peanut sauce</v>
      </c>
      <c r="I258" s="44"/>
      <c r="U258" s="41" t="s">
        <v>122</v>
      </c>
    </row>
    <row r="259" spans="1:30" ht="15.75" x14ac:dyDescent="0.25">
      <c r="A259" s="117" t="s">
        <v>32</v>
      </c>
      <c r="B259" s="117"/>
      <c r="C259" s="117"/>
      <c r="D259" s="117"/>
      <c r="E259" s="40" t="s">
        <v>131</v>
      </c>
      <c r="F259" s="100" t="s">
        <v>77</v>
      </c>
      <c r="G259" s="100"/>
      <c r="H259" s="44"/>
    </row>
    <row r="260" spans="1:30" ht="24" x14ac:dyDescent="0.2">
      <c r="A260" s="117" t="s">
        <v>40</v>
      </c>
      <c r="B260" s="117"/>
      <c r="C260" s="117"/>
      <c r="D260" s="117"/>
      <c r="E260" s="39" t="s">
        <v>53</v>
      </c>
      <c r="F260" s="87">
        <v>15</v>
      </c>
      <c r="G260" s="44"/>
      <c r="H260" s="44"/>
      <c r="I260" s="67" t="s">
        <v>434</v>
      </c>
      <c r="J260" s="68" t="s">
        <v>435</v>
      </c>
      <c r="K260" s="68" t="s">
        <v>17</v>
      </c>
      <c r="L260" s="69" t="s">
        <v>438</v>
      </c>
      <c r="M260" s="67" t="s">
        <v>141</v>
      </c>
      <c r="N260" s="67" t="s">
        <v>142</v>
      </c>
      <c r="O260" s="67" t="s">
        <v>436</v>
      </c>
      <c r="P260" s="67" t="s">
        <v>437</v>
      </c>
      <c r="Q260" s="68" t="s">
        <v>353</v>
      </c>
      <c r="R260" s="67" t="s">
        <v>354</v>
      </c>
      <c r="S260" s="67" t="s">
        <v>355</v>
      </c>
      <c r="T260" s="67" t="s">
        <v>356</v>
      </c>
      <c r="U260" s="68" t="s">
        <v>22</v>
      </c>
      <c r="V260" s="68" t="s">
        <v>202</v>
      </c>
      <c r="W260" s="70" t="s">
        <v>353</v>
      </c>
      <c r="X260" s="68" t="s">
        <v>200</v>
      </c>
      <c r="Y260" s="68" t="s">
        <v>201</v>
      </c>
      <c r="Z260" s="68" t="s">
        <v>302</v>
      </c>
      <c r="AA260" s="68" t="s">
        <v>203</v>
      </c>
      <c r="AB260" s="70" t="s">
        <v>353</v>
      </c>
      <c r="AC260" s="68" t="s">
        <v>204</v>
      </c>
      <c r="AD260" s="68" t="s">
        <v>205</v>
      </c>
    </row>
    <row r="261" spans="1:30" ht="13.5" thickBot="1" x14ac:dyDescent="0.3">
      <c r="A261" s="118" t="str">
        <f>_xlfn.CONCAT(F261," servings")</f>
        <v>10 servings</v>
      </c>
      <c r="B261" s="118"/>
      <c r="C261" s="118"/>
      <c r="D261" s="118"/>
      <c r="E261" s="63" t="s">
        <v>348</v>
      </c>
      <c r="F261" s="87">
        <f>tuDiCount</f>
        <v>10</v>
      </c>
      <c r="G261" s="44"/>
      <c r="H261" s="50"/>
    </row>
    <row r="262" spans="1:30" s="102" customFormat="1" ht="15.75" thickBot="1" x14ac:dyDescent="0.3">
      <c r="A262" s="115"/>
      <c r="B262" s="115"/>
      <c r="C262" s="115"/>
      <c r="D262" s="115"/>
      <c r="E262" s="63" t="s">
        <v>351</v>
      </c>
      <c r="F262" s="47">
        <f>F261/F260</f>
        <v>0.66666666666666663</v>
      </c>
      <c r="G262" s="48" t="s">
        <v>373</v>
      </c>
      <c r="H262" s="50"/>
      <c r="I262" s="42"/>
      <c r="L262" s="43"/>
      <c r="M262" s="44"/>
      <c r="N262" s="44"/>
      <c r="O262" s="44"/>
      <c r="P262" s="44"/>
      <c r="Q262" s="44"/>
      <c r="R262" s="44"/>
      <c r="S262" s="44"/>
      <c r="T262" s="44"/>
      <c r="W262" s="45"/>
      <c r="Z262" s="46"/>
    </row>
    <row r="263" spans="1:30" x14ac:dyDescent="0.25">
      <c r="A263" s="115" t="s">
        <v>264</v>
      </c>
      <c r="B263" s="115"/>
      <c r="C263" s="115"/>
      <c r="D263" s="115"/>
      <c r="E263" s="64"/>
      <c r="F263" s="64"/>
      <c r="G263" s="64"/>
      <c r="I263" s="44"/>
      <c r="W263" s="54"/>
      <c r="X263" s="55"/>
      <c r="Y263" s="55"/>
      <c r="Z263" s="56"/>
      <c r="AB263" s="55"/>
      <c r="AC263" s="55"/>
      <c r="AD263" s="55"/>
    </row>
    <row r="264" spans="1:30" ht="15.75" thickBot="1" x14ac:dyDescent="0.3">
      <c r="A264" s="37" t="s">
        <v>21</v>
      </c>
      <c r="B264" s="49">
        <f t="shared" ref="B264:B281" si="220">Q264</f>
        <v>3.25</v>
      </c>
      <c r="C264" s="36" t="str">
        <f t="shared" ref="C264:C281" si="221">IF(L264="","",L264)</f>
        <v>tbs</v>
      </c>
      <c r="D264" s="37" t="str">
        <f>_xlfn.CONCAT(K264, U264)</f>
        <v>minced fresh ginger</v>
      </c>
      <c r="E264" s="63" t="s">
        <v>327</v>
      </c>
      <c r="F264" s="87">
        <f>tuDiCount</f>
        <v>10</v>
      </c>
      <c r="G264" s="64"/>
      <c r="I264" s="51">
        <v>5</v>
      </c>
      <c r="J264" s="52" t="s">
        <v>15</v>
      </c>
      <c r="K264" s="52" t="s">
        <v>221</v>
      </c>
      <c r="L264" s="53" t="s">
        <v>15</v>
      </c>
      <c r="M264" s="44">
        <f t="shared" ref="M264:M281" si="222">INDEX(itemGPerQty, MATCH(K264, itemNames, 0))</f>
        <v>0</v>
      </c>
      <c r="N264" s="44">
        <f t="shared" ref="N264:N281" si="223">INDEX(itemMlPerQty, MATCH(K264, itemNames, 0))</f>
        <v>0</v>
      </c>
      <c r="O264" s="44">
        <f t="shared" ref="O264:O281" si="224">IF(J264 = "", I264 * M264, IF(ISNA(CONVERT(I264, J264, "kg")), CONVERT(I264, J264, "l") * IF(N264 &lt;&gt; 0, M264 / N264, 0), CONVERT(I264, J264, "kg")))</f>
        <v>0</v>
      </c>
      <c r="P264" s="44">
        <f t="shared" ref="P264:P281" si="225">IF(J264 = "", I264 * N264, IF(ISNA(CONVERT(I264, J264, "l")), CONVERT(I264, J264, "kg") * IF(M264 &lt;&gt; 0, N264 / M264, 0), CONVERT(I264, J264, "l")))</f>
        <v>7.3933823906250001E-2</v>
      </c>
      <c r="Q264" s="44">
        <f>MROUND(IF(AND(J264 = "", L264 = ""), I264 * recipe07DayScale, IF(ISNA(CONVERT(O264, "kg", L264)), CONVERT(P264 * recipe07DayScale, "l", L264), CONVERT(O264 * recipe07DayScale, "kg", L264))), roundTo)</f>
        <v>3.25</v>
      </c>
      <c r="R264" s="44">
        <f>recipe07TotScale * IF(L264 = "", Q264 * M264, IF(ISNA(CONVERT(Q264, L264, "kg")), CONVERT(Q264, L264, "l") * IF(N264 &lt;&gt; 0, M264 / N264, 0), CONVERT(Q264, L264, "kg")))</f>
        <v>0</v>
      </c>
      <c r="S264" s="44">
        <f>recipe07TotScale * IF(R264 = 0, IF(L264 = "", Q264 * N264, IF(ISNA(CONVERT(Q264, L264, "l")), CONVERT(Q264, L264, "kg") * IF(M264 &lt;&gt; 0, N264 / M264, 0), CONVERT(Q264, L264, "l"))), 0)</f>
        <v>4.8056985539062499E-2</v>
      </c>
      <c r="T264" s="44">
        <f>recipe07TotScale * IF(AND(R264 = 0, S264 = 0, J264 = "", L264 = ""), Q264, 0)</f>
        <v>0</v>
      </c>
      <c r="V264" s="41" t="b">
        <f>INDEX(itemPrepMethods, MATCH(K264, itemNames, 0))="chop"</f>
        <v>1</v>
      </c>
      <c r="W264" s="54">
        <f>IF(V264, Q264, "")</f>
        <v>3.25</v>
      </c>
      <c r="X264" s="55" t="str">
        <f>IF(V264, IF(L264 = "", "", L264), "")</f>
        <v>tbs</v>
      </c>
      <c r="Y264" s="55" t="str">
        <f>IF(V264, K264, "")</f>
        <v>minced fresh ginger</v>
      </c>
      <c r="Z264" s="56"/>
      <c r="AA264" s="41" t="b">
        <f>INDEX(itemPrepMethods, MATCH(K264, itemNames, 0))="soak"</f>
        <v>0</v>
      </c>
      <c r="AB264" s="55" t="str">
        <f>IF(AA264, Q264, "")</f>
        <v/>
      </c>
      <c r="AC264" s="55" t="str">
        <f>IF(AA264, IF(L264 = "", "", L264), "")</f>
        <v/>
      </c>
      <c r="AD264" s="55" t="str">
        <f>IF(AA264, K264, "")</f>
        <v/>
      </c>
    </row>
    <row r="265" spans="1:30" ht="15.75" thickBot="1" x14ac:dyDescent="0.3">
      <c r="A265" s="37" t="s">
        <v>21</v>
      </c>
      <c r="B265" s="49">
        <f t="shared" si="220"/>
        <v>6.75</v>
      </c>
      <c r="C265" s="36" t="str">
        <f t="shared" si="221"/>
        <v/>
      </c>
      <c r="D265" s="37" t="str">
        <f>_xlfn.CONCAT(K265, U265)</f>
        <v>thinly sliced carrots</v>
      </c>
      <c r="E265" s="63" t="s">
        <v>352</v>
      </c>
      <c r="F265" s="47">
        <f>F264/F261</f>
        <v>1</v>
      </c>
      <c r="G265" s="48" t="s">
        <v>374</v>
      </c>
      <c r="I265" s="51">
        <v>10</v>
      </c>
      <c r="J265" s="52"/>
      <c r="K265" s="52" t="s">
        <v>58</v>
      </c>
      <c r="L265" s="53"/>
      <c r="M265" s="44">
        <f t="shared" si="222"/>
        <v>0</v>
      </c>
      <c r="N265" s="44">
        <f t="shared" si="223"/>
        <v>0</v>
      </c>
      <c r="O265" s="44">
        <f t="shared" si="224"/>
        <v>0</v>
      </c>
      <c r="P265" s="44">
        <f t="shared" si="225"/>
        <v>0</v>
      </c>
      <c r="Q265" s="44">
        <f>MROUND(IF(AND(J265 = "", L265 = ""), I265 * recipe07DayScale, IF(ISNA(CONVERT(O265, "kg", L265)), CONVERT(P265 * recipe07DayScale, "l", L265), CONVERT(O265 * recipe07DayScale, "kg", L265))), roundTo)</f>
        <v>6.75</v>
      </c>
      <c r="R265" s="44">
        <f>recipe07TotScale * IF(L265 = "", Q265 * M265, IF(ISNA(CONVERT(Q265, L265, "kg")), CONVERT(Q265, L265, "l") * IF(N265 &lt;&gt; 0, M265 / N265, 0), CONVERT(Q265, L265, "kg")))</f>
        <v>0</v>
      </c>
      <c r="S265" s="44">
        <f>recipe07TotScale * IF(R265 = 0, IF(L265 = "", Q265 * N265, IF(ISNA(CONVERT(Q265, L265, "l")), CONVERT(Q265, L265, "kg") * IF(M265 &lt;&gt; 0, N265 / M265, 0), CONVERT(Q265, L265, "l"))), 0)</f>
        <v>0</v>
      </c>
      <c r="T265" s="44">
        <f>recipe07TotScale * IF(AND(R265 = 0, S265 = 0, J265 = "", L265 = ""), Q265, 0)</f>
        <v>6.75</v>
      </c>
      <c r="V265" s="41" t="b">
        <f>INDEX(itemPrepMethods, MATCH(K265, itemNames, 0))="chop"</f>
        <v>1</v>
      </c>
      <c r="W265" s="54">
        <f>IF(V265, Q265, "")</f>
        <v>6.75</v>
      </c>
      <c r="X265" s="55" t="str">
        <f>IF(V265, IF(L265 = "", "", L265), "")</f>
        <v/>
      </c>
      <c r="Y265" s="55" t="str">
        <f>IF(V265, K265, "")</f>
        <v>thinly sliced carrots</v>
      </c>
      <c r="Z265" s="56"/>
      <c r="AA265" s="41" t="b">
        <f>INDEX(itemPrepMethods, MATCH(K265, itemNames, 0))="soak"</f>
        <v>0</v>
      </c>
      <c r="AB265" s="55" t="str">
        <f>IF(AA265, Q265, "")</f>
        <v/>
      </c>
      <c r="AC265" s="55" t="str">
        <f>IF(AA265, IF(L265 = "", "", L265), "")</f>
        <v/>
      </c>
      <c r="AD265" s="55" t="str">
        <f>IF(AA265, K265, "")</f>
        <v/>
      </c>
    </row>
    <row r="266" spans="1:30" x14ac:dyDescent="0.25">
      <c r="A266" s="37" t="s">
        <v>21</v>
      </c>
      <c r="B266" s="49">
        <f t="shared" si="220"/>
        <v>3.25</v>
      </c>
      <c r="C266" s="36" t="str">
        <f t="shared" si="221"/>
        <v/>
      </c>
      <c r="D266" s="37" t="str">
        <f>_xlfn.CONCAT(K266, U266)</f>
        <v>thinly sliced celery stalks</v>
      </c>
      <c r="I266" s="51">
        <v>5</v>
      </c>
      <c r="J266" s="52"/>
      <c r="K266" s="52" t="s">
        <v>59</v>
      </c>
      <c r="L266" s="53"/>
      <c r="M266" s="44">
        <f t="shared" si="222"/>
        <v>0</v>
      </c>
      <c r="N266" s="44">
        <f t="shared" si="223"/>
        <v>0</v>
      </c>
      <c r="O266" s="44">
        <f t="shared" si="224"/>
        <v>0</v>
      </c>
      <c r="P266" s="44">
        <f t="shared" si="225"/>
        <v>0</v>
      </c>
      <c r="Q266" s="44">
        <f>MROUND(IF(AND(J266 = "", L266 = ""), I266 * recipe07DayScale, IF(ISNA(CONVERT(O266, "kg", L266)), CONVERT(P266 * recipe07DayScale, "l", L266), CONVERT(O266 * recipe07DayScale, "kg", L266))), roundTo)</f>
        <v>3.25</v>
      </c>
      <c r="R266" s="44">
        <f>recipe07TotScale * IF(L266 = "", Q266 * M266, IF(ISNA(CONVERT(Q266, L266, "kg")), CONVERT(Q266, L266, "l") * IF(N266 &lt;&gt; 0, M266 / N266, 0), CONVERT(Q266, L266, "kg")))</f>
        <v>0</v>
      </c>
      <c r="S266" s="44">
        <f>recipe07TotScale * IF(R266 = 0, IF(L266 = "", Q266 * N266, IF(ISNA(CONVERT(Q266, L266, "l")), CONVERT(Q266, L266, "kg") * IF(M266 &lt;&gt; 0, N266 / M266, 0), CONVERT(Q266, L266, "l"))), 0)</f>
        <v>0</v>
      </c>
      <c r="T266" s="44">
        <f>recipe07TotScale * IF(AND(R266 = 0, S266 = 0, J266 = "", L266 = ""), Q266, 0)</f>
        <v>3.25</v>
      </c>
      <c r="V266" s="41" t="b">
        <f>INDEX(itemPrepMethods, MATCH(K266, itemNames, 0))="chop"</f>
        <v>1</v>
      </c>
      <c r="W266" s="54">
        <f>IF(V266, Q266, "")</f>
        <v>3.25</v>
      </c>
      <c r="X266" s="55" t="str">
        <f>IF(V266, IF(L266 = "", "", L266), "")</f>
        <v/>
      </c>
      <c r="Y266" s="55" t="str">
        <f>IF(V266, K266, "")</f>
        <v>thinly sliced celery stalks</v>
      </c>
      <c r="Z266" s="56"/>
      <c r="AA266" s="41" t="b">
        <f>INDEX(itemPrepMethods, MATCH(K266, itemNames, 0))="soak"</f>
        <v>0</v>
      </c>
      <c r="AB266" s="55" t="str">
        <f>IF(AA266, Q266, "")</f>
        <v/>
      </c>
      <c r="AC266" s="55" t="str">
        <f>IF(AA266, IF(L266 = "", "", L266), "")</f>
        <v/>
      </c>
      <c r="AD266" s="55" t="str">
        <f>IF(AA266, K266, "")</f>
        <v/>
      </c>
    </row>
    <row r="267" spans="1:30" x14ac:dyDescent="0.25">
      <c r="A267" s="37" t="s">
        <v>21</v>
      </c>
      <c r="B267" s="49">
        <f t="shared" si="220"/>
        <v>13.25</v>
      </c>
      <c r="C267" s="36" t="str">
        <f t="shared" si="221"/>
        <v/>
      </c>
      <c r="D267" s="37" t="str">
        <f>_xlfn.CONCAT(K267, U267)</f>
        <v>thinly sliced white cabbage leaves</v>
      </c>
      <c r="I267" s="51">
        <v>20</v>
      </c>
      <c r="J267" s="52"/>
      <c r="K267" s="52" t="s">
        <v>98</v>
      </c>
      <c r="L267" s="53"/>
      <c r="M267" s="44">
        <f t="shared" si="222"/>
        <v>0</v>
      </c>
      <c r="N267" s="44">
        <f t="shared" si="223"/>
        <v>0</v>
      </c>
      <c r="O267" s="44">
        <f t="shared" si="224"/>
        <v>0</v>
      </c>
      <c r="P267" s="44">
        <f t="shared" si="225"/>
        <v>0</v>
      </c>
      <c r="Q267" s="44">
        <f>MROUND(IF(AND(J267 = "", L267 = ""), I267 * recipe07DayScale, IF(ISNA(CONVERT(O267, "kg", L267)), CONVERT(P267 * recipe07DayScale, "l", L267), CONVERT(O267 * recipe07DayScale, "kg", L267))), roundTo)</f>
        <v>13.25</v>
      </c>
      <c r="R267" s="44">
        <f>recipe07TotScale * IF(L267 = "", Q267 * M267, IF(ISNA(CONVERT(Q267, L267, "kg")), CONVERT(Q267, L267, "l") * IF(N267 &lt;&gt; 0, M267 / N267, 0), CONVERT(Q267, L267, "kg")))</f>
        <v>0</v>
      </c>
      <c r="S267" s="44">
        <f>recipe07TotScale * IF(R267 = 0, IF(L267 = "", Q267 * N267, IF(ISNA(CONVERT(Q267, L267, "l")), CONVERT(Q267, L267, "kg") * IF(M267 &lt;&gt; 0, N267 / M267, 0), CONVERT(Q267, L267, "l"))), 0)</f>
        <v>0</v>
      </c>
      <c r="T267" s="44">
        <f>recipe07TotScale * IF(AND(R267 = 0, S267 = 0, J267 = "", L267 = ""), Q267, 0)</f>
        <v>13.25</v>
      </c>
      <c r="V267" s="41" t="b">
        <f>INDEX(itemPrepMethods, MATCH(K267, itemNames, 0))="chop"</f>
        <v>1</v>
      </c>
      <c r="W267" s="54">
        <f>IF(V267, Q267, "")</f>
        <v>13.25</v>
      </c>
      <c r="X267" s="55" t="str">
        <f>IF(V267, IF(L267 = "", "", L267), "")</f>
        <v/>
      </c>
      <c r="Y267" s="55" t="str">
        <f>IF(V267, K267, "")</f>
        <v>thinly sliced white cabbage leaves</v>
      </c>
      <c r="Z267" s="56"/>
      <c r="AA267" s="41" t="b">
        <f>INDEX(itemPrepMethods, MATCH(K267, itemNames, 0))="soak"</f>
        <v>0</v>
      </c>
      <c r="AB267" s="55" t="str">
        <f>IF(AA267, Q267, "")</f>
        <v/>
      </c>
      <c r="AC267" s="55" t="str">
        <f>IF(AA267, IF(L267 = "", "", L267), "")</f>
        <v/>
      </c>
      <c r="AD267" s="55" t="str">
        <f>IF(AA267, K267, "")</f>
        <v/>
      </c>
    </row>
    <row r="268" spans="1:30" x14ac:dyDescent="0.25">
      <c r="A268" s="115"/>
      <c r="B268" s="115"/>
      <c r="C268" s="115"/>
      <c r="D268" s="115"/>
      <c r="I268" s="44"/>
      <c r="W268" s="71"/>
      <c r="X268" s="71"/>
      <c r="Y268" s="71"/>
      <c r="Z268" s="71"/>
      <c r="AB268" s="71"/>
      <c r="AC268" s="71"/>
      <c r="AD268" s="71"/>
    </row>
    <row r="269" spans="1:30" x14ac:dyDescent="0.25">
      <c r="A269" s="115" t="s">
        <v>265</v>
      </c>
      <c r="B269" s="115"/>
      <c r="C269" s="115"/>
      <c r="D269" s="115"/>
      <c r="I269" s="44"/>
      <c r="W269" s="71"/>
      <c r="X269" s="71"/>
      <c r="Y269" s="71"/>
      <c r="Z269" s="71"/>
      <c r="AB269" s="71"/>
      <c r="AC269" s="71"/>
      <c r="AD269" s="71"/>
    </row>
    <row r="270" spans="1:30" x14ac:dyDescent="0.25">
      <c r="A270" s="37" t="s">
        <v>21</v>
      </c>
      <c r="B270" s="49">
        <f t="shared" si="220"/>
        <v>10</v>
      </c>
      <c r="C270" s="36" t="str">
        <f t="shared" si="221"/>
        <v>cup</v>
      </c>
      <c r="D270" s="37" t="str">
        <f>_xlfn.CONCAT(K270, U270)</f>
        <v>vegetable stock</v>
      </c>
      <c r="I270" s="51">
        <v>3.55</v>
      </c>
      <c r="J270" s="52" t="s">
        <v>54</v>
      </c>
      <c r="K270" s="52" t="s">
        <v>55</v>
      </c>
      <c r="L270" s="53" t="s">
        <v>16</v>
      </c>
      <c r="M270" s="44">
        <f t="shared" si="222"/>
        <v>0</v>
      </c>
      <c r="N270" s="44">
        <f t="shared" si="223"/>
        <v>0</v>
      </c>
      <c r="O270" s="44">
        <f t="shared" si="224"/>
        <v>0</v>
      </c>
      <c r="P270" s="44">
        <f t="shared" si="225"/>
        <v>3.55</v>
      </c>
      <c r="Q270" s="44">
        <f>MROUND(IF(AND(J270 = "", L270 = ""), I270 * recipe07DayScale, IF(ISNA(CONVERT(O270, "kg", L270)), CONVERT(P270 * recipe07DayScale, "l", L270), CONVERT(O270 * recipe07DayScale, "kg", L270))), roundTo)</f>
        <v>10</v>
      </c>
      <c r="R270" s="44">
        <f>recipe07TotScale * IF(L270 = "", Q270 * M270, IF(ISNA(CONVERT(Q270, L270, "kg")), CONVERT(Q270, L270, "l") * IF(N270 &lt;&gt; 0, M270 / N270, 0), CONVERT(Q270, L270, "kg")))</f>
        <v>0</v>
      </c>
      <c r="S270" s="44">
        <f>recipe07TotScale * IF(R270 = 0, IF(L270 = "", Q270 * N270, IF(ISNA(CONVERT(Q270, L270, "l")), CONVERT(Q270, L270, "kg") * IF(M270 &lt;&gt; 0, N270 / M270, 0), CONVERT(Q270, L270, "l"))), 0)</f>
        <v>2.365882365</v>
      </c>
      <c r="T270" s="44">
        <f>recipe07TotScale * IF(AND(R270 = 0, S270 = 0, J270 = "", L270 = ""), Q270, 0)</f>
        <v>0</v>
      </c>
      <c r="V270" s="41" t="b">
        <f>INDEX(itemPrepMethods, MATCH(K270, itemNames, 0))="chop"</f>
        <v>0</v>
      </c>
      <c r="W270" s="54" t="str">
        <f>IF(V270, Q270, "")</f>
        <v/>
      </c>
      <c r="X270" s="55" t="str">
        <f>IF(V270, IF(L270 = "", "", L270), "")</f>
        <v/>
      </c>
      <c r="Y270" s="55" t="str">
        <f>IF(V270, K270, "")</f>
        <v/>
      </c>
      <c r="Z270" s="56"/>
      <c r="AA270" s="41" t="b">
        <f>INDEX(itemPrepMethods, MATCH(K270, itemNames, 0))="soak"</f>
        <v>0</v>
      </c>
      <c r="AB270" s="55" t="str">
        <f>IF(AA270, Q270, "")</f>
        <v/>
      </c>
      <c r="AC270" s="55" t="str">
        <f>IF(AA270, IF(L270 = "", "", L270), "")</f>
        <v/>
      </c>
      <c r="AD270" s="55" t="str">
        <f>IF(AA270, K270, "")</f>
        <v/>
      </c>
    </row>
    <row r="271" spans="1:30" x14ac:dyDescent="0.25">
      <c r="A271" s="115"/>
      <c r="B271" s="115"/>
      <c r="C271" s="115"/>
      <c r="D271" s="115"/>
      <c r="I271" s="44"/>
      <c r="W271" s="71"/>
      <c r="X271" s="71"/>
      <c r="Y271" s="71"/>
      <c r="Z271" s="71"/>
      <c r="AB271" s="71"/>
      <c r="AC271" s="71"/>
      <c r="AD271" s="71"/>
    </row>
    <row r="272" spans="1:30" x14ac:dyDescent="0.25">
      <c r="A272" s="115" t="s">
        <v>266</v>
      </c>
      <c r="B272" s="115"/>
      <c r="C272" s="115"/>
      <c r="D272" s="115"/>
      <c r="I272" s="44"/>
      <c r="W272" s="71"/>
      <c r="X272" s="71"/>
      <c r="Y272" s="71"/>
      <c r="Z272" s="71"/>
      <c r="AB272" s="71"/>
      <c r="AC272" s="71"/>
      <c r="AD272" s="71"/>
    </row>
    <row r="273" spans="1:30" x14ac:dyDescent="0.25">
      <c r="A273" s="115"/>
      <c r="B273" s="115"/>
      <c r="C273" s="115"/>
      <c r="D273" s="115"/>
      <c r="I273" s="44"/>
      <c r="W273" s="71"/>
      <c r="X273" s="71"/>
      <c r="Y273" s="71"/>
      <c r="Z273" s="71"/>
      <c r="AB273" s="71"/>
      <c r="AC273" s="71"/>
      <c r="AD273" s="71"/>
    </row>
    <row r="274" spans="1:30" x14ac:dyDescent="0.25">
      <c r="A274" s="115" t="s">
        <v>267</v>
      </c>
      <c r="B274" s="115"/>
      <c r="C274" s="115"/>
      <c r="D274" s="115"/>
      <c r="I274" s="44"/>
      <c r="W274" s="71"/>
      <c r="X274" s="71"/>
      <c r="Y274" s="71"/>
      <c r="Z274" s="71"/>
      <c r="AB274" s="71"/>
      <c r="AC274" s="71"/>
      <c r="AD274" s="71"/>
    </row>
    <row r="275" spans="1:30" x14ac:dyDescent="0.25">
      <c r="A275" s="37" t="s">
        <v>21</v>
      </c>
      <c r="B275" s="49">
        <f t="shared" si="220"/>
        <v>0.75</v>
      </c>
      <c r="C275" s="36" t="str">
        <f t="shared" si="221"/>
        <v>kg</v>
      </c>
      <c r="D275" s="37" t="str">
        <f>_xlfn.CONCAT(K275, U275)</f>
        <v>blocks tofu, cut into small cubes</v>
      </c>
      <c r="I275" s="51">
        <v>1</v>
      </c>
      <c r="J275" s="52" t="s">
        <v>12</v>
      </c>
      <c r="K275" s="52" t="s">
        <v>261</v>
      </c>
      <c r="L275" s="53" t="s">
        <v>12</v>
      </c>
      <c r="M275" s="44">
        <f t="shared" si="222"/>
        <v>0</v>
      </c>
      <c r="N275" s="44">
        <f t="shared" si="223"/>
        <v>0</v>
      </c>
      <c r="O275" s="44">
        <f t="shared" si="224"/>
        <v>1</v>
      </c>
      <c r="P275" s="44">
        <f t="shared" si="225"/>
        <v>0</v>
      </c>
      <c r="Q275" s="44">
        <f>MROUND(IF(AND(J275 = "", L275 = ""), I275 * recipe07DayScale, IF(ISNA(CONVERT(O275, "kg", L275)), CONVERT(P275 * recipe07DayScale, "l", L275), CONVERT(O275 * recipe07DayScale, "kg", L275))), roundTo)</f>
        <v>0.75</v>
      </c>
      <c r="R275" s="44">
        <f>recipe07TotScale * IF(L275 = "", Q275 * M275, IF(ISNA(CONVERT(Q275, L275, "kg")), CONVERT(Q275, L275, "l") * IF(N275 &lt;&gt; 0, M275 / N275, 0), CONVERT(Q275, L275, "kg")))</f>
        <v>0.75</v>
      </c>
      <c r="S275" s="44">
        <f>recipe07TotScale * IF(R275 = 0, IF(L275 = "", Q275 * N275, IF(ISNA(CONVERT(Q275, L275, "l")), CONVERT(Q275, L275, "kg") * IF(M275 &lt;&gt; 0, N275 / M275, 0), CONVERT(Q275, L275, "l"))), 0)</f>
        <v>0</v>
      </c>
      <c r="T275" s="44">
        <f>recipe07TotScale * IF(AND(R275 = 0, S275 = 0, J275 = "", L275 = ""), Q275, 0)</f>
        <v>0</v>
      </c>
      <c r="V275" s="41" t="b">
        <f>INDEX(itemPrepMethods, MATCH(K275, itemNames, 0))="chop"</f>
        <v>1</v>
      </c>
      <c r="W275" s="54">
        <f>IF(V275, Q275, "")</f>
        <v>0.75</v>
      </c>
      <c r="X275" s="55" t="str">
        <f>IF(V275, IF(L275 = "", "", L275), "")</f>
        <v>kg</v>
      </c>
      <c r="Y275" s="55" t="str">
        <f>IF(V275, K275, "")</f>
        <v>blocks tofu, cut into small cubes</v>
      </c>
      <c r="Z275" s="56"/>
      <c r="AA275" s="41" t="b">
        <f>INDEX(itemPrepMethods, MATCH(K275, itemNames, 0))="soak"</f>
        <v>0</v>
      </c>
      <c r="AB275" s="55" t="str">
        <f>IF(AA275, Q275, "")</f>
        <v/>
      </c>
      <c r="AC275" s="55" t="str">
        <f>IF(AA275, IF(L275 = "", "", L275), "")</f>
        <v/>
      </c>
      <c r="AD275" s="55" t="str">
        <f>IF(AA275, K275, "")</f>
        <v/>
      </c>
    </row>
    <row r="276" spans="1:30" x14ac:dyDescent="0.25">
      <c r="B276" s="49"/>
      <c r="I276" s="51"/>
      <c r="J276" s="52"/>
      <c r="K276" s="52"/>
      <c r="L276" s="53"/>
      <c r="W276" s="71"/>
      <c r="X276" s="71"/>
      <c r="Y276" s="71"/>
      <c r="Z276" s="71"/>
      <c r="AB276" s="71"/>
      <c r="AC276" s="71"/>
      <c r="AD276" s="71"/>
    </row>
    <row r="277" spans="1:30" x14ac:dyDescent="0.25">
      <c r="A277" s="115" t="s">
        <v>268</v>
      </c>
      <c r="B277" s="115"/>
      <c r="C277" s="115"/>
      <c r="D277" s="115"/>
      <c r="I277" s="51"/>
      <c r="J277" s="52"/>
      <c r="K277" s="52"/>
      <c r="L277" s="53"/>
      <c r="W277" s="71"/>
      <c r="X277" s="71"/>
      <c r="Y277" s="71"/>
      <c r="Z277" s="71"/>
      <c r="AB277" s="71"/>
      <c r="AC277" s="71"/>
      <c r="AD277" s="71"/>
    </row>
    <row r="278" spans="1:30" x14ac:dyDescent="0.25">
      <c r="A278" s="37" t="s">
        <v>21</v>
      </c>
      <c r="B278" s="58">
        <f t="shared" si="220"/>
        <v>46.75</v>
      </c>
      <c r="C278" s="88" t="str">
        <f t="shared" si="221"/>
        <v>g</v>
      </c>
      <c r="D278" s="99" t="str">
        <f>_xlfn.CONCAT(K278, U278)</f>
        <v>wakame, then drain and set aside</v>
      </c>
      <c r="I278" s="51">
        <v>70</v>
      </c>
      <c r="J278" s="52" t="s">
        <v>0</v>
      </c>
      <c r="K278" s="52" t="s">
        <v>56</v>
      </c>
      <c r="L278" s="53" t="s">
        <v>0</v>
      </c>
      <c r="M278" s="44">
        <f t="shared" si="222"/>
        <v>0</v>
      </c>
      <c r="N278" s="44">
        <f t="shared" si="223"/>
        <v>0</v>
      </c>
      <c r="O278" s="44">
        <f t="shared" si="224"/>
        <v>7.0000000000000007E-2</v>
      </c>
      <c r="P278" s="44">
        <f t="shared" si="225"/>
        <v>0</v>
      </c>
      <c r="Q278" s="44">
        <f>MROUND(IF(AND(J278 = "", L278 = ""), I278 * recipe07DayScale, IF(ISNA(CONVERT(O278, "kg", L278)), CONVERT(P278 * recipe07DayScale, "l", L278), CONVERT(O278 * recipe07DayScale, "kg", L278))), roundTo)</f>
        <v>46.75</v>
      </c>
      <c r="R278" s="44">
        <f>recipe07TotScale * IF(L278 = "", Q278 * M278, IF(ISNA(CONVERT(Q278, L278, "kg")), CONVERT(Q278, L278, "l") * IF(N278 &lt;&gt; 0, M278 / N278, 0), CONVERT(Q278, L278, "kg")))</f>
        <v>4.675E-2</v>
      </c>
      <c r="S278" s="44">
        <f>recipe07TotScale * IF(R278 = 0, IF(L278 = "", Q278 * N278, IF(ISNA(CONVERT(Q278, L278, "l")), CONVERT(Q278, L278, "kg") * IF(M278 &lt;&gt; 0, N278 / M278, 0), CONVERT(Q278, L278, "l"))), 0)</f>
        <v>0</v>
      </c>
      <c r="T278" s="44">
        <f>recipe07TotScale * IF(AND(R278 = 0, S278 = 0, J278 = "", L278 = ""), Q278, 0)</f>
        <v>0</v>
      </c>
      <c r="U278" s="41" t="s">
        <v>269</v>
      </c>
      <c r="V278" s="41" t="b">
        <f>INDEX(itemPrepMethods, MATCH(K278, itemNames, 0))="chop"</f>
        <v>0</v>
      </c>
      <c r="W278" s="54" t="str">
        <f>IF(V278, Q278, "")</f>
        <v/>
      </c>
      <c r="X278" s="55" t="str">
        <f>IF(V278, IF(L278 = "", "", L278), "")</f>
        <v/>
      </c>
      <c r="Y278" s="55" t="str">
        <f>IF(V278, K278, "")</f>
        <v/>
      </c>
      <c r="Z278" s="56"/>
      <c r="AA278" s="41" t="b">
        <f>INDEX(itemPrepMethods, MATCH(K278, itemNames, 0))="soak"</f>
        <v>0</v>
      </c>
      <c r="AB278" s="55" t="str">
        <f>IF(AA278, Q278, "")</f>
        <v/>
      </c>
      <c r="AC278" s="55" t="str">
        <f>IF(AA278, IF(L278 = "", "", L278), "")</f>
        <v/>
      </c>
      <c r="AD278" s="55" t="str">
        <f>IF(AA278, K278, "")</f>
        <v/>
      </c>
    </row>
    <row r="279" spans="1:30" x14ac:dyDescent="0.25">
      <c r="A279" s="115"/>
      <c r="B279" s="115"/>
      <c r="C279" s="115"/>
      <c r="D279" s="115"/>
      <c r="I279" s="44"/>
      <c r="W279" s="71"/>
      <c r="X279" s="71"/>
      <c r="Y279" s="71"/>
      <c r="Z279" s="71"/>
      <c r="AB279" s="71"/>
      <c r="AC279" s="71"/>
      <c r="AD279" s="71"/>
    </row>
    <row r="280" spans="1:30" x14ac:dyDescent="0.25">
      <c r="A280" s="115" t="s">
        <v>270</v>
      </c>
      <c r="B280" s="115"/>
      <c r="C280" s="115"/>
      <c r="D280" s="115"/>
      <c r="I280" s="44"/>
      <c r="W280" s="71"/>
      <c r="X280" s="71"/>
      <c r="Y280" s="71"/>
      <c r="Z280" s="71"/>
      <c r="AB280" s="71"/>
      <c r="AC280" s="71"/>
      <c r="AD280" s="71"/>
    </row>
    <row r="281" spans="1:30" x14ac:dyDescent="0.25">
      <c r="A281" s="37" t="s">
        <v>21</v>
      </c>
      <c r="B281" s="49">
        <f t="shared" si="220"/>
        <v>3.25</v>
      </c>
      <c r="C281" s="36" t="str">
        <f t="shared" si="221"/>
        <v>tbs</v>
      </c>
      <c r="D281" s="37" t="str">
        <f>_xlfn.CONCAT(K281, U281)</f>
        <v>miso</v>
      </c>
      <c r="I281" s="51">
        <v>5</v>
      </c>
      <c r="J281" s="52" t="s">
        <v>15</v>
      </c>
      <c r="K281" s="52" t="s">
        <v>57</v>
      </c>
      <c r="L281" s="53" t="s">
        <v>15</v>
      </c>
      <c r="M281" s="44">
        <f t="shared" si="222"/>
        <v>0</v>
      </c>
      <c r="N281" s="44">
        <f t="shared" si="223"/>
        <v>0</v>
      </c>
      <c r="O281" s="44">
        <f t="shared" si="224"/>
        <v>0</v>
      </c>
      <c r="P281" s="44">
        <f t="shared" si="225"/>
        <v>7.3933823906250001E-2</v>
      </c>
      <c r="Q281" s="44">
        <f>MROUND(IF(AND(J281 = "", L281 = ""), I281 * recipe07DayScale, IF(ISNA(CONVERT(O281, "kg", L281)), CONVERT(P281 * recipe07DayScale, "l", L281), CONVERT(O281 * recipe07DayScale, "kg", L281))), roundTo)</f>
        <v>3.25</v>
      </c>
      <c r="R281" s="44">
        <f>recipe07TotScale * IF(L281 = "", Q281 * M281, IF(ISNA(CONVERT(Q281, L281, "kg")), CONVERT(Q281, L281, "l") * IF(N281 &lt;&gt; 0, M281 / N281, 0), CONVERT(Q281, L281, "kg")))</f>
        <v>0</v>
      </c>
      <c r="S281" s="44">
        <f>recipe07TotScale * IF(R281 = 0, IF(L281 = "", Q281 * N281, IF(ISNA(CONVERT(Q281, L281, "l")), CONVERT(Q281, L281, "kg") * IF(M281 &lt;&gt; 0, N281 / M281, 0), CONVERT(Q281, L281, "l"))), 0)</f>
        <v>4.8056985539062499E-2</v>
      </c>
      <c r="T281" s="44">
        <f>recipe07TotScale * IF(AND(R281 = 0, S281 = 0, J281 = "", L281 = ""), Q281, 0)</f>
        <v>0</v>
      </c>
      <c r="V281" s="41" t="b">
        <f>INDEX(itemPrepMethods, MATCH(K281, itemNames, 0))="chop"</f>
        <v>0</v>
      </c>
      <c r="W281" s="54" t="str">
        <f>IF(V281, Q281, "")</f>
        <v/>
      </c>
      <c r="X281" s="55" t="str">
        <f>IF(V281, IF(L281 = "", "", L281), "")</f>
        <v/>
      </c>
      <c r="Y281" s="55" t="str">
        <f>IF(V281, K281, "")</f>
        <v/>
      </c>
      <c r="Z281" s="56"/>
      <c r="AA281" s="41" t="b">
        <f>INDEX(itemPrepMethods, MATCH(K281, itemNames, 0))="soak"</f>
        <v>0</v>
      </c>
      <c r="AB281" s="55" t="str">
        <f>IF(AA281, Q281, "")</f>
        <v/>
      </c>
      <c r="AC281" s="55" t="str">
        <f>IF(AA281, IF(L281 = "", "", L281), "")</f>
        <v/>
      </c>
      <c r="AD281" s="55" t="str">
        <f>IF(AA281, K281, "")</f>
        <v/>
      </c>
    </row>
    <row r="282" spans="1:30" x14ac:dyDescent="0.25">
      <c r="A282" s="115"/>
      <c r="B282" s="115"/>
      <c r="C282" s="115"/>
      <c r="D282" s="115"/>
      <c r="I282" s="44"/>
      <c r="W282" s="64"/>
      <c r="X282" s="64"/>
      <c r="Y282" s="64"/>
      <c r="Z282" s="64"/>
      <c r="AA282" s="64"/>
      <c r="AB282" s="64"/>
      <c r="AC282" s="64"/>
      <c r="AD282" s="64"/>
    </row>
    <row r="283" spans="1:30" x14ac:dyDescent="0.25">
      <c r="A283" s="115" t="s">
        <v>273</v>
      </c>
      <c r="B283" s="115"/>
      <c r="C283" s="115"/>
      <c r="D283" s="115"/>
      <c r="I283" s="44"/>
      <c r="W283" s="64"/>
      <c r="X283" s="64"/>
      <c r="Y283" s="64"/>
      <c r="Z283" s="64"/>
      <c r="AA283" s="64"/>
      <c r="AB283" s="64"/>
      <c r="AC283" s="64"/>
      <c r="AD283" s="64"/>
    </row>
    <row r="284" spans="1:30" x14ac:dyDescent="0.25">
      <c r="A284" s="37" t="s">
        <v>21</v>
      </c>
      <c r="D284" s="37" t="str">
        <f>_xlfn.CONCAT(K284, U284)</f>
        <v>miso broth</v>
      </c>
      <c r="I284" s="44"/>
      <c r="U284" s="43" t="s">
        <v>271</v>
      </c>
      <c r="V284" s="64"/>
      <c r="W284" s="64"/>
      <c r="X284" s="64"/>
      <c r="Y284" s="64"/>
      <c r="Z284" s="64"/>
      <c r="AA284" s="64"/>
      <c r="AB284" s="64"/>
      <c r="AC284" s="64"/>
      <c r="AD284" s="64"/>
    </row>
    <row r="285" spans="1:30" x14ac:dyDescent="0.25">
      <c r="A285" s="37" t="s">
        <v>21</v>
      </c>
      <c r="D285" s="37" t="str">
        <f>_xlfn.CONCAT(K285, U285)</f>
        <v>soaked wakame</v>
      </c>
      <c r="I285" s="44"/>
      <c r="U285" s="43" t="s">
        <v>272</v>
      </c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 ht="15.75" x14ac:dyDescent="0.25">
      <c r="A286" s="117" t="s">
        <v>33</v>
      </c>
      <c r="B286" s="117"/>
      <c r="C286" s="117"/>
      <c r="D286" s="117"/>
      <c r="E286" s="39" t="s">
        <v>136</v>
      </c>
      <c r="F286" s="102"/>
      <c r="G286" s="102"/>
      <c r="H286" s="44"/>
    </row>
    <row r="287" spans="1:30" ht="24" x14ac:dyDescent="0.2">
      <c r="A287" s="117" t="s">
        <v>275</v>
      </c>
      <c r="B287" s="117"/>
      <c r="C287" s="117"/>
      <c r="D287" s="117"/>
      <c r="E287" s="39" t="s">
        <v>53</v>
      </c>
      <c r="F287" s="87">
        <v>10</v>
      </c>
      <c r="G287" s="44"/>
      <c r="H287" s="44"/>
      <c r="I287" s="67" t="s">
        <v>434</v>
      </c>
      <c r="J287" s="68" t="s">
        <v>435</v>
      </c>
      <c r="K287" s="68" t="s">
        <v>17</v>
      </c>
      <c r="L287" s="69" t="s">
        <v>438</v>
      </c>
      <c r="M287" s="67" t="s">
        <v>141</v>
      </c>
      <c r="N287" s="67" t="s">
        <v>142</v>
      </c>
      <c r="O287" s="67" t="s">
        <v>436</v>
      </c>
      <c r="P287" s="67" t="s">
        <v>437</v>
      </c>
      <c r="Q287" s="68" t="s">
        <v>353</v>
      </c>
      <c r="R287" s="67" t="s">
        <v>354</v>
      </c>
      <c r="S287" s="67" t="s">
        <v>355</v>
      </c>
      <c r="T287" s="67" t="s">
        <v>356</v>
      </c>
      <c r="U287" s="68" t="s">
        <v>22</v>
      </c>
      <c r="V287" s="68" t="s">
        <v>202</v>
      </c>
      <c r="W287" s="70" t="s">
        <v>353</v>
      </c>
      <c r="X287" s="68" t="s">
        <v>200</v>
      </c>
      <c r="Y287" s="68" t="s">
        <v>201</v>
      </c>
      <c r="Z287" s="68" t="s">
        <v>302</v>
      </c>
      <c r="AA287" s="68" t="s">
        <v>203</v>
      </c>
      <c r="AB287" s="70" t="s">
        <v>353</v>
      </c>
      <c r="AC287" s="68" t="s">
        <v>204</v>
      </c>
      <c r="AD287" s="68" t="s">
        <v>205</v>
      </c>
    </row>
    <row r="288" spans="1:30" ht="13.5" thickBot="1" x14ac:dyDescent="0.3">
      <c r="A288" s="118" t="str">
        <f>_xlfn.CONCAT(F288," servings")</f>
        <v>10 servings</v>
      </c>
      <c r="B288" s="118"/>
      <c r="C288" s="118"/>
      <c r="D288" s="118"/>
      <c r="E288" s="63" t="s">
        <v>348</v>
      </c>
      <c r="F288" s="87">
        <f>weLuCount</f>
        <v>10</v>
      </c>
      <c r="G288" s="44"/>
      <c r="H288" s="44"/>
    </row>
    <row r="289" spans="1:30" s="102" customFormat="1" ht="15.75" thickBot="1" x14ac:dyDescent="0.3">
      <c r="A289" s="115"/>
      <c r="B289" s="115"/>
      <c r="C289" s="115"/>
      <c r="D289" s="115"/>
      <c r="E289" s="63" t="s">
        <v>351</v>
      </c>
      <c r="F289" s="47">
        <f>F288/F287</f>
        <v>1</v>
      </c>
      <c r="G289" s="48" t="s">
        <v>375</v>
      </c>
      <c r="H289" s="44"/>
      <c r="I289" s="42"/>
      <c r="L289" s="43"/>
      <c r="M289" s="44"/>
      <c r="N289" s="44"/>
      <c r="O289" s="44"/>
      <c r="P289" s="44"/>
      <c r="Q289" s="44"/>
      <c r="R289" s="44"/>
      <c r="S289" s="44"/>
      <c r="T289" s="44"/>
      <c r="W289" s="45"/>
      <c r="Z289" s="46"/>
    </row>
    <row r="290" spans="1:30" x14ac:dyDescent="0.25">
      <c r="A290" s="119" t="s">
        <v>276</v>
      </c>
      <c r="B290" s="119"/>
      <c r="C290" s="119"/>
      <c r="D290" s="119"/>
      <c r="E290" s="64"/>
      <c r="F290" s="64"/>
      <c r="G290" s="64"/>
      <c r="H290" s="44"/>
    </row>
    <row r="291" spans="1:30" ht="15.75" thickBot="1" x14ac:dyDescent="0.3">
      <c r="A291" s="115"/>
      <c r="B291" s="115"/>
      <c r="C291" s="115"/>
      <c r="D291" s="115"/>
      <c r="E291" s="63" t="s">
        <v>327</v>
      </c>
      <c r="F291" s="87">
        <f>weLuCount</f>
        <v>10</v>
      </c>
      <c r="G291" s="64"/>
      <c r="I291" s="44"/>
      <c r="W291" s="64"/>
      <c r="X291" s="64"/>
      <c r="Y291" s="64"/>
      <c r="Z291" s="64"/>
      <c r="AA291" s="64"/>
      <c r="AB291" s="64"/>
      <c r="AC291" s="64"/>
      <c r="AD291" s="64"/>
    </row>
    <row r="292" spans="1:30" ht="15.75" thickBot="1" x14ac:dyDescent="0.3">
      <c r="A292" s="115" t="s">
        <v>294</v>
      </c>
      <c r="B292" s="115"/>
      <c r="C292" s="115"/>
      <c r="D292" s="115"/>
      <c r="E292" s="63" t="s">
        <v>352</v>
      </c>
      <c r="F292" s="47">
        <f>F291/F288</f>
        <v>1</v>
      </c>
      <c r="G292" s="48" t="s">
        <v>376</v>
      </c>
      <c r="H292" s="44"/>
      <c r="W292" s="64"/>
      <c r="X292" s="64"/>
      <c r="Y292" s="64"/>
      <c r="Z292" s="64"/>
      <c r="AA292" s="64"/>
      <c r="AB292" s="64"/>
      <c r="AC292" s="64"/>
      <c r="AD292" s="64"/>
    </row>
    <row r="293" spans="1:30" x14ac:dyDescent="0.25">
      <c r="A293" s="37" t="s">
        <v>21</v>
      </c>
      <c r="B293" s="49">
        <f t="shared" ref="B293" si="226">Q293</f>
        <v>2</v>
      </c>
      <c r="C293" s="36" t="str">
        <f t="shared" ref="C293" si="227">IF(L293="","",L293)</f>
        <v>cup</v>
      </c>
      <c r="D293" s="37" t="str">
        <f>_xlfn.CONCAT(K293, U293)</f>
        <v>dried brown lentils</v>
      </c>
      <c r="I293" s="51">
        <v>2</v>
      </c>
      <c r="J293" s="52" t="s">
        <v>16</v>
      </c>
      <c r="K293" s="52" t="s">
        <v>277</v>
      </c>
      <c r="L293" s="53" t="s">
        <v>16</v>
      </c>
      <c r="M293" s="44">
        <f t="shared" ref="M293" si="228">INDEX(itemGPerQty, MATCH(K293, itemNames, 0))</f>
        <v>0</v>
      </c>
      <c r="N293" s="44">
        <f t="shared" ref="N293" si="229">INDEX(itemMlPerQty, MATCH(K293, itemNames, 0))</f>
        <v>0</v>
      </c>
      <c r="O293" s="44">
        <f t="shared" ref="O293" si="230">IF(J293 = "", I293 * M293, IF(ISNA(CONVERT(I293, J293, "kg")), CONVERT(I293, J293, "l") * IF(N293 &lt;&gt; 0, M293 / N293, 0), CONVERT(I293, J293, "kg")))</f>
        <v>0</v>
      </c>
      <c r="P293" s="44">
        <f t="shared" ref="P293" si="231">IF(J293 = "", I293 * N293, IF(ISNA(CONVERT(I293, J293, "l")), CONVERT(I293, J293, "kg") * IF(M293 &lt;&gt; 0, N293 / M293, 0), CONVERT(I293, J293, "l")))</f>
        <v>0.47317647299999999</v>
      </c>
      <c r="Q293" s="44">
        <f>MROUND(IF(AND(J293 = "", L293 = ""), I293 * recipe12DayScale, IF(ISNA(CONVERT(O293, "kg", L293)), CONVERT(P293 * recipe12DayScale, "l", L293), CONVERT(O293 * recipe12DayScale, "kg", L293))), roundTo)</f>
        <v>2</v>
      </c>
      <c r="R293" s="44">
        <f>recipe12TotScale * IF(L293 = "", Q293 * M293, IF(ISNA(CONVERT(Q293, L293, "kg")), CONVERT(Q293, L293, "l") * IF(N293 &lt;&gt; 0, M293 / N293, 0), CONVERT(Q293, L293, "kg")))</f>
        <v>0</v>
      </c>
      <c r="S293" s="44">
        <f>recipe12TotScale * IF(R293 = 0, IF(L293 = "", Q293 * N293, IF(ISNA(CONVERT(Q293, L293, "l")), CONVERT(Q293, L293, "kg") * IF(M293 &lt;&gt; 0, N293 / M293, 0), CONVERT(Q293, L293, "l"))), 0)</f>
        <v>0.47317647299999999</v>
      </c>
      <c r="T293" s="44">
        <f>recipe12TotScale * IF(AND(R293 = 0, S293 = 0, J293 = "", L293 = ""), Q293, 0)</f>
        <v>0</v>
      </c>
      <c r="V293" s="41" t="b">
        <f>INDEX(itemPrepMethods, MATCH(K293, itemNames, 0))="chop"</f>
        <v>0</v>
      </c>
      <c r="W293" s="54" t="str">
        <f>IF(V293, Q293, "")</f>
        <v/>
      </c>
      <c r="X293" s="55" t="str">
        <f>IF(V293, IF(L293 = "", "", L293), "")</f>
        <v/>
      </c>
      <c r="Y293" s="55" t="str">
        <f>IF(V293, K293, "")</f>
        <v/>
      </c>
      <c r="Z293" s="56"/>
      <c r="AA293" s="41" t="b">
        <f>INDEX(itemPrepMethods, MATCH(K293, itemNames, 0))="soak"</f>
        <v>0</v>
      </c>
      <c r="AB293" s="55" t="str">
        <f>IF(AA293, Q293, "")</f>
        <v/>
      </c>
      <c r="AC293" s="55" t="str">
        <f>IF(AA293, IF(L293 = "", "", L293), "")</f>
        <v/>
      </c>
      <c r="AD293" s="55" t="str">
        <f>IF(AA293, K293, "")</f>
        <v/>
      </c>
    </row>
    <row r="294" spans="1:30" x14ac:dyDescent="0.25">
      <c r="A294" s="37" t="s">
        <v>21</v>
      </c>
      <c r="B294" s="49">
        <f t="shared" ref="B294" si="232">Q294</f>
        <v>8</v>
      </c>
      <c r="C294" s="36" t="str">
        <f t="shared" ref="C294" si="233">IF(L294="","",L294)</f>
        <v/>
      </c>
      <c r="D294" s="37" t="str">
        <f>_xlfn.CONCAT(K294, U294)</f>
        <v>chopped potatoes</v>
      </c>
      <c r="I294" s="51">
        <v>8</v>
      </c>
      <c r="J294" s="52"/>
      <c r="K294" s="52" t="s">
        <v>4</v>
      </c>
      <c r="L294" s="53"/>
      <c r="M294" s="44">
        <f t="shared" ref="M294" si="234">INDEX(itemGPerQty, MATCH(K294, itemNames, 0))</f>
        <v>0.22500000000000001</v>
      </c>
      <c r="N294" s="44">
        <f t="shared" ref="N294" si="235">INDEX(itemMlPerQty, MATCH(K294, itemNames, 0))</f>
        <v>0.33750000000000002</v>
      </c>
      <c r="O294" s="44">
        <f t="shared" ref="O294" si="236">IF(J294 = "", I294 * M294, IF(ISNA(CONVERT(I294, J294, "kg")), CONVERT(I294, J294, "l") * IF(N294 &lt;&gt; 0, M294 / N294, 0), CONVERT(I294, J294, "kg")))</f>
        <v>1.8</v>
      </c>
      <c r="P294" s="44">
        <f t="shared" ref="P294" si="237">IF(J294 = "", I294 * N294, IF(ISNA(CONVERT(I294, J294, "l")), CONVERT(I294, J294, "kg") * IF(M294 &lt;&gt; 0, N294 / M294, 0), CONVERT(I294, J294, "l")))</f>
        <v>2.7</v>
      </c>
      <c r="Q294" s="44">
        <f>MROUND(IF(AND(J294 = "", L294 = ""), I294 * recipe12DayScale, IF(ISNA(CONVERT(O294, "kg", L294)), CONVERT(P294 * recipe12DayScale, "l", L294), CONVERT(O294 * recipe12DayScale, "kg", L294))), roundTo)</f>
        <v>8</v>
      </c>
      <c r="R294" s="44">
        <f>recipe12TotScale * IF(L294 = "", Q294 * M294, IF(ISNA(CONVERT(Q294, L294, "kg")), CONVERT(Q294, L294, "l") * IF(N294 &lt;&gt; 0, M294 / N294, 0), CONVERT(Q294, L294, "kg")))</f>
        <v>1.8</v>
      </c>
      <c r="S294" s="44">
        <f>recipe12TotScale * IF(R294 = 0, IF(L294 = "", Q294 * N294, IF(ISNA(CONVERT(Q294, L294, "l")), CONVERT(Q294, L294, "kg") * IF(M294 &lt;&gt; 0, N294 / M294, 0), CONVERT(Q294, L294, "l"))), 0)</f>
        <v>0</v>
      </c>
      <c r="T294" s="44">
        <f>recipe12TotScale * IF(AND(R294 = 0, S294 = 0, J294 = "", L294 = ""), Q294, 0)</f>
        <v>0</v>
      </c>
      <c r="V294" s="41" t="b">
        <f>INDEX(itemPrepMethods, MATCH(K294, itemNames, 0))="chop"</f>
        <v>1</v>
      </c>
      <c r="W294" s="54">
        <f>IF(V294, Q294, "")</f>
        <v>8</v>
      </c>
      <c r="X294" s="55" t="str">
        <f>IF(V294, IF(L294 = "", "", L294), "")</f>
        <v/>
      </c>
      <c r="Y294" s="55" t="str">
        <f>IF(V294, K294, "")</f>
        <v>chopped potatoes</v>
      </c>
      <c r="Z294" s="56"/>
      <c r="AA294" s="41" t="b">
        <f>INDEX(itemPrepMethods, MATCH(K294, itemNames, 0))="soak"</f>
        <v>0</v>
      </c>
      <c r="AB294" s="55" t="str">
        <f>IF(AA294, Q294, "")</f>
        <v/>
      </c>
      <c r="AC294" s="55" t="str">
        <f>IF(AA294, IF(L294 = "", "", L294), "")</f>
        <v/>
      </c>
      <c r="AD294" s="55" t="str">
        <f>IF(AA294, K294, "")</f>
        <v/>
      </c>
    </row>
    <row r="295" spans="1:30" x14ac:dyDescent="0.25">
      <c r="A295" s="115"/>
      <c r="B295" s="115"/>
      <c r="C295" s="115"/>
      <c r="D295" s="115"/>
      <c r="I295" s="44"/>
      <c r="W295" s="71"/>
      <c r="X295" s="72"/>
      <c r="Y295" s="72"/>
      <c r="Z295" s="73"/>
      <c r="AA295" s="64"/>
      <c r="AB295" s="71"/>
      <c r="AC295" s="71"/>
      <c r="AD295" s="71"/>
    </row>
    <row r="296" spans="1:30" x14ac:dyDescent="0.25">
      <c r="A296" s="115" t="s">
        <v>278</v>
      </c>
      <c r="B296" s="115"/>
      <c r="C296" s="115"/>
      <c r="D296" s="115"/>
      <c r="E296" s="40"/>
      <c r="F296" s="57"/>
      <c r="G296" s="57"/>
      <c r="H296" s="44"/>
      <c r="W296" s="71"/>
      <c r="X296" s="72"/>
      <c r="Y296" s="72"/>
      <c r="Z296" s="73"/>
      <c r="AA296" s="64"/>
      <c r="AB296" s="71"/>
      <c r="AC296" s="71"/>
      <c r="AD296" s="71"/>
    </row>
    <row r="297" spans="1:30" x14ac:dyDescent="0.25">
      <c r="A297" s="37" t="s">
        <v>21</v>
      </c>
      <c r="B297" s="49">
        <f t="shared" ref="B297:B298" si="238">Q297</f>
        <v>4</v>
      </c>
      <c r="C297" s="36" t="str">
        <f t="shared" ref="C297:C298" si="239">IF(L297="","",L297)</f>
        <v/>
      </c>
      <c r="D297" s="37" t="str">
        <f>_xlfn.CONCAT(K297, U297)</f>
        <v>diced carrots</v>
      </c>
      <c r="I297" s="51">
        <v>4</v>
      </c>
      <c r="J297" s="52"/>
      <c r="K297" s="52" t="s">
        <v>96</v>
      </c>
      <c r="L297" s="53"/>
      <c r="M297" s="44">
        <f t="shared" ref="M297:M298" si="240">INDEX(itemGPerQty, MATCH(K297, itemNames, 0))</f>
        <v>0</v>
      </c>
      <c r="N297" s="44">
        <f t="shared" ref="N297:N298" si="241">INDEX(itemMlPerQty, MATCH(K297, itemNames, 0))</f>
        <v>0</v>
      </c>
      <c r="O297" s="44">
        <f t="shared" ref="O297:O298" si="242">IF(J297 = "", I297 * M297, IF(ISNA(CONVERT(I297, J297, "kg")), CONVERT(I297, J297, "l") * IF(N297 &lt;&gt; 0, M297 / N297, 0), CONVERT(I297, J297, "kg")))</f>
        <v>0</v>
      </c>
      <c r="P297" s="44">
        <f t="shared" ref="P297:P298" si="243">IF(J297 = "", I297 * N297, IF(ISNA(CONVERT(I297, J297, "l")), CONVERT(I297, J297, "kg") * IF(M297 &lt;&gt; 0, N297 / M297, 0), CONVERT(I297, J297, "l")))</f>
        <v>0</v>
      </c>
      <c r="Q297" s="44">
        <f>MROUND(IF(AND(J297 = "", L297 = ""), I297 * recipe12DayScale, IF(ISNA(CONVERT(O297, "kg", L297)), CONVERT(P297 * recipe12DayScale, "l", L297), CONVERT(O297 * recipe12DayScale, "kg", L297))), roundTo)</f>
        <v>4</v>
      </c>
      <c r="R297" s="44">
        <f>recipe12TotScale * IF(L297 = "", Q297 * M297, IF(ISNA(CONVERT(Q297, L297, "kg")), CONVERT(Q297, L297, "l") * IF(N297 &lt;&gt; 0, M297 / N297, 0), CONVERT(Q297, L297, "kg")))</f>
        <v>0</v>
      </c>
      <c r="S297" s="44">
        <f>recipe12TotScale * IF(R297 = 0, IF(L297 = "", Q297 * N297, IF(ISNA(CONVERT(Q297, L297, "l")), CONVERT(Q297, L297, "kg") * IF(M297 &lt;&gt; 0, N297 / M297, 0), CONVERT(Q297, L297, "l"))), 0)</f>
        <v>0</v>
      </c>
      <c r="T297" s="44">
        <f>recipe12TotScale * IF(AND(R297 = 0, S297 = 0, J297 = "", L297 = ""), Q297, 0)</f>
        <v>4</v>
      </c>
      <c r="V297" s="41" t="b">
        <f>INDEX(itemPrepMethods, MATCH(K297, itemNames, 0))="chop"</f>
        <v>1</v>
      </c>
      <c r="W297" s="54">
        <f>IF(V297, Q297, "")</f>
        <v>4</v>
      </c>
      <c r="X297" s="55" t="str">
        <f>IF(V297, IF(L297 = "", "", L297), "")</f>
        <v/>
      </c>
      <c r="Y297" s="55" t="str">
        <f>IF(V297, K297, "")</f>
        <v>diced carrots</v>
      </c>
      <c r="Z297" s="56"/>
      <c r="AA297" s="41" t="b">
        <f>INDEX(itemPrepMethods, MATCH(K297, itemNames, 0))="soak"</f>
        <v>0</v>
      </c>
      <c r="AB297" s="55" t="str">
        <f>IF(AA297, Q297, "")</f>
        <v/>
      </c>
      <c r="AC297" s="55" t="str">
        <f>IF(AA297, IF(L297 = "", "", L297), "")</f>
        <v/>
      </c>
      <c r="AD297" s="55" t="str">
        <f>IF(AA297, K297, "")</f>
        <v/>
      </c>
    </row>
    <row r="298" spans="1:30" x14ac:dyDescent="0.25">
      <c r="A298" s="37" t="s">
        <v>21</v>
      </c>
      <c r="B298" s="49">
        <f t="shared" si="238"/>
        <v>4</v>
      </c>
      <c r="C298" s="36" t="str">
        <f t="shared" si="239"/>
        <v/>
      </c>
      <c r="D298" s="37" t="str">
        <f>_xlfn.CONCAT(K298, U298)</f>
        <v>diced celery stalks</v>
      </c>
      <c r="I298" s="51">
        <v>4</v>
      </c>
      <c r="J298" s="52"/>
      <c r="K298" s="52" t="s">
        <v>97</v>
      </c>
      <c r="L298" s="53"/>
      <c r="M298" s="44">
        <f t="shared" si="240"/>
        <v>0</v>
      </c>
      <c r="N298" s="44">
        <f t="shared" si="241"/>
        <v>0</v>
      </c>
      <c r="O298" s="44">
        <f t="shared" si="242"/>
        <v>0</v>
      </c>
      <c r="P298" s="44">
        <f t="shared" si="243"/>
        <v>0</v>
      </c>
      <c r="Q298" s="44">
        <f>MROUND(IF(AND(J298 = "", L298 = ""), I298 * recipe12DayScale, IF(ISNA(CONVERT(O298, "kg", L298)), CONVERT(P298 * recipe12DayScale, "l", L298), CONVERT(O298 * recipe12DayScale, "kg", L298))), roundTo)</f>
        <v>4</v>
      </c>
      <c r="R298" s="44">
        <f>recipe12TotScale * IF(L298 = "", Q298 * M298, IF(ISNA(CONVERT(Q298, L298, "kg")), CONVERT(Q298, L298, "l") * IF(N298 &lt;&gt; 0, M298 / N298, 0), CONVERT(Q298, L298, "kg")))</f>
        <v>0</v>
      </c>
      <c r="S298" s="44">
        <f>recipe12TotScale * IF(R298 = 0, IF(L298 = "", Q298 * N298, IF(ISNA(CONVERT(Q298, L298, "l")), CONVERT(Q298, L298, "kg") * IF(M298 &lt;&gt; 0, N298 / M298, 0), CONVERT(Q298, L298, "l"))), 0)</f>
        <v>0</v>
      </c>
      <c r="T298" s="44">
        <f>recipe12TotScale * IF(AND(R298 = 0, S298 = 0, J298 = "", L298 = ""), Q298, 0)</f>
        <v>4</v>
      </c>
      <c r="V298" s="41" t="b">
        <f>INDEX(itemPrepMethods, MATCH(K298, itemNames, 0))="chop"</f>
        <v>1</v>
      </c>
      <c r="W298" s="54">
        <f>IF(V298, Q298, "")</f>
        <v>4</v>
      </c>
      <c r="X298" s="55" t="str">
        <f>IF(V298, IF(L298 = "", "", L298), "")</f>
        <v/>
      </c>
      <c r="Y298" s="55" t="str">
        <f>IF(V298, K298, "")</f>
        <v>diced celery stalks</v>
      </c>
      <c r="Z298" s="56"/>
      <c r="AA298" s="41" t="b">
        <f>INDEX(itemPrepMethods, MATCH(K298, itemNames, 0))="soak"</f>
        <v>0</v>
      </c>
      <c r="AB298" s="55" t="str">
        <f>IF(AA298, Q298, "")</f>
        <v/>
      </c>
      <c r="AC298" s="55" t="str">
        <f>IF(AA298, IF(L298 = "", "", L298), "")</f>
        <v/>
      </c>
      <c r="AD298" s="55" t="str">
        <f>IF(AA298, K298, "")</f>
        <v/>
      </c>
    </row>
    <row r="299" spans="1:30" x14ac:dyDescent="0.25">
      <c r="A299" s="37" t="s">
        <v>21</v>
      </c>
      <c r="B299" s="49">
        <f t="shared" ref="B299" si="244">Q299</f>
        <v>1</v>
      </c>
      <c r="C299" s="36" t="str">
        <f t="shared" ref="C299" si="245">IF(L299="","",L299)</f>
        <v>tbs</v>
      </c>
      <c r="D299" s="37" t="str">
        <f>_xlfn.CONCAT(K299, U299)</f>
        <v>dried sage</v>
      </c>
      <c r="I299" s="51">
        <v>1</v>
      </c>
      <c r="J299" s="52" t="s">
        <v>15</v>
      </c>
      <c r="K299" s="52" t="s">
        <v>279</v>
      </c>
      <c r="L299" s="53" t="s">
        <v>15</v>
      </c>
      <c r="M299" s="44">
        <f t="shared" ref="M299" si="246">INDEX(itemGPerQty, MATCH(K299, itemNames, 0))</f>
        <v>0</v>
      </c>
      <c r="N299" s="44">
        <f t="shared" ref="N299" si="247">INDEX(itemMlPerQty, MATCH(K299, itemNames, 0))</f>
        <v>0</v>
      </c>
      <c r="O299" s="44">
        <f t="shared" ref="O299" si="248">IF(J299 = "", I299 * M299, IF(ISNA(CONVERT(I299, J299, "kg")), CONVERT(I299, J299, "l") * IF(N299 &lt;&gt; 0, M299 / N299, 0), CONVERT(I299, J299, "kg")))</f>
        <v>0</v>
      </c>
      <c r="P299" s="44">
        <f t="shared" ref="P299" si="249">IF(J299 = "", I299 * N299, IF(ISNA(CONVERT(I299, J299, "l")), CONVERT(I299, J299, "kg") * IF(M299 &lt;&gt; 0, N299 / M299, 0), CONVERT(I299, J299, "l")))</f>
        <v>1.478676478125E-2</v>
      </c>
      <c r="Q299" s="44">
        <f>MROUND(IF(AND(J299 = "", L299 = ""), I299 * recipe12DayScale, IF(ISNA(CONVERT(O299, "kg", L299)), CONVERT(P299 * recipe12DayScale, "l", L299), CONVERT(O299 * recipe12DayScale, "kg", L299))), roundTo)</f>
        <v>1</v>
      </c>
      <c r="R299" s="44">
        <f>recipe12TotScale * IF(L299 = "", Q299 * M299, IF(ISNA(CONVERT(Q299, L299, "kg")), CONVERT(Q299, L299, "l") * IF(N299 &lt;&gt; 0, M299 / N299, 0), CONVERT(Q299, L299, "kg")))</f>
        <v>0</v>
      </c>
      <c r="S299" s="44">
        <f>recipe12TotScale * IF(R299 = 0, IF(L299 = "", Q299 * N299, IF(ISNA(CONVERT(Q299, L299, "l")), CONVERT(Q299, L299, "kg") * IF(M299 &lt;&gt; 0, N299 / M299, 0), CONVERT(Q299, L299, "l"))), 0)</f>
        <v>1.478676478125E-2</v>
      </c>
      <c r="T299" s="44">
        <f>recipe12TotScale * IF(AND(R299 = 0, S299 = 0, J299 = "", L299 = ""), Q299, 0)</f>
        <v>0</v>
      </c>
      <c r="V299" s="41" t="b">
        <f>INDEX(itemPrepMethods, MATCH(K299, itemNames, 0))="chop"</f>
        <v>0</v>
      </c>
      <c r="W299" s="54" t="str">
        <f>IF(V299, Q299, "")</f>
        <v/>
      </c>
      <c r="X299" s="55" t="str">
        <f>IF(V299, IF(L299 = "", "", L299), "")</f>
        <v/>
      </c>
      <c r="Y299" s="55" t="str">
        <f>IF(V299, K299, "")</f>
        <v/>
      </c>
      <c r="Z299" s="56"/>
      <c r="AA299" s="41" t="b">
        <f>INDEX(itemPrepMethods, MATCH(K299, itemNames, 0))="soak"</f>
        <v>0</v>
      </c>
      <c r="AB299" s="55" t="str">
        <f>IF(AA299, Q299, "")</f>
        <v/>
      </c>
      <c r="AC299" s="55" t="str">
        <f>IF(AA299, IF(L299 = "", "", L299), "")</f>
        <v/>
      </c>
      <c r="AD299" s="55" t="str">
        <f>IF(AA299, K299, "")</f>
        <v/>
      </c>
    </row>
    <row r="300" spans="1:30" x14ac:dyDescent="0.25">
      <c r="A300" s="115"/>
      <c r="B300" s="115"/>
      <c r="C300" s="115"/>
      <c r="D300" s="115"/>
      <c r="I300" s="44"/>
      <c r="W300" s="71"/>
      <c r="X300" s="72"/>
      <c r="Y300" s="72"/>
      <c r="Z300" s="73"/>
      <c r="AA300" s="64"/>
      <c r="AB300" s="71"/>
      <c r="AC300" s="71"/>
      <c r="AD300" s="71"/>
    </row>
    <row r="301" spans="1:30" x14ac:dyDescent="0.25">
      <c r="A301" s="115" t="s">
        <v>283</v>
      </c>
      <c r="B301" s="115"/>
      <c r="C301" s="115"/>
      <c r="D301" s="115"/>
      <c r="E301" s="40"/>
      <c r="F301" s="57"/>
      <c r="G301" s="57"/>
      <c r="H301" s="44"/>
      <c r="W301" s="71"/>
      <c r="X301" s="72"/>
      <c r="Y301" s="72"/>
      <c r="Z301" s="73"/>
      <c r="AA301" s="64"/>
      <c r="AB301" s="71"/>
      <c r="AC301" s="71"/>
      <c r="AD301" s="71"/>
    </row>
    <row r="302" spans="1:30" x14ac:dyDescent="0.25">
      <c r="A302" s="37" t="s">
        <v>21</v>
      </c>
      <c r="B302" s="49">
        <f t="shared" ref="B302" si="250">Q302</f>
        <v>4</v>
      </c>
      <c r="C302" s="36" t="str">
        <f t="shared" ref="C302" si="251">IF(L302="","",L302)</f>
        <v>cup</v>
      </c>
      <c r="D302" s="62" t="str">
        <f>_xlfn.CONCAT(K302, U302)</f>
        <v>tinned pasta sauce</v>
      </c>
      <c r="I302" s="51">
        <v>4</v>
      </c>
      <c r="J302" s="52" t="s">
        <v>16</v>
      </c>
      <c r="K302" s="52" t="s">
        <v>450</v>
      </c>
      <c r="L302" s="53" t="s">
        <v>16</v>
      </c>
      <c r="M302" s="44">
        <f t="shared" ref="M302" si="252">INDEX(itemGPerQty, MATCH(K302, itemNames, 0))</f>
        <v>0</v>
      </c>
      <c r="N302" s="44">
        <f t="shared" ref="N302" si="253">INDEX(itemMlPerQty, MATCH(K302, itemNames, 0))</f>
        <v>0</v>
      </c>
      <c r="O302" s="44">
        <f t="shared" ref="O302" si="254">IF(J302 = "", I302 * M302, IF(ISNA(CONVERT(I302, J302, "kg")), CONVERT(I302, J302, "l") * IF(N302 &lt;&gt; 0, M302 / N302, 0), CONVERT(I302, J302, "kg")))</f>
        <v>0</v>
      </c>
      <c r="P302" s="44">
        <f t="shared" ref="P302" si="255">IF(J302 = "", I302 * N302, IF(ISNA(CONVERT(I302, J302, "l")), CONVERT(I302, J302, "kg") * IF(M302 &lt;&gt; 0, N302 / M302, 0), CONVERT(I302, J302, "l")))</f>
        <v>0.94635294599999997</v>
      </c>
      <c r="Q302" s="44">
        <f>MROUND(IF(AND(J302 = "", L302 = ""), I302 * recipe12DayScale, IF(ISNA(CONVERT(O302, "kg", L302)), CONVERT(P302 * recipe12DayScale, "l", L302), CONVERT(O302 * recipe12DayScale, "kg", L302))), roundTo)</f>
        <v>4</v>
      </c>
      <c r="R302" s="44">
        <f>recipe12TotScale * IF(L302 = "", Q302 * M302, IF(ISNA(CONVERT(Q302, L302, "kg")), CONVERT(Q302, L302, "l") * IF(N302 &lt;&gt; 0, M302 / N302, 0), CONVERT(Q302, L302, "kg")))</f>
        <v>0</v>
      </c>
      <c r="S302" s="44">
        <f>recipe12TotScale * IF(R302 = 0, IF(L302 = "", Q302 * N302, IF(ISNA(CONVERT(Q302, L302, "l")), CONVERT(Q302, L302, "kg") * IF(M302 &lt;&gt; 0, N302 / M302, 0), CONVERT(Q302, L302, "l"))), 0)</f>
        <v>0.94635294599999997</v>
      </c>
      <c r="T302" s="44">
        <f>recipe12TotScale * IF(AND(R302 = 0, S302 = 0, J302 = "", L302 = ""), Q302, 0)</f>
        <v>0</v>
      </c>
      <c r="V302" s="41" t="b">
        <f>INDEX(itemPrepMethods, MATCH(K302, itemNames, 0))="chop"</f>
        <v>0</v>
      </c>
      <c r="W302" s="54" t="str">
        <f>IF(V302, Q302, "")</f>
        <v/>
      </c>
      <c r="X302" s="55" t="str">
        <f>IF(V302, IF(L302 = "", "", L302), "")</f>
        <v/>
      </c>
      <c r="Y302" s="55" t="str">
        <f>IF(V302, K302, "")</f>
        <v/>
      </c>
      <c r="Z302" s="56"/>
      <c r="AA302" s="41" t="b">
        <f>INDEX(itemPrepMethods, MATCH(K302, itemNames, 0))="soak"</f>
        <v>0</v>
      </c>
      <c r="AB302" s="55" t="str">
        <f>IF(AA302, Q302, "")</f>
        <v/>
      </c>
      <c r="AC302" s="55" t="str">
        <f>IF(AA302, IF(L302 = "", "", L302), "")</f>
        <v/>
      </c>
      <c r="AD302" s="55" t="str">
        <f>IF(AA302, K302, "")</f>
        <v/>
      </c>
    </row>
    <row r="303" spans="1:30" x14ac:dyDescent="0.25">
      <c r="A303" s="115"/>
      <c r="B303" s="115"/>
      <c r="C303" s="115"/>
      <c r="D303" s="115"/>
      <c r="I303" s="44"/>
      <c r="W303" s="71"/>
      <c r="X303" s="72"/>
      <c r="Y303" s="72"/>
      <c r="Z303" s="73"/>
      <c r="AA303" s="64"/>
      <c r="AB303" s="71"/>
      <c r="AC303" s="71"/>
      <c r="AD303" s="71"/>
    </row>
    <row r="304" spans="1:30" x14ac:dyDescent="0.25">
      <c r="A304" s="115" t="s">
        <v>280</v>
      </c>
      <c r="B304" s="115"/>
      <c r="C304" s="115"/>
      <c r="D304" s="115"/>
      <c r="E304" s="40"/>
      <c r="F304" s="57"/>
      <c r="G304" s="57"/>
      <c r="H304" s="44"/>
      <c r="W304" s="71"/>
      <c r="X304" s="72"/>
      <c r="Y304" s="72"/>
      <c r="Z304" s="73"/>
      <c r="AA304" s="64"/>
      <c r="AB304" s="71"/>
      <c r="AC304" s="71"/>
      <c r="AD304" s="71"/>
    </row>
    <row r="305" spans="1:30" x14ac:dyDescent="0.25">
      <c r="A305" s="115"/>
      <c r="B305" s="115"/>
      <c r="C305" s="115"/>
      <c r="D305" s="115"/>
      <c r="I305" s="44"/>
      <c r="W305" s="71"/>
      <c r="X305" s="72"/>
      <c r="Y305" s="72"/>
      <c r="Z305" s="73"/>
      <c r="AA305" s="64"/>
      <c r="AB305" s="71"/>
      <c r="AC305" s="71"/>
      <c r="AD305" s="71"/>
    </row>
    <row r="306" spans="1:30" x14ac:dyDescent="0.25">
      <c r="A306" s="119" t="s">
        <v>281</v>
      </c>
      <c r="B306" s="119"/>
      <c r="C306" s="119"/>
      <c r="D306" s="119"/>
      <c r="E306" s="40"/>
      <c r="F306" s="57"/>
      <c r="G306" s="57"/>
      <c r="H306" s="44"/>
      <c r="W306" s="71"/>
      <c r="X306" s="72"/>
      <c r="Y306" s="72"/>
      <c r="Z306" s="73"/>
      <c r="AA306" s="64"/>
      <c r="AB306" s="71"/>
      <c r="AC306" s="71"/>
      <c r="AD306" s="71"/>
    </row>
    <row r="307" spans="1:30" x14ac:dyDescent="0.25">
      <c r="A307" s="115"/>
      <c r="B307" s="115"/>
      <c r="C307" s="115"/>
      <c r="D307" s="115"/>
      <c r="I307" s="44"/>
      <c r="W307" s="71"/>
      <c r="X307" s="72"/>
      <c r="Y307" s="72"/>
      <c r="Z307" s="73"/>
      <c r="AA307" s="64"/>
      <c r="AB307" s="71"/>
      <c r="AC307" s="71"/>
      <c r="AD307" s="71"/>
    </row>
    <row r="308" spans="1:30" x14ac:dyDescent="0.25">
      <c r="A308" s="115" t="s">
        <v>282</v>
      </c>
      <c r="B308" s="115"/>
      <c r="C308" s="115"/>
      <c r="D308" s="115"/>
      <c r="E308" s="40"/>
      <c r="F308" s="57"/>
      <c r="G308" s="57"/>
      <c r="H308" s="44"/>
      <c r="W308" s="71"/>
      <c r="X308" s="72"/>
      <c r="Y308" s="72"/>
      <c r="Z308" s="73"/>
      <c r="AA308" s="64"/>
      <c r="AB308" s="71"/>
      <c r="AC308" s="71"/>
      <c r="AD308" s="71"/>
    </row>
    <row r="309" spans="1:30" x14ac:dyDescent="0.25">
      <c r="A309" s="115"/>
      <c r="B309" s="115"/>
      <c r="C309" s="115"/>
      <c r="D309" s="115"/>
      <c r="I309" s="44"/>
      <c r="W309" s="71"/>
      <c r="X309" s="72"/>
      <c r="Y309" s="72"/>
      <c r="Z309" s="73"/>
      <c r="AA309" s="64"/>
      <c r="AB309" s="71"/>
      <c r="AC309" s="71"/>
      <c r="AD309" s="71"/>
    </row>
    <row r="310" spans="1:30" x14ac:dyDescent="0.25">
      <c r="A310" s="115" t="s">
        <v>102</v>
      </c>
      <c r="B310" s="115"/>
      <c r="C310" s="115"/>
      <c r="D310" s="115"/>
      <c r="E310" s="40"/>
      <c r="F310" s="57"/>
      <c r="G310" s="57"/>
      <c r="H310" s="44"/>
      <c r="W310" s="71"/>
      <c r="X310" s="72"/>
      <c r="Y310" s="72"/>
      <c r="Z310" s="73"/>
      <c r="AA310" s="64"/>
      <c r="AB310" s="71"/>
      <c r="AC310" s="71"/>
      <c r="AD310" s="71"/>
    </row>
    <row r="311" spans="1:30" x14ac:dyDescent="0.25">
      <c r="A311" s="37" t="s">
        <v>21</v>
      </c>
      <c r="B311" s="49">
        <f t="shared" ref="B311" si="256">Q311</f>
        <v>2</v>
      </c>
      <c r="C311" s="36" t="str">
        <f t="shared" ref="C311" si="257">IF(L311="","",L311)</f>
        <v>tbs</v>
      </c>
      <c r="D311" s="62" t="str">
        <f>_xlfn.CONCAT(K311, U311)</f>
        <v>sweet chili sauce</v>
      </c>
      <c r="I311" s="51">
        <v>2</v>
      </c>
      <c r="J311" s="52" t="s">
        <v>15</v>
      </c>
      <c r="K311" s="52" t="s">
        <v>284</v>
      </c>
      <c r="L311" s="53" t="s">
        <v>15</v>
      </c>
      <c r="M311" s="44">
        <f t="shared" ref="M311" si="258">INDEX(itemGPerQty, MATCH(K311, itemNames, 0))</f>
        <v>0</v>
      </c>
      <c r="N311" s="44">
        <f t="shared" ref="N311" si="259">INDEX(itemMlPerQty, MATCH(K311, itemNames, 0))</f>
        <v>0</v>
      </c>
      <c r="O311" s="44">
        <f t="shared" ref="O311" si="260">IF(J311 = "", I311 * M311, IF(ISNA(CONVERT(I311, J311, "kg")), CONVERT(I311, J311, "l") * IF(N311 &lt;&gt; 0, M311 / N311, 0), CONVERT(I311, J311, "kg")))</f>
        <v>0</v>
      </c>
      <c r="P311" s="44">
        <f t="shared" ref="P311" si="261">IF(J311 = "", I311 * N311, IF(ISNA(CONVERT(I311, J311, "l")), CONVERT(I311, J311, "kg") * IF(M311 &lt;&gt; 0, N311 / M311, 0), CONVERT(I311, J311, "l")))</f>
        <v>2.9573529562499999E-2</v>
      </c>
      <c r="Q311" s="44">
        <f>MROUND(IF(AND(J311 = "", L311 = ""), I311 * recipe12DayScale, IF(ISNA(CONVERT(O311, "kg", L311)), CONVERT(P311 * recipe12DayScale, "l", L311), CONVERT(O311 * recipe12DayScale, "kg", L311))), roundTo)</f>
        <v>2</v>
      </c>
      <c r="R311" s="44">
        <f>recipe12TotScale * IF(L311 = "", Q311 * M311, IF(ISNA(CONVERT(Q311, L311, "kg")), CONVERT(Q311, L311, "l") * IF(N311 &lt;&gt; 0, M311 / N311, 0), CONVERT(Q311, L311, "kg")))</f>
        <v>0</v>
      </c>
      <c r="S311" s="44">
        <f>recipe12TotScale * IF(R311 = 0, IF(L311 = "", Q311 * N311, IF(ISNA(CONVERT(Q311, L311, "l")), CONVERT(Q311, L311, "kg") * IF(M311 &lt;&gt; 0, N311 / M311, 0), CONVERT(Q311, L311, "l"))), 0)</f>
        <v>2.9573529562499999E-2</v>
      </c>
      <c r="T311" s="44">
        <f>recipe12TotScale * IF(AND(R311 = 0, S311 = 0, J311 = "", L311 = ""), Q311, 0)</f>
        <v>0</v>
      </c>
      <c r="V311" s="41" t="b">
        <f>INDEX(itemPrepMethods, MATCH(K311, itemNames, 0))="chop"</f>
        <v>0</v>
      </c>
      <c r="W311" s="54" t="str">
        <f>IF(V311, Q311, "")</f>
        <v/>
      </c>
      <c r="X311" s="55" t="str">
        <f>IF(V311, IF(L311 = "", "", L311), "")</f>
        <v/>
      </c>
      <c r="Y311" s="55" t="str">
        <f>IF(V311, K311, "")</f>
        <v/>
      </c>
      <c r="Z311" s="56"/>
      <c r="AA311" s="41" t="b">
        <f>INDEX(itemPrepMethods, MATCH(K311, itemNames, 0))="soak"</f>
        <v>0</v>
      </c>
      <c r="AB311" s="55" t="str">
        <f>IF(AA311, Q311, "")</f>
        <v/>
      </c>
      <c r="AC311" s="55" t="str">
        <f>IF(AA311, IF(L311 = "", "", L311), "")</f>
        <v/>
      </c>
      <c r="AD311" s="55" t="str">
        <f>IF(AA311, K311, "")</f>
        <v/>
      </c>
    </row>
    <row r="312" spans="1:30" x14ac:dyDescent="0.25">
      <c r="A312" s="37" t="s">
        <v>21</v>
      </c>
      <c r="B312" s="49">
        <f t="shared" ref="B312:B313" si="262">Q312</f>
        <v>2</v>
      </c>
      <c r="C312" s="36" t="str">
        <f t="shared" ref="C312:C313" si="263">IF(L312="","",L312)</f>
        <v>tsp</v>
      </c>
      <c r="D312" s="37" t="str">
        <f>_xlfn.CONCAT(K312, U312)</f>
        <v>dijon mustard</v>
      </c>
      <c r="I312" s="51">
        <v>2</v>
      </c>
      <c r="J312" s="52" t="s">
        <v>13</v>
      </c>
      <c r="K312" s="52" t="s">
        <v>71</v>
      </c>
      <c r="L312" s="53" t="s">
        <v>13</v>
      </c>
      <c r="M312" s="44">
        <f t="shared" ref="M312:M313" si="264">INDEX(itemGPerQty, MATCH(K312, itemNames, 0))</f>
        <v>0</v>
      </c>
      <c r="N312" s="44">
        <f t="shared" ref="N312:N313" si="265">INDEX(itemMlPerQty, MATCH(K312, itemNames, 0))</f>
        <v>0</v>
      </c>
      <c r="O312" s="44">
        <f t="shared" ref="O312:O313" si="266">IF(J312 = "", I312 * M312, IF(ISNA(CONVERT(I312, J312, "kg")), CONVERT(I312, J312, "l") * IF(N312 &lt;&gt; 0, M312 / N312, 0), CONVERT(I312, J312, "kg")))</f>
        <v>0</v>
      </c>
      <c r="P312" s="44">
        <f t="shared" ref="P312:P313" si="267">IF(J312 = "", I312 * N312, IF(ISNA(CONVERT(I312, J312, "l")), CONVERT(I312, J312, "kg") * IF(M312 &lt;&gt; 0, N312 / M312, 0), CONVERT(I312, J312, "l")))</f>
        <v>9.8578431874999997E-3</v>
      </c>
      <c r="Q312" s="44">
        <f>MROUND(IF(AND(J312 = "", L312 = ""), I312 * recipe12DayScale, IF(ISNA(CONVERT(O312, "kg", L312)), CONVERT(P312 * recipe12DayScale, "l", L312), CONVERT(O312 * recipe12DayScale, "kg", L312))), roundTo)</f>
        <v>2</v>
      </c>
      <c r="R312" s="44">
        <f>recipe12TotScale * IF(L312 = "", Q312 * M312, IF(ISNA(CONVERT(Q312, L312, "kg")), CONVERT(Q312, L312, "l") * IF(N312 &lt;&gt; 0, M312 / N312, 0), CONVERT(Q312, L312, "kg")))</f>
        <v>0</v>
      </c>
      <c r="S312" s="44">
        <f>recipe12TotScale * IF(R312 = 0, IF(L312 = "", Q312 * N312, IF(ISNA(CONVERT(Q312, L312, "l")), CONVERT(Q312, L312, "kg") * IF(M312 &lt;&gt; 0, N312 / M312, 0), CONVERT(Q312, L312, "l"))), 0)</f>
        <v>9.8578431874999997E-3</v>
      </c>
      <c r="T312" s="44">
        <f>recipe12TotScale * IF(AND(R312 = 0, S312 = 0, J312 = "", L312 = ""), Q312, 0)</f>
        <v>0</v>
      </c>
      <c r="V312" s="41" t="b">
        <f>INDEX(itemPrepMethods, MATCH(K312, itemNames, 0))="chop"</f>
        <v>0</v>
      </c>
      <c r="W312" s="54" t="str">
        <f>IF(V312, Q312, "")</f>
        <v/>
      </c>
      <c r="X312" s="55" t="str">
        <f>IF(V312, IF(L312 = "", "", L312), "")</f>
        <v/>
      </c>
      <c r="Y312" s="55" t="str">
        <f>IF(V312, K312, "")</f>
        <v/>
      </c>
      <c r="Z312" s="56"/>
      <c r="AA312" s="41" t="b">
        <f>INDEX(itemPrepMethods, MATCH(K312, itemNames, 0))="soak"</f>
        <v>0</v>
      </c>
      <c r="AB312" s="55" t="str">
        <f>IF(AA312, Q312, "")</f>
        <v/>
      </c>
      <c r="AC312" s="55" t="str">
        <f>IF(AA312, IF(L312 = "", "", L312), "")</f>
        <v/>
      </c>
      <c r="AD312" s="55" t="str">
        <f>IF(AA312, K312, "")</f>
        <v/>
      </c>
    </row>
    <row r="313" spans="1:30" x14ac:dyDescent="0.25">
      <c r="A313" s="37" t="s">
        <v>21</v>
      </c>
      <c r="B313" s="49">
        <f t="shared" si="262"/>
        <v>2</v>
      </c>
      <c r="C313" s="36" t="str">
        <f t="shared" si="263"/>
        <v>tsp</v>
      </c>
      <c r="D313" s="37" t="str">
        <f>_xlfn.CONCAT(K313, U313)</f>
        <v>ground turmeric</v>
      </c>
      <c r="I313" s="51">
        <v>2</v>
      </c>
      <c r="J313" s="52" t="s">
        <v>13</v>
      </c>
      <c r="K313" s="52" t="s">
        <v>305</v>
      </c>
      <c r="L313" s="53" t="s">
        <v>13</v>
      </c>
      <c r="M313" s="44">
        <f t="shared" si="264"/>
        <v>1.4E-2</v>
      </c>
      <c r="N313" s="44">
        <f t="shared" si="265"/>
        <v>2.2180100000000001E-2</v>
      </c>
      <c r="O313" s="44">
        <f t="shared" si="266"/>
        <v>6.2222354554307691E-3</v>
      </c>
      <c r="P313" s="44">
        <f t="shared" si="267"/>
        <v>9.8578431874999997E-3</v>
      </c>
      <c r="Q313" s="44">
        <f>MROUND(IF(AND(J313 = "", L313 = ""), I313 * recipe12DayScale, IF(ISNA(CONVERT(O313, "kg", L313)), CONVERT(P313 * recipe12DayScale, "l", L313), CONVERT(O313 * recipe12DayScale, "kg", L313))), roundTo)</f>
        <v>2</v>
      </c>
      <c r="R313" s="44">
        <f>recipe12TotScale * IF(L313 = "", Q313 * M313, IF(ISNA(CONVERT(Q313, L313, "kg")), CONVERT(Q313, L313, "l") * IF(N313 &lt;&gt; 0, M313 / N313, 0), CONVERT(Q313, L313, "kg")))</f>
        <v>6.2222354554307691E-3</v>
      </c>
      <c r="S313" s="44">
        <f>recipe12TotScale * IF(R313 = 0, IF(L313 = "", Q313 * N313, IF(ISNA(CONVERT(Q313, L313, "l")), CONVERT(Q313, L313, "kg") * IF(M313 &lt;&gt; 0, N313 / M313, 0), CONVERT(Q313, L313, "l"))), 0)</f>
        <v>0</v>
      </c>
      <c r="T313" s="44">
        <f>recipe12TotScale * IF(AND(R313 = 0, S313 = 0, J313 = "", L313 = ""), Q313, 0)</f>
        <v>0</v>
      </c>
      <c r="V313" s="41" t="b">
        <f>INDEX(itemPrepMethods, MATCH(K313, itemNames, 0))="chop"</f>
        <v>0</v>
      </c>
      <c r="W313" s="54" t="str">
        <f>IF(V313, Q313, "")</f>
        <v/>
      </c>
      <c r="X313" s="55" t="str">
        <f>IF(V313, IF(L313 = "", "", L313), "")</f>
        <v/>
      </c>
      <c r="Y313" s="55" t="str">
        <f>IF(V313, K313, "")</f>
        <v/>
      </c>
      <c r="Z313" s="56"/>
      <c r="AA313" s="41" t="b">
        <f>INDEX(itemPrepMethods, MATCH(K313, itemNames, 0))="soak"</f>
        <v>0</v>
      </c>
      <c r="AB313" s="55" t="str">
        <f>IF(AA313, Q313, "")</f>
        <v/>
      </c>
      <c r="AC313" s="55" t="str">
        <f>IF(AA313, IF(L313 = "", "", L313), "")</f>
        <v/>
      </c>
      <c r="AD313" s="55" t="str">
        <f>IF(AA313, K313, "")</f>
        <v/>
      </c>
    </row>
    <row r="314" spans="1:30" x14ac:dyDescent="0.25">
      <c r="A314" s="37" t="s">
        <v>21</v>
      </c>
      <c r="B314" s="49">
        <f t="shared" ref="B314" si="268">Q314</f>
        <v>2</v>
      </c>
      <c r="C314" s="36" t="str">
        <f t="shared" ref="C314" si="269">IF(L314="","",L314)</f>
        <v>tsp</v>
      </c>
      <c r="D314" s="37" t="str">
        <f>_xlfn.CONCAT(K314, U314)</f>
        <v>salt</v>
      </c>
      <c r="I314" s="51">
        <v>2</v>
      </c>
      <c r="J314" s="52" t="s">
        <v>13</v>
      </c>
      <c r="K314" s="52" t="s">
        <v>11</v>
      </c>
      <c r="L314" s="53" t="s">
        <v>13</v>
      </c>
      <c r="M314" s="44">
        <f t="shared" ref="M314" si="270">INDEX(itemGPerQty, MATCH(K314, itemNames, 0))</f>
        <v>2.5000000000000001E-2</v>
      </c>
      <c r="N314" s="44">
        <f t="shared" ref="N314" si="271">INDEX(itemMlPerQty, MATCH(K314, itemNames, 0))</f>
        <v>2.2180100000000001E-2</v>
      </c>
      <c r="O314" s="44">
        <f t="shared" ref="O314" si="272">IF(J314 = "", I314 * M314, IF(ISNA(CONVERT(I314, J314, "kg")), CONVERT(I314, J314, "l") * IF(N314 &lt;&gt; 0, M314 / N314, 0), CONVERT(I314, J314, "kg")))</f>
        <v>1.111113474184066E-2</v>
      </c>
      <c r="P314" s="44">
        <f t="shared" ref="P314" si="273">IF(J314 = "", I314 * N314, IF(ISNA(CONVERT(I314, J314, "l")), CONVERT(I314, J314, "kg") * IF(M314 &lt;&gt; 0, N314 / M314, 0), CONVERT(I314, J314, "l")))</f>
        <v>9.8578431874999997E-3</v>
      </c>
      <c r="Q314" s="44">
        <f>MROUND(IF(AND(J314 = "", L314 = ""), I314 * recipe12DayScale, IF(ISNA(CONVERT(O314, "kg", L314)), CONVERT(P314 * recipe12DayScale, "l", L314), CONVERT(O314 * recipe12DayScale, "kg", L314))), roundTo)</f>
        <v>2</v>
      </c>
      <c r="R314" s="44">
        <f>recipe12TotScale * IF(L314 = "", Q314 * M314, IF(ISNA(CONVERT(Q314, L314, "kg")), CONVERT(Q314, L314, "l") * IF(N314 &lt;&gt; 0, M314 / N314, 0), CONVERT(Q314, L314, "kg")))</f>
        <v>1.111113474184066E-2</v>
      </c>
      <c r="S314" s="44">
        <f>recipe12TotScale * IF(R314 = 0, IF(L314 = "", Q314 * N314, IF(ISNA(CONVERT(Q314, L314, "l")), CONVERT(Q314, L314, "kg") * IF(M314 &lt;&gt; 0, N314 / M314, 0), CONVERT(Q314, L314, "l"))), 0)</f>
        <v>0</v>
      </c>
      <c r="T314" s="44">
        <f>recipe12TotScale * IF(AND(R314 = 0, S314 = 0, J314 = "", L314 = ""), Q314, 0)</f>
        <v>0</v>
      </c>
      <c r="V314" s="41" t="b">
        <f>INDEX(itemPrepMethods, MATCH(K314, itemNames, 0))="chop"</f>
        <v>0</v>
      </c>
      <c r="W314" s="54" t="str">
        <f>IF(V314, Q314, "")</f>
        <v/>
      </c>
      <c r="X314" s="55" t="str">
        <f>IF(V314, IF(L314 = "", "", L314), "")</f>
        <v/>
      </c>
      <c r="Y314" s="55" t="str">
        <f>IF(V314, K314, "")</f>
        <v/>
      </c>
      <c r="Z314" s="56"/>
      <c r="AA314" s="41" t="b">
        <f>INDEX(itemPrepMethods, MATCH(K314, itemNames, 0))="soak"</f>
        <v>0</v>
      </c>
      <c r="AB314" s="55" t="str">
        <f>IF(AA314, Q314, "")</f>
        <v/>
      </c>
      <c r="AC314" s="55" t="str">
        <f>IF(AA314, IF(L314 = "", "", L314), "")</f>
        <v/>
      </c>
      <c r="AD314" s="55" t="str">
        <f>IF(AA314, K314, "")</f>
        <v/>
      </c>
    </row>
    <row r="315" spans="1:30" x14ac:dyDescent="0.25">
      <c r="A315" s="37" t="s">
        <v>21</v>
      </c>
      <c r="B315" s="49">
        <f t="shared" ref="B315" si="274">Q315</f>
        <v>2</v>
      </c>
      <c r="C315" s="36" t="str">
        <f t="shared" ref="C315" si="275">IF(L315="","",L315)</f>
        <v>cup</v>
      </c>
      <c r="D315" s="37" t="str">
        <f>_xlfn.CONCAT(K315, U315)</f>
        <v>soymilk</v>
      </c>
      <c r="I315" s="51">
        <v>2</v>
      </c>
      <c r="J315" s="52" t="s">
        <v>16</v>
      </c>
      <c r="K315" s="52" t="s">
        <v>285</v>
      </c>
      <c r="L315" s="53" t="s">
        <v>16</v>
      </c>
      <c r="M315" s="44">
        <f t="shared" ref="M315" si="276">INDEX(itemGPerQty, MATCH(K315, itemNames, 0))</f>
        <v>0</v>
      </c>
      <c r="N315" s="44">
        <f t="shared" ref="N315" si="277">INDEX(itemMlPerQty, MATCH(K315, itemNames, 0))</f>
        <v>0</v>
      </c>
      <c r="O315" s="44">
        <f t="shared" ref="O315" si="278">IF(J315 = "", I315 * M315, IF(ISNA(CONVERT(I315, J315, "kg")), CONVERT(I315, J315, "l") * IF(N315 &lt;&gt; 0, M315 / N315, 0), CONVERT(I315, J315, "kg")))</f>
        <v>0</v>
      </c>
      <c r="P315" s="44">
        <f t="shared" ref="P315" si="279">IF(J315 = "", I315 * N315, IF(ISNA(CONVERT(I315, J315, "l")), CONVERT(I315, J315, "kg") * IF(M315 &lt;&gt; 0, N315 / M315, 0), CONVERT(I315, J315, "l")))</f>
        <v>0.47317647299999999</v>
      </c>
      <c r="Q315" s="44">
        <f>MROUND(IF(AND(J315 = "", L315 = ""), I315 * recipe12DayScale, IF(ISNA(CONVERT(O315, "kg", L315)), CONVERT(P315 * recipe12DayScale, "l", L315), CONVERT(O315 * recipe12DayScale, "kg", L315))), roundTo)</f>
        <v>2</v>
      </c>
      <c r="R315" s="44">
        <f>recipe12TotScale * IF(L315 = "", Q315 * M315, IF(ISNA(CONVERT(Q315, L315, "kg")), CONVERT(Q315, L315, "l") * IF(N315 &lt;&gt; 0, M315 / N315, 0), CONVERT(Q315, L315, "kg")))</f>
        <v>0</v>
      </c>
      <c r="S315" s="44">
        <f>recipe12TotScale * IF(R315 = 0, IF(L315 = "", Q315 * N315, IF(ISNA(CONVERT(Q315, L315, "l")), CONVERT(Q315, L315, "kg") * IF(M315 &lt;&gt; 0, N315 / M315, 0), CONVERT(Q315, L315, "l"))), 0)</f>
        <v>0.47317647299999999</v>
      </c>
      <c r="T315" s="44">
        <f>recipe12TotScale * IF(AND(R315 = 0, S315 = 0, J315 = "", L315 = ""), Q315, 0)</f>
        <v>0</v>
      </c>
      <c r="V315" s="41" t="b">
        <f>INDEX(itemPrepMethods, MATCH(K315, itemNames, 0))="chop"</f>
        <v>0</v>
      </c>
      <c r="W315" s="54" t="str">
        <f>IF(V315, Q315, "")</f>
        <v/>
      </c>
      <c r="X315" s="55" t="str">
        <f>IF(V315, IF(L315 = "", "", L315), "")</f>
        <v/>
      </c>
      <c r="Y315" s="55" t="str">
        <f>IF(V315, K315, "")</f>
        <v/>
      </c>
      <c r="Z315" s="56"/>
      <c r="AA315" s="41" t="b">
        <f>INDEX(itemPrepMethods, MATCH(K315, itemNames, 0))="soak"</f>
        <v>0</v>
      </c>
      <c r="AB315" s="55" t="str">
        <f>IF(AA315, Q315, "")</f>
        <v/>
      </c>
      <c r="AC315" s="55" t="str">
        <f>IF(AA315, IF(L315 = "", "", L315), "")</f>
        <v/>
      </c>
      <c r="AD315" s="55" t="str">
        <f>IF(AA315, K315, "")</f>
        <v/>
      </c>
    </row>
    <row r="316" spans="1:30" x14ac:dyDescent="0.25">
      <c r="A316" s="115"/>
      <c r="B316" s="115"/>
      <c r="C316" s="115"/>
      <c r="D316" s="115"/>
      <c r="I316" s="44"/>
      <c r="W316" s="64"/>
      <c r="X316" s="64"/>
      <c r="Y316" s="64"/>
      <c r="Z316" s="64"/>
      <c r="AA316" s="64"/>
      <c r="AB316" s="64"/>
      <c r="AC316" s="64"/>
      <c r="AD316" s="64"/>
    </row>
    <row r="317" spans="1:30" x14ac:dyDescent="0.25">
      <c r="A317" s="115" t="s">
        <v>286</v>
      </c>
      <c r="B317" s="115"/>
      <c r="C317" s="115"/>
      <c r="D317" s="115"/>
      <c r="E317" s="40"/>
      <c r="F317" s="57"/>
      <c r="G317" s="57"/>
      <c r="H317" s="44"/>
      <c r="W317" s="64"/>
      <c r="X317" s="64"/>
      <c r="Y317" s="64"/>
      <c r="Z317" s="64"/>
      <c r="AA317" s="64"/>
      <c r="AB317" s="64"/>
      <c r="AC317" s="64"/>
      <c r="AD317" s="64"/>
    </row>
    <row r="318" spans="1:30" x14ac:dyDescent="0.25">
      <c r="A318" s="115"/>
      <c r="B318" s="115"/>
      <c r="C318" s="115"/>
      <c r="D318" s="115"/>
      <c r="I318" s="44"/>
      <c r="W318" s="64"/>
      <c r="X318" s="64"/>
      <c r="Y318" s="64"/>
      <c r="Z318" s="64"/>
      <c r="AA318" s="64"/>
      <c r="AB318" s="64"/>
      <c r="AC318" s="64"/>
      <c r="AD318" s="64"/>
    </row>
    <row r="319" spans="1:30" x14ac:dyDescent="0.25">
      <c r="A319" s="115" t="s">
        <v>287</v>
      </c>
      <c r="B319" s="115"/>
      <c r="C319" s="115"/>
      <c r="D319" s="115"/>
      <c r="E319" s="40"/>
      <c r="F319" s="57"/>
      <c r="G319" s="57"/>
      <c r="H319" s="44"/>
    </row>
    <row r="320" spans="1:30" ht="15.75" x14ac:dyDescent="0.25">
      <c r="A320" s="117" t="s">
        <v>34</v>
      </c>
      <c r="B320" s="117"/>
      <c r="C320" s="117"/>
      <c r="D320" s="117"/>
      <c r="E320" s="40" t="s">
        <v>133</v>
      </c>
      <c r="F320" s="100" t="s">
        <v>146</v>
      </c>
      <c r="G320" s="100"/>
    </row>
    <row r="321" spans="1:30" ht="24" x14ac:dyDescent="0.2">
      <c r="A321" s="117" t="s">
        <v>41</v>
      </c>
      <c r="B321" s="117"/>
      <c r="C321" s="117"/>
      <c r="D321" s="117"/>
      <c r="E321" s="39" t="s">
        <v>53</v>
      </c>
      <c r="F321" s="87">
        <v>15</v>
      </c>
      <c r="G321" s="44"/>
      <c r="I321" s="67" t="s">
        <v>434</v>
      </c>
      <c r="J321" s="68" t="s">
        <v>435</v>
      </c>
      <c r="K321" s="68" t="s">
        <v>17</v>
      </c>
      <c r="L321" s="69" t="s">
        <v>438</v>
      </c>
      <c r="M321" s="67" t="s">
        <v>141</v>
      </c>
      <c r="N321" s="67" t="s">
        <v>142</v>
      </c>
      <c r="O321" s="67" t="s">
        <v>436</v>
      </c>
      <c r="P321" s="67" t="s">
        <v>437</v>
      </c>
      <c r="Q321" s="68" t="s">
        <v>353</v>
      </c>
      <c r="R321" s="67" t="s">
        <v>354</v>
      </c>
      <c r="S321" s="67" t="s">
        <v>355</v>
      </c>
      <c r="T321" s="67" t="s">
        <v>356</v>
      </c>
      <c r="U321" s="68" t="s">
        <v>22</v>
      </c>
      <c r="V321" s="68" t="s">
        <v>202</v>
      </c>
      <c r="W321" s="70" t="s">
        <v>353</v>
      </c>
      <c r="X321" s="68" t="s">
        <v>200</v>
      </c>
      <c r="Y321" s="68" t="s">
        <v>201</v>
      </c>
      <c r="Z321" s="68" t="s">
        <v>302</v>
      </c>
      <c r="AA321" s="68" t="s">
        <v>203</v>
      </c>
      <c r="AB321" s="70" t="s">
        <v>353</v>
      </c>
      <c r="AC321" s="68" t="s">
        <v>204</v>
      </c>
      <c r="AD321" s="68" t="s">
        <v>205</v>
      </c>
    </row>
    <row r="322" spans="1:30" ht="13.5" thickBot="1" x14ac:dyDescent="0.3">
      <c r="A322" s="118" t="str">
        <f>_xlfn.CONCAT(F322," servings")</f>
        <v>10 servings</v>
      </c>
      <c r="B322" s="118"/>
      <c r="C322" s="118"/>
      <c r="D322" s="118"/>
      <c r="E322" s="63" t="s">
        <v>348</v>
      </c>
      <c r="F322" s="87">
        <f>weDiCount</f>
        <v>10</v>
      </c>
      <c r="G322" s="44"/>
      <c r="I322" s="60"/>
      <c r="J322" s="39"/>
      <c r="K322" s="39"/>
      <c r="L322" s="61"/>
      <c r="M322" s="60"/>
      <c r="N322" s="60"/>
      <c r="O322" s="60"/>
      <c r="P322" s="60"/>
      <c r="Q322" s="39"/>
      <c r="R322" s="60"/>
      <c r="S322" s="60"/>
      <c r="T322" s="60"/>
      <c r="U322" s="39"/>
    </row>
    <row r="323" spans="1:30" s="102" customFormat="1" ht="15.75" thickBot="1" x14ac:dyDescent="0.3">
      <c r="A323" s="115"/>
      <c r="B323" s="115"/>
      <c r="C323" s="115"/>
      <c r="D323" s="115"/>
      <c r="E323" s="63" t="s">
        <v>351</v>
      </c>
      <c r="F323" s="47">
        <f>F322/F321</f>
        <v>0.66666666666666663</v>
      </c>
      <c r="G323" s="48" t="s">
        <v>377</v>
      </c>
      <c r="I323" s="60"/>
      <c r="J323" s="100"/>
      <c r="K323" s="100"/>
      <c r="L323" s="61"/>
      <c r="M323" s="60"/>
      <c r="N323" s="60"/>
      <c r="O323" s="60"/>
      <c r="P323" s="60"/>
      <c r="Q323" s="100"/>
      <c r="R323" s="60"/>
      <c r="S323" s="60"/>
      <c r="T323" s="60"/>
      <c r="U323" s="100"/>
      <c r="W323" s="45"/>
      <c r="Z323" s="46"/>
    </row>
    <row r="324" spans="1:30" x14ac:dyDescent="0.25">
      <c r="A324" s="115" t="s">
        <v>160</v>
      </c>
      <c r="B324" s="115"/>
      <c r="C324" s="115"/>
      <c r="D324" s="115"/>
      <c r="E324" s="64"/>
      <c r="F324" s="64"/>
      <c r="G324" s="64"/>
      <c r="I324" s="44"/>
    </row>
    <row r="325" spans="1:30" ht="15.75" thickBot="1" x14ac:dyDescent="0.3">
      <c r="A325" s="115"/>
      <c r="B325" s="115"/>
      <c r="C325" s="115"/>
      <c r="D325" s="115"/>
      <c r="E325" s="63" t="s">
        <v>327</v>
      </c>
      <c r="F325" s="87">
        <f>weDiCount</f>
        <v>10</v>
      </c>
      <c r="G325" s="64"/>
      <c r="I325" s="44"/>
    </row>
    <row r="326" spans="1:30" ht="15.75" thickBot="1" x14ac:dyDescent="0.3">
      <c r="A326" s="115" t="s">
        <v>288</v>
      </c>
      <c r="B326" s="115"/>
      <c r="C326" s="115"/>
      <c r="D326" s="115"/>
      <c r="E326" s="63" t="s">
        <v>352</v>
      </c>
      <c r="F326" s="47">
        <f>F325/F322</f>
        <v>1</v>
      </c>
      <c r="G326" s="48" t="s">
        <v>378</v>
      </c>
      <c r="I326" s="44"/>
    </row>
    <row r="327" spans="1:30" x14ac:dyDescent="0.25">
      <c r="A327" s="37" t="s">
        <v>21</v>
      </c>
      <c r="B327" s="49">
        <f>Q327</f>
        <v>6</v>
      </c>
      <c r="C327" s="36" t="str">
        <f>IF(L327="","",L327)</f>
        <v/>
      </c>
      <c r="D327" s="37" t="str">
        <f>_xlfn.CONCAT(K327, U327)</f>
        <v>garlic cloves. Remove from oil once cooked</v>
      </c>
      <c r="I327" s="59">
        <v>9</v>
      </c>
      <c r="J327" s="52"/>
      <c r="K327" s="52" t="s">
        <v>8</v>
      </c>
      <c r="L327" s="53"/>
      <c r="M327" s="44">
        <f>INDEX(itemGPerQty, MATCH(K327, itemNames, 0))</f>
        <v>0</v>
      </c>
      <c r="N327" s="44">
        <f>INDEX(itemMlPerQty, MATCH(K327, itemNames, 0))</f>
        <v>0</v>
      </c>
      <c r="O327" s="44">
        <f>IF(J327 = "", I327 * M327, IF(ISNA(CONVERT(I327, J327, "kg")), CONVERT(I327, J327, "l") * IF(N327 &lt;&gt; 0, M327 / N327, 0), CONVERT(I327, J327, "kg")))</f>
        <v>0</v>
      </c>
      <c r="P327" s="44">
        <f>IF(J327 = "", I327 * N327, IF(ISNA(CONVERT(I327, J327, "l")), CONVERT(I327, J327, "kg") * IF(M327 &lt;&gt; 0, N327 / M327, 0), CONVERT(I327, J327, "l")))</f>
        <v>0</v>
      </c>
      <c r="Q327" s="44">
        <f>MROUND(IF(AND(J327 = "", L327 = ""), I327 * recipe09DayScale, IF(ISNA(CONVERT(O327, "kg", L327)), CONVERT(P327 * recipe09DayScale, "l", L327), CONVERT(O327 * recipe09DayScale, "kg", L327))), roundTo)</f>
        <v>6</v>
      </c>
      <c r="R327" s="44">
        <f>recipe09TotScale * IF(L327 = "", Q327 * M327, IF(ISNA(CONVERT(Q327, L327, "kg")), CONVERT(Q327, L327, "l") * IF(N327 &lt;&gt; 0, M327 / N327, 0), CONVERT(Q327, L327, "kg")))</f>
        <v>0</v>
      </c>
      <c r="S327" s="44">
        <f>recipe09TotScale * IF(R327 = 0, IF(L327 = "", Q327 * N327, IF(ISNA(CONVERT(Q327, L327, "l")), CONVERT(Q327, L327, "kg") * IF(M327 &lt;&gt; 0, N327 / M327, 0), CONVERT(Q327, L327, "l"))), 0)</f>
        <v>0</v>
      </c>
      <c r="T327" s="44">
        <f>recipe09TotScale * IF(AND(R327 = 0, S327 = 0, J327 = "", L327 = ""), Q327, 0)</f>
        <v>6</v>
      </c>
      <c r="U327" s="41" t="s">
        <v>233</v>
      </c>
      <c r="V327" s="41" t="b">
        <f>INDEX(itemPrepMethods, MATCH(K327, itemNames, 0))="chop"</f>
        <v>0</v>
      </c>
      <c r="W327" s="54" t="str">
        <f>IF(V327, Q327, "")</f>
        <v/>
      </c>
      <c r="X327" s="55" t="str">
        <f>IF(V327, IF(L327 = "", "", L327), "")</f>
        <v/>
      </c>
      <c r="Y327" s="55" t="str">
        <f>IF(V327, K327, "")</f>
        <v/>
      </c>
      <c r="Z327" s="56"/>
      <c r="AA327" s="41" t="b">
        <f>INDEX(itemPrepMethods, MATCH(K327, itemNames, 0))="soak"</f>
        <v>0</v>
      </c>
      <c r="AB327" s="55" t="str">
        <f>IF(AA327, Q327, "")</f>
        <v/>
      </c>
      <c r="AC327" s="55" t="str">
        <f>IF(AA327, IF(L327 = "", "", L327), "")</f>
        <v/>
      </c>
      <c r="AD327" s="55" t="str">
        <f>IF(AA327, K327, "")</f>
        <v/>
      </c>
    </row>
    <row r="328" spans="1:30" x14ac:dyDescent="0.25">
      <c r="A328" s="115"/>
      <c r="B328" s="115"/>
      <c r="C328" s="115"/>
      <c r="D328" s="115"/>
      <c r="E328" s="39"/>
      <c r="F328" s="44"/>
      <c r="G328" s="44"/>
      <c r="I328" s="44"/>
      <c r="W328" s="71"/>
      <c r="X328" s="72"/>
      <c r="Y328" s="72"/>
      <c r="Z328" s="73"/>
      <c r="AA328" s="64"/>
      <c r="AB328" s="71"/>
      <c r="AC328" s="71"/>
      <c r="AD328" s="71"/>
    </row>
    <row r="329" spans="1:30" x14ac:dyDescent="0.25">
      <c r="A329" s="115" t="s">
        <v>289</v>
      </c>
      <c r="B329" s="115"/>
      <c r="C329" s="115"/>
      <c r="D329" s="115"/>
      <c r="I329" s="44"/>
      <c r="W329" s="71"/>
      <c r="X329" s="72"/>
      <c r="Y329" s="72"/>
      <c r="Z329" s="73"/>
      <c r="AA329" s="64"/>
      <c r="AB329" s="71"/>
      <c r="AC329" s="71"/>
      <c r="AD329" s="71"/>
    </row>
    <row r="330" spans="1:30" x14ac:dyDescent="0.25">
      <c r="A330" s="37" t="s">
        <v>21</v>
      </c>
      <c r="B330" s="49">
        <f t="shared" ref="B330:B334" si="280">Q330</f>
        <v>5.25</v>
      </c>
      <c r="C330" s="36" t="str">
        <f t="shared" ref="C330:C337" si="281">IF(L330="","",L330)</f>
        <v>tbs</v>
      </c>
      <c r="D330" s="37" t="str">
        <f t="shared" ref="D330:D337" si="282">_xlfn.CONCAT(K330, U330)</f>
        <v>oil</v>
      </c>
      <c r="I330" s="59">
        <v>8</v>
      </c>
      <c r="J330" s="52" t="s">
        <v>15</v>
      </c>
      <c r="K330" s="52" t="s">
        <v>46</v>
      </c>
      <c r="L330" s="53" t="s">
        <v>15</v>
      </c>
      <c r="M330" s="44">
        <f t="shared" ref="M330:M337" si="283">INDEX(itemGPerQty, MATCH(K330, itemNames, 0))</f>
        <v>0</v>
      </c>
      <c r="N330" s="44">
        <f t="shared" ref="N330:N337" si="284">INDEX(itemMlPerQty, MATCH(K330, itemNames, 0))</f>
        <v>0</v>
      </c>
      <c r="O330" s="44">
        <f t="shared" ref="O330:O337" si="285">IF(J330 = "", I330 * M330, IF(ISNA(CONVERT(I330, J330, "kg")), CONVERT(I330, J330, "l") * IF(N330 &lt;&gt; 0, M330 / N330, 0), CONVERT(I330, J330, "kg")))</f>
        <v>0</v>
      </c>
      <c r="P330" s="44">
        <f t="shared" ref="P330:P337" si="286">IF(J330 = "", I330 * N330, IF(ISNA(CONVERT(I330, J330, "l")), CONVERT(I330, J330, "kg") * IF(M330 &lt;&gt; 0, N330 / M330, 0), CONVERT(I330, J330, "l")))</f>
        <v>0.11829411825</v>
      </c>
      <c r="Q330" s="44">
        <f t="shared" ref="Q330:Q337" si="287">MROUND(IF(AND(J330 = "", L330 = ""), I330 * recipe09DayScale, IF(ISNA(CONVERT(O330, "kg", L330)), CONVERT(P330 * recipe09DayScale, "l", L330), CONVERT(O330 * recipe09DayScale, "kg", L330))), roundTo)</f>
        <v>5.25</v>
      </c>
      <c r="R330" s="44">
        <f t="shared" ref="R330:R337" si="288">recipe09TotScale * IF(L330 = "", Q330 * M330, IF(ISNA(CONVERT(Q330, L330, "kg")), CONVERT(Q330, L330, "l") * IF(N330 &lt;&gt; 0, M330 / N330, 0), CONVERT(Q330, L330, "kg")))</f>
        <v>0</v>
      </c>
      <c r="S330" s="44">
        <f t="shared" ref="S330:S337" si="289">recipe09TotScale * IF(R330 = 0, IF(L330 = "", Q330 * N330, IF(ISNA(CONVERT(Q330, L330, "l")), CONVERT(Q330, L330, "kg") * IF(M330 &lt;&gt; 0, N330 / M330, 0), CONVERT(Q330, L330, "l"))), 0)</f>
        <v>7.7630515101562492E-2</v>
      </c>
      <c r="T330" s="44">
        <f t="shared" ref="T330:T337" si="290">recipe09TotScale * IF(AND(R330 = 0, S330 = 0, J330 = "", L330 = ""), Q330, 0)</f>
        <v>0</v>
      </c>
      <c r="V330" s="41" t="b">
        <f t="shared" ref="V330:V337" si="291">INDEX(itemPrepMethods, MATCH(K330, itemNames, 0))="chop"</f>
        <v>0</v>
      </c>
      <c r="W330" s="54" t="str">
        <f t="shared" ref="W330:W337" si="292">IF(V330, Q330, "")</f>
        <v/>
      </c>
      <c r="X330" s="55" t="str">
        <f t="shared" ref="X330:X337" si="293">IF(V330, IF(L330 = "", "", L330), "")</f>
        <v/>
      </c>
      <c r="Y330" s="55" t="str">
        <f t="shared" ref="Y330:Y337" si="294">IF(V330, K330, "")</f>
        <v/>
      </c>
      <c r="Z330" s="56"/>
      <c r="AA330" s="41" t="b">
        <f t="shared" ref="AA330:AA337" si="295">INDEX(itemPrepMethods, MATCH(K330, itemNames, 0))="soak"</f>
        <v>0</v>
      </c>
      <c r="AB330" s="55" t="str">
        <f t="shared" ref="AB330:AB337" si="296">IF(AA330, Q330, "")</f>
        <v/>
      </c>
      <c r="AC330" s="55" t="str">
        <f t="shared" ref="AC330:AC337" si="297">IF(AA330, IF(L330 = "", "", L330), "")</f>
        <v/>
      </c>
      <c r="AD330" s="55" t="str">
        <f t="shared" ref="AD330:AD337" si="298">IF(AA330, K330, "")</f>
        <v/>
      </c>
    </row>
    <row r="331" spans="1:30" x14ac:dyDescent="0.25">
      <c r="A331" s="37" t="s">
        <v>21</v>
      </c>
      <c r="B331" s="49">
        <f t="shared" si="280"/>
        <v>4</v>
      </c>
      <c r="C331" s="36" t="str">
        <f t="shared" si="281"/>
        <v>tbs</v>
      </c>
      <c r="D331" s="37" t="str">
        <f t="shared" si="282"/>
        <v>minced fresh ginger</v>
      </c>
      <c r="I331" s="59">
        <v>6</v>
      </c>
      <c r="J331" s="52" t="s">
        <v>15</v>
      </c>
      <c r="K331" s="52" t="s">
        <v>221</v>
      </c>
      <c r="L331" s="53" t="s">
        <v>15</v>
      </c>
      <c r="M331" s="44">
        <f t="shared" si="283"/>
        <v>0</v>
      </c>
      <c r="N331" s="44">
        <f t="shared" si="284"/>
        <v>0</v>
      </c>
      <c r="O331" s="44">
        <f t="shared" si="285"/>
        <v>0</v>
      </c>
      <c r="P331" s="44">
        <f t="shared" si="286"/>
        <v>8.872058868749999E-2</v>
      </c>
      <c r="Q331" s="44">
        <f t="shared" si="287"/>
        <v>4</v>
      </c>
      <c r="R331" s="44">
        <f t="shared" si="288"/>
        <v>0</v>
      </c>
      <c r="S331" s="44">
        <f t="shared" si="289"/>
        <v>5.9147059124999998E-2</v>
      </c>
      <c r="T331" s="44">
        <f t="shared" si="290"/>
        <v>0</v>
      </c>
      <c r="V331" s="41" t="b">
        <f t="shared" si="291"/>
        <v>1</v>
      </c>
      <c r="W331" s="54">
        <f t="shared" si="292"/>
        <v>4</v>
      </c>
      <c r="X331" s="55" t="str">
        <f t="shared" si="293"/>
        <v>tbs</v>
      </c>
      <c r="Y331" s="55" t="str">
        <f t="shared" si="294"/>
        <v>minced fresh ginger</v>
      </c>
      <c r="Z331" s="56"/>
      <c r="AA331" s="41" t="b">
        <f t="shared" si="295"/>
        <v>0</v>
      </c>
      <c r="AB331" s="55" t="str">
        <f t="shared" si="296"/>
        <v/>
      </c>
      <c r="AC331" s="55" t="str">
        <f t="shared" si="297"/>
        <v/>
      </c>
      <c r="AD331" s="55" t="str">
        <f t="shared" si="298"/>
        <v/>
      </c>
    </row>
    <row r="332" spans="1:30" x14ac:dyDescent="0.25">
      <c r="A332" s="37" t="s">
        <v>21</v>
      </c>
      <c r="B332" s="49">
        <f t="shared" si="280"/>
        <v>7.25</v>
      </c>
      <c r="C332" s="36" t="str">
        <f t="shared" si="281"/>
        <v/>
      </c>
      <c r="D332" s="37" t="str">
        <f t="shared" si="282"/>
        <v>chopped celery stalks</v>
      </c>
      <c r="I332" s="59">
        <v>11</v>
      </c>
      <c r="J332" s="52"/>
      <c r="K332" s="52" t="s">
        <v>148</v>
      </c>
      <c r="L332" s="53"/>
      <c r="M332" s="44">
        <f t="shared" si="283"/>
        <v>0</v>
      </c>
      <c r="N332" s="44">
        <f t="shared" si="284"/>
        <v>0</v>
      </c>
      <c r="O332" s="44">
        <f t="shared" si="285"/>
        <v>0</v>
      </c>
      <c r="P332" s="44">
        <f t="shared" si="286"/>
        <v>0</v>
      </c>
      <c r="Q332" s="44">
        <f t="shared" si="287"/>
        <v>7.25</v>
      </c>
      <c r="R332" s="44">
        <f t="shared" si="288"/>
        <v>0</v>
      </c>
      <c r="S332" s="44">
        <f t="shared" si="289"/>
        <v>0</v>
      </c>
      <c r="T332" s="44">
        <f t="shared" si="290"/>
        <v>7.25</v>
      </c>
      <c r="V332" s="41" t="b">
        <f t="shared" si="291"/>
        <v>1</v>
      </c>
      <c r="W332" s="54">
        <f t="shared" si="292"/>
        <v>7.25</v>
      </c>
      <c r="X332" s="55" t="str">
        <f t="shared" si="293"/>
        <v/>
      </c>
      <c r="Y332" s="55" t="str">
        <f t="shared" si="294"/>
        <v>chopped celery stalks</v>
      </c>
      <c r="Z332" s="56"/>
      <c r="AA332" s="41" t="b">
        <f t="shared" si="295"/>
        <v>0</v>
      </c>
      <c r="AB332" s="55" t="str">
        <f t="shared" si="296"/>
        <v/>
      </c>
      <c r="AC332" s="55" t="str">
        <f t="shared" si="297"/>
        <v/>
      </c>
      <c r="AD332" s="55" t="str">
        <f t="shared" si="298"/>
        <v/>
      </c>
    </row>
    <row r="333" spans="1:30" x14ac:dyDescent="0.25">
      <c r="A333" s="37" t="s">
        <v>21</v>
      </c>
      <c r="B333" s="49">
        <f t="shared" si="280"/>
        <v>0.75</v>
      </c>
      <c r="C333" s="36" t="str">
        <f t="shared" si="281"/>
        <v>tbs</v>
      </c>
      <c r="D333" s="37" t="str">
        <f t="shared" si="282"/>
        <v>curry powder</v>
      </c>
      <c r="I333" s="59">
        <v>1</v>
      </c>
      <c r="J333" s="52" t="s">
        <v>15</v>
      </c>
      <c r="K333" s="52" t="s">
        <v>9</v>
      </c>
      <c r="L333" s="53" t="s">
        <v>15</v>
      </c>
      <c r="M333" s="44">
        <f t="shared" si="283"/>
        <v>1.2E-2</v>
      </c>
      <c r="N333" s="44">
        <f t="shared" si="284"/>
        <v>2.2180100000000001E-2</v>
      </c>
      <c r="O333" s="44">
        <f t="shared" si="285"/>
        <v>8.0000170141252738E-3</v>
      </c>
      <c r="P333" s="44">
        <f t="shared" si="286"/>
        <v>1.478676478125E-2</v>
      </c>
      <c r="Q333" s="44">
        <f t="shared" si="287"/>
        <v>0.75</v>
      </c>
      <c r="R333" s="44">
        <f t="shared" si="288"/>
        <v>6.0000127605939558E-3</v>
      </c>
      <c r="S333" s="44">
        <f t="shared" si="289"/>
        <v>0</v>
      </c>
      <c r="T333" s="44">
        <f t="shared" si="290"/>
        <v>0</v>
      </c>
      <c r="V333" s="41" t="b">
        <f t="shared" si="291"/>
        <v>0</v>
      </c>
      <c r="W333" s="54" t="str">
        <f t="shared" si="292"/>
        <v/>
      </c>
      <c r="X333" s="55" t="str">
        <f t="shared" si="293"/>
        <v/>
      </c>
      <c r="Y333" s="55" t="str">
        <f t="shared" si="294"/>
        <v/>
      </c>
      <c r="Z333" s="56"/>
      <c r="AA333" s="41" t="b">
        <f t="shared" si="295"/>
        <v>0</v>
      </c>
      <c r="AB333" s="55" t="str">
        <f t="shared" si="296"/>
        <v/>
      </c>
      <c r="AC333" s="55" t="str">
        <f t="shared" si="297"/>
        <v/>
      </c>
      <c r="AD333" s="55" t="str">
        <f t="shared" si="298"/>
        <v/>
      </c>
    </row>
    <row r="334" spans="1:30" x14ac:dyDescent="0.25">
      <c r="A334" s="37" t="s">
        <v>21</v>
      </c>
      <c r="B334" s="49">
        <f t="shared" si="280"/>
        <v>1.25</v>
      </c>
      <c r="C334" s="36" t="str">
        <f t="shared" si="281"/>
        <v>tbs</v>
      </c>
      <c r="D334" s="37" t="str">
        <f t="shared" si="282"/>
        <v>ground cumin</v>
      </c>
      <c r="I334" s="59">
        <v>2</v>
      </c>
      <c r="J334" s="52" t="s">
        <v>15</v>
      </c>
      <c r="K334" s="52" t="s">
        <v>14</v>
      </c>
      <c r="L334" s="53" t="s">
        <v>15</v>
      </c>
      <c r="M334" s="44">
        <f t="shared" si="283"/>
        <v>1.0999999999999999E-2</v>
      </c>
      <c r="N334" s="44">
        <f t="shared" si="284"/>
        <v>2.2180100000000001E-2</v>
      </c>
      <c r="O334" s="44">
        <f t="shared" si="285"/>
        <v>1.4666697859229668E-2</v>
      </c>
      <c r="P334" s="44">
        <f t="shared" si="286"/>
        <v>2.9573529562499999E-2</v>
      </c>
      <c r="Q334" s="44">
        <f t="shared" si="287"/>
        <v>1.25</v>
      </c>
      <c r="R334" s="44">
        <f t="shared" si="288"/>
        <v>9.166686162018543E-3</v>
      </c>
      <c r="S334" s="44">
        <f t="shared" si="289"/>
        <v>0</v>
      </c>
      <c r="T334" s="44">
        <f t="shared" si="290"/>
        <v>0</v>
      </c>
      <c r="V334" s="41" t="b">
        <f t="shared" si="291"/>
        <v>0</v>
      </c>
      <c r="W334" s="54" t="str">
        <f t="shared" si="292"/>
        <v/>
      </c>
      <c r="X334" s="55" t="str">
        <f t="shared" si="293"/>
        <v/>
      </c>
      <c r="Y334" s="55" t="str">
        <f t="shared" si="294"/>
        <v/>
      </c>
      <c r="Z334" s="56"/>
      <c r="AA334" s="41" t="b">
        <f t="shared" si="295"/>
        <v>0</v>
      </c>
      <c r="AB334" s="55" t="str">
        <f t="shared" si="296"/>
        <v/>
      </c>
      <c r="AC334" s="55" t="str">
        <f t="shared" si="297"/>
        <v/>
      </c>
      <c r="AD334" s="55" t="str">
        <f t="shared" si="298"/>
        <v/>
      </c>
    </row>
    <row r="335" spans="1:30" x14ac:dyDescent="0.25">
      <c r="A335" s="37" t="s">
        <v>21</v>
      </c>
      <c r="B335" s="49">
        <f t="shared" ref="B335" si="299">Q335</f>
        <v>1.25</v>
      </c>
      <c r="C335" s="36" t="str">
        <f t="shared" si="281"/>
        <v>tbs</v>
      </c>
      <c r="D335" s="37" t="str">
        <f t="shared" si="282"/>
        <v>ground corriander</v>
      </c>
      <c r="I335" s="59">
        <v>2</v>
      </c>
      <c r="J335" s="52" t="s">
        <v>15</v>
      </c>
      <c r="K335" s="52" t="s">
        <v>149</v>
      </c>
      <c r="L335" s="53" t="s">
        <v>15</v>
      </c>
      <c r="M335" s="44">
        <f t="shared" si="283"/>
        <v>0</v>
      </c>
      <c r="N335" s="44">
        <f t="shared" si="284"/>
        <v>0</v>
      </c>
      <c r="O335" s="44">
        <f t="shared" si="285"/>
        <v>0</v>
      </c>
      <c r="P335" s="44">
        <f t="shared" si="286"/>
        <v>2.9573529562499999E-2</v>
      </c>
      <c r="Q335" s="44">
        <f t="shared" si="287"/>
        <v>1.25</v>
      </c>
      <c r="R335" s="44">
        <f t="shared" si="288"/>
        <v>0</v>
      </c>
      <c r="S335" s="44">
        <f t="shared" si="289"/>
        <v>1.84834559765625E-2</v>
      </c>
      <c r="T335" s="44">
        <f t="shared" si="290"/>
        <v>0</v>
      </c>
      <c r="V335" s="41" t="b">
        <f t="shared" si="291"/>
        <v>0</v>
      </c>
      <c r="W335" s="54" t="str">
        <f t="shared" si="292"/>
        <v/>
      </c>
      <c r="X335" s="55" t="str">
        <f t="shared" si="293"/>
        <v/>
      </c>
      <c r="Y335" s="55" t="str">
        <f t="shared" si="294"/>
        <v/>
      </c>
      <c r="Z335" s="56"/>
      <c r="AA335" s="41" t="b">
        <f t="shared" si="295"/>
        <v>0</v>
      </c>
      <c r="AB335" s="55" t="str">
        <f t="shared" si="296"/>
        <v/>
      </c>
      <c r="AC335" s="55" t="str">
        <f t="shared" si="297"/>
        <v/>
      </c>
      <c r="AD335" s="55" t="str">
        <f t="shared" si="298"/>
        <v/>
      </c>
    </row>
    <row r="336" spans="1:30" x14ac:dyDescent="0.25">
      <c r="A336" s="37" t="s">
        <v>21</v>
      </c>
      <c r="B336" s="49">
        <f t="shared" ref="B336:B337" si="300">Q336</f>
        <v>2.75</v>
      </c>
      <c r="C336" s="36" t="str">
        <f t="shared" si="281"/>
        <v>tbs</v>
      </c>
      <c r="D336" s="37" t="str">
        <f t="shared" si="282"/>
        <v>ground turmeric</v>
      </c>
      <c r="I336" s="59">
        <v>4</v>
      </c>
      <c r="J336" s="52" t="s">
        <v>15</v>
      </c>
      <c r="K336" s="52" t="s">
        <v>305</v>
      </c>
      <c r="L336" s="53" t="s">
        <v>15</v>
      </c>
      <c r="M336" s="44">
        <f t="shared" si="283"/>
        <v>1.4E-2</v>
      </c>
      <c r="N336" s="44">
        <f t="shared" si="284"/>
        <v>2.2180100000000001E-2</v>
      </c>
      <c r="O336" s="44">
        <f t="shared" si="285"/>
        <v>3.7333412732584614E-2</v>
      </c>
      <c r="P336" s="44">
        <f t="shared" si="286"/>
        <v>5.9147059124999998E-2</v>
      </c>
      <c r="Q336" s="44">
        <f t="shared" si="287"/>
        <v>2.75</v>
      </c>
      <c r="R336" s="44">
        <f t="shared" si="288"/>
        <v>2.5666721253651922E-2</v>
      </c>
      <c r="S336" s="44">
        <f t="shared" si="289"/>
        <v>0</v>
      </c>
      <c r="T336" s="44">
        <f t="shared" si="290"/>
        <v>0</v>
      </c>
      <c r="V336" s="41" t="b">
        <f t="shared" si="291"/>
        <v>0</v>
      </c>
      <c r="W336" s="54" t="str">
        <f t="shared" si="292"/>
        <v/>
      </c>
      <c r="X336" s="55" t="str">
        <f t="shared" si="293"/>
        <v/>
      </c>
      <c r="Y336" s="55" t="str">
        <f t="shared" si="294"/>
        <v/>
      </c>
      <c r="Z336" s="56"/>
      <c r="AA336" s="41" t="b">
        <f t="shared" si="295"/>
        <v>0</v>
      </c>
      <c r="AB336" s="55" t="str">
        <f t="shared" si="296"/>
        <v/>
      </c>
      <c r="AC336" s="55" t="str">
        <f t="shared" si="297"/>
        <v/>
      </c>
      <c r="AD336" s="55" t="str">
        <f t="shared" si="298"/>
        <v/>
      </c>
    </row>
    <row r="337" spans="1:30" x14ac:dyDescent="0.25">
      <c r="A337" s="37" t="s">
        <v>21</v>
      </c>
      <c r="B337" s="49">
        <f t="shared" si="300"/>
        <v>0.5</v>
      </c>
      <c r="C337" s="36" t="str">
        <f t="shared" si="281"/>
        <v>tbs</v>
      </c>
      <c r="D337" s="37" t="str">
        <f t="shared" si="282"/>
        <v>cinnamon</v>
      </c>
      <c r="I337" s="59">
        <v>0.8</v>
      </c>
      <c r="J337" s="52" t="s">
        <v>15</v>
      </c>
      <c r="K337" s="52" t="s">
        <v>101</v>
      </c>
      <c r="L337" s="53" t="s">
        <v>15</v>
      </c>
      <c r="M337" s="44">
        <f t="shared" si="283"/>
        <v>1.0999999999999999E-2</v>
      </c>
      <c r="N337" s="44">
        <f t="shared" si="284"/>
        <v>2.2180100000000001E-2</v>
      </c>
      <c r="O337" s="44">
        <f t="shared" si="285"/>
        <v>5.8666791436918679E-3</v>
      </c>
      <c r="P337" s="44">
        <f t="shared" si="286"/>
        <v>1.1829411825E-2</v>
      </c>
      <c r="Q337" s="44">
        <f t="shared" si="287"/>
        <v>0.5</v>
      </c>
      <c r="R337" s="44">
        <f t="shared" si="288"/>
        <v>3.6666744648074169E-3</v>
      </c>
      <c r="S337" s="44">
        <f t="shared" si="289"/>
        <v>0</v>
      </c>
      <c r="T337" s="44">
        <f t="shared" si="290"/>
        <v>0</v>
      </c>
      <c r="V337" s="41" t="b">
        <f t="shared" si="291"/>
        <v>0</v>
      </c>
      <c r="W337" s="54" t="str">
        <f t="shared" si="292"/>
        <v/>
      </c>
      <c r="X337" s="55" t="str">
        <f t="shared" si="293"/>
        <v/>
      </c>
      <c r="Y337" s="55" t="str">
        <f t="shared" si="294"/>
        <v/>
      </c>
      <c r="Z337" s="56"/>
      <c r="AA337" s="41" t="b">
        <f t="shared" si="295"/>
        <v>0</v>
      </c>
      <c r="AB337" s="55" t="str">
        <f t="shared" si="296"/>
        <v/>
      </c>
      <c r="AC337" s="55" t="str">
        <f t="shared" si="297"/>
        <v/>
      </c>
      <c r="AD337" s="55" t="str">
        <f t="shared" si="298"/>
        <v/>
      </c>
    </row>
    <row r="338" spans="1:30" x14ac:dyDescent="0.25">
      <c r="A338" s="115"/>
      <c r="B338" s="115"/>
      <c r="C338" s="115"/>
      <c r="D338" s="115"/>
      <c r="I338" s="60"/>
      <c r="J338" s="57"/>
      <c r="K338" s="57"/>
      <c r="L338" s="57"/>
      <c r="M338" s="57"/>
      <c r="N338" s="57"/>
      <c r="O338" s="57"/>
      <c r="P338" s="57"/>
      <c r="W338" s="71"/>
      <c r="X338" s="72"/>
      <c r="Y338" s="72"/>
      <c r="Z338" s="73"/>
      <c r="AA338" s="64"/>
      <c r="AB338" s="71"/>
      <c r="AC338" s="71"/>
      <c r="AD338" s="71"/>
    </row>
    <row r="339" spans="1:30" x14ac:dyDescent="0.25">
      <c r="A339" s="115" t="s">
        <v>150</v>
      </c>
      <c r="B339" s="115"/>
      <c r="C339" s="115"/>
      <c r="D339" s="115"/>
      <c r="I339" s="44"/>
      <c r="L339" s="41"/>
      <c r="M339" s="41"/>
      <c r="N339" s="41"/>
      <c r="W339" s="71"/>
      <c r="X339" s="72"/>
      <c r="Y339" s="72"/>
      <c r="Z339" s="73"/>
      <c r="AA339" s="64"/>
      <c r="AB339" s="71"/>
      <c r="AC339" s="71"/>
      <c r="AD339" s="71"/>
    </row>
    <row r="340" spans="1:30" x14ac:dyDescent="0.25">
      <c r="A340" s="37" t="s">
        <v>21</v>
      </c>
      <c r="B340" s="49">
        <f t="shared" ref="B340:B342" si="301">Q340</f>
        <v>6</v>
      </c>
      <c r="C340" s="36" t="str">
        <f>IF(L340="","",L340)</f>
        <v>cup</v>
      </c>
      <c r="D340" s="37" t="str">
        <f>_xlfn.CONCAT(K340, U340)</f>
        <v>vegetable stock. This soup is thick so DON'T ADD TOO MUCH</v>
      </c>
      <c r="I340" s="59">
        <v>9</v>
      </c>
      <c r="J340" s="52" t="s">
        <v>16</v>
      </c>
      <c r="K340" s="52" t="s">
        <v>55</v>
      </c>
      <c r="L340" s="53" t="s">
        <v>16</v>
      </c>
      <c r="M340" s="44">
        <f>INDEX(itemGPerQty, MATCH(K340, itemNames, 0))</f>
        <v>0</v>
      </c>
      <c r="N340" s="44">
        <f>INDEX(itemMlPerQty, MATCH(K340, itemNames, 0))</f>
        <v>0</v>
      </c>
      <c r="O340" s="44">
        <f t="shared" ref="O340:O343" si="302">IF(J340 = "", I340 * M340, IF(ISNA(CONVERT(I340, J340, "kg")), CONVERT(I340, J340, "l") * IF(N340 &lt;&gt; 0, M340 / N340, 0), CONVERT(I340, J340, "kg")))</f>
        <v>0</v>
      </c>
      <c r="P340" s="44">
        <f t="shared" ref="P340:P343" si="303">IF(J340 = "", I340 * N340, IF(ISNA(CONVERT(I340, J340, "l")), CONVERT(I340, J340, "kg") * IF(M340 &lt;&gt; 0, N340 / M340, 0), CONVERT(I340, J340, "l")))</f>
        <v>2.1292941284999998</v>
      </c>
      <c r="Q340" s="44">
        <f>MROUND(IF(AND(J340 = "", L340 = ""), I340 * recipe09DayScale, IF(ISNA(CONVERT(O340, "kg", L340)), CONVERT(P340 * recipe09DayScale, "l", L340), CONVERT(O340 * recipe09DayScale, "kg", L340))), roundTo)</f>
        <v>6</v>
      </c>
      <c r="R340" s="44">
        <f>recipe09TotScale * IF(L340 = "", Q340 * M340, IF(ISNA(CONVERT(Q340, L340, "kg")), CONVERT(Q340, L340, "l") * IF(N340 &lt;&gt; 0, M340 / N340, 0), CONVERT(Q340, L340, "kg")))</f>
        <v>0</v>
      </c>
      <c r="S340" s="44">
        <f>recipe09TotScale * IF(R340 = 0, IF(L340 = "", Q340 * N340, IF(ISNA(CONVERT(Q340, L340, "l")), CONVERT(Q340, L340, "kg") * IF(M340 &lt;&gt; 0, N340 / M340, 0), CONVERT(Q340, L340, "l"))), 0)</f>
        <v>1.4195294189999998</v>
      </c>
      <c r="T340" s="44">
        <f>recipe09TotScale * IF(AND(R340 = 0, S340 = 0, J340 = "", L340 = ""), Q340, 0)</f>
        <v>0</v>
      </c>
      <c r="U340" s="41" t="s">
        <v>290</v>
      </c>
      <c r="V340" s="41" t="b">
        <f>INDEX(itemPrepMethods, MATCH(K340, itemNames, 0))="chop"</f>
        <v>0</v>
      </c>
      <c r="W340" s="54" t="str">
        <f>IF(V340, Q340, "")</f>
        <v/>
      </c>
      <c r="X340" s="55" t="str">
        <f>IF(V340, IF(L340 = "", "", L340), "")</f>
        <v/>
      </c>
      <c r="Y340" s="55" t="str">
        <f>IF(V340, K340, "")</f>
        <v/>
      </c>
      <c r="Z340" s="56"/>
      <c r="AA340" s="41" t="b">
        <f>INDEX(itemPrepMethods, MATCH(K340, itemNames, 0))="soak"</f>
        <v>0</v>
      </c>
      <c r="AB340" s="55" t="str">
        <f>IF(AA340, Q340, "")</f>
        <v/>
      </c>
      <c r="AC340" s="55" t="str">
        <f>IF(AA340, IF(L340 = "", "", L340), "")</f>
        <v/>
      </c>
      <c r="AD340" s="55" t="str">
        <f>IF(AA340, K340, "")</f>
        <v/>
      </c>
    </row>
    <row r="341" spans="1:30" x14ac:dyDescent="0.25">
      <c r="A341" s="37" t="s">
        <v>21</v>
      </c>
      <c r="B341" s="49">
        <f t="shared" si="301"/>
        <v>5.25</v>
      </c>
      <c r="C341" s="36" t="str">
        <f>IF(L341="","",L341)</f>
        <v/>
      </c>
      <c r="D341" s="37" t="str">
        <f>_xlfn.CONCAT(K341, U341)</f>
        <v>chopped carrots</v>
      </c>
      <c r="I341" s="59">
        <v>8</v>
      </c>
      <c r="J341" s="52"/>
      <c r="K341" s="52" t="s">
        <v>5</v>
      </c>
      <c r="L341" s="53"/>
      <c r="M341" s="44">
        <f>INDEX(itemGPerQty, MATCH(K341, itemNames, 0))</f>
        <v>0.14833333333333334</v>
      </c>
      <c r="N341" s="44">
        <f>INDEX(itemMlPerQty, MATCH(K341, itemNames, 0))</f>
        <v>0.19999999999999998</v>
      </c>
      <c r="O341" s="44">
        <f t="shared" si="302"/>
        <v>1.1866666666666668</v>
      </c>
      <c r="P341" s="44">
        <f t="shared" si="303"/>
        <v>1.5999999999999999</v>
      </c>
      <c r="Q341" s="44">
        <f>MROUND(IF(AND(J341 = "", L341 = ""), I341 * recipe09DayScale, IF(ISNA(CONVERT(O341, "kg", L341)), CONVERT(P341 * recipe09DayScale, "l", L341), CONVERT(O341 * recipe09DayScale, "kg", L341))), roundTo)</f>
        <v>5.25</v>
      </c>
      <c r="R341" s="44">
        <f>recipe09TotScale * IF(L341 = "", Q341 * M341, IF(ISNA(CONVERT(Q341, L341, "kg")), CONVERT(Q341, L341, "l") * IF(N341 &lt;&gt; 0, M341 / N341, 0), CONVERT(Q341, L341, "kg")))</f>
        <v>0.77875000000000005</v>
      </c>
      <c r="S341" s="44">
        <f>recipe09TotScale * IF(R341 = 0, IF(L341 = "", Q341 * N341, IF(ISNA(CONVERT(Q341, L341, "l")), CONVERT(Q341, L341, "kg") * IF(M341 &lt;&gt; 0, N341 / M341, 0), CONVERT(Q341, L341, "l"))), 0)</f>
        <v>0</v>
      </c>
      <c r="T341" s="44">
        <f>recipe09TotScale * IF(AND(R341 = 0, S341 = 0, J341 = "", L341 = ""), Q341, 0)</f>
        <v>0</v>
      </c>
      <c r="V341" s="41" t="b">
        <f>INDEX(itemPrepMethods, MATCH(K341, itemNames, 0))="chop"</f>
        <v>1</v>
      </c>
      <c r="W341" s="54">
        <f>IF(V341, Q341, "")</f>
        <v>5.25</v>
      </c>
      <c r="X341" s="55" t="str">
        <f>IF(V341, IF(L341 = "", "", L341), "")</f>
        <v/>
      </c>
      <c r="Y341" s="55" t="str">
        <f>IF(V341, K341, "")</f>
        <v>chopped carrots</v>
      </c>
      <c r="Z341" s="56"/>
      <c r="AA341" s="41" t="b">
        <f>INDEX(itemPrepMethods, MATCH(K341, itemNames, 0))="soak"</f>
        <v>0</v>
      </c>
      <c r="AB341" s="55" t="str">
        <f>IF(AA341, Q341, "")</f>
        <v/>
      </c>
      <c r="AC341" s="55" t="str">
        <f>IF(AA341, IF(L341 = "", "", L341), "")</f>
        <v/>
      </c>
      <c r="AD341" s="55" t="str">
        <f>IF(AA341, K341, "")</f>
        <v/>
      </c>
    </row>
    <row r="342" spans="1:30" x14ac:dyDescent="0.25">
      <c r="A342" s="37" t="s">
        <v>21</v>
      </c>
      <c r="B342" s="49">
        <f t="shared" si="301"/>
        <v>3.25</v>
      </c>
      <c r="C342" s="36" t="str">
        <f>IF(L342="","",L342)</f>
        <v/>
      </c>
      <c r="D342" s="37" t="str">
        <f>_xlfn.CONCAT(K342, U342)</f>
        <v>chopped kumara</v>
      </c>
      <c r="I342" s="59">
        <v>5</v>
      </c>
      <c r="J342" s="52"/>
      <c r="K342" s="52" t="s">
        <v>151</v>
      </c>
      <c r="L342" s="53"/>
      <c r="M342" s="44">
        <f>INDEX(itemGPerQty, MATCH(K342, itemNames, 0))</f>
        <v>0.34</v>
      </c>
      <c r="N342" s="44">
        <f>INDEX(itemMlPerQty, MATCH(K342, itemNames, 0))</f>
        <v>0</v>
      </c>
      <c r="O342" s="44">
        <f t="shared" si="302"/>
        <v>1.7000000000000002</v>
      </c>
      <c r="P342" s="44">
        <f t="shared" si="303"/>
        <v>0</v>
      </c>
      <c r="Q342" s="44">
        <f>MROUND(IF(AND(J342 = "", L342 = ""), I342 * recipe09DayScale, IF(ISNA(CONVERT(O342, "kg", L342)), CONVERT(P342 * recipe09DayScale, "l", L342), CONVERT(O342 * recipe09DayScale, "kg", L342))), roundTo)</f>
        <v>3.25</v>
      </c>
      <c r="R342" s="44">
        <f>recipe09TotScale * IF(L342 = "", Q342 * M342, IF(ISNA(CONVERT(Q342, L342, "kg")), CONVERT(Q342, L342, "l") * IF(N342 &lt;&gt; 0, M342 / N342, 0), CONVERT(Q342, L342, "kg")))</f>
        <v>1.105</v>
      </c>
      <c r="S342" s="44">
        <f>recipe09TotScale * IF(R342 = 0, IF(L342 = "", Q342 * N342, IF(ISNA(CONVERT(Q342, L342, "l")), CONVERT(Q342, L342, "kg") * IF(M342 &lt;&gt; 0, N342 / M342, 0), CONVERT(Q342, L342, "l"))), 0)</f>
        <v>0</v>
      </c>
      <c r="T342" s="44">
        <f>recipe09TotScale * IF(AND(R342 = 0, S342 = 0, J342 = "", L342 = ""), Q342, 0)</f>
        <v>0</v>
      </c>
      <c r="V342" s="41" t="b">
        <f>INDEX(itemPrepMethods, MATCH(K342, itemNames, 0))="chop"</f>
        <v>1</v>
      </c>
      <c r="W342" s="54">
        <f>IF(V342, Q342, "")</f>
        <v>3.25</v>
      </c>
      <c r="X342" s="55" t="str">
        <f>IF(V342, IF(L342 = "", "", L342), "")</f>
        <v/>
      </c>
      <c r="Y342" s="55" t="str">
        <f>IF(V342, K342, "")</f>
        <v>chopped kumara</v>
      </c>
      <c r="Z342" s="56"/>
      <c r="AA342" s="41" t="b">
        <f>INDEX(itemPrepMethods, MATCH(K342, itemNames, 0))="soak"</f>
        <v>0</v>
      </c>
      <c r="AB342" s="55" t="str">
        <f>IF(AA342, Q342, "")</f>
        <v/>
      </c>
      <c r="AC342" s="55" t="str">
        <f>IF(AA342, IF(L342 = "", "", L342), "")</f>
        <v/>
      </c>
      <c r="AD342" s="55" t="str">
        <f>IF(AA342, K342, "")</f>
        <v/>
      </c>
    </row>
    <row r="343" spans="1:30" x14ac:dyDescent="0.25">
      <c r="A343" s="37" t="s">
        <v>21</v>
      </c>
      <c r="B343" s="49">
        <f t="shared" ref="B343:B348" si="304">Q343</f>
        <v>2</v>
      </c>
      <c r="C343" s="36" t="str">
        <f>IF(L343="","",L343)</f>
        <v/>
      </c>
      <c r="D343" s="37" t="str">
        <f>_xlfn.CONCAT(K343, U343)</f>
        <v>tinned black beans, drained and rinsed</v>
      </c>
      <c r="I343" s="59">
        <v>3</v>
      </c>
      <c r="J343" s="52"/>
      <c r="K343" s="52" t="s">
        <v>444</v>
      </c>
      <c r="L343" s="53"/>
      <c r="M343" s="44">
        <f>INDEX(itemGPerQty, MATCH(K343, itemNames, 0))</f>
        <v>0</v>
      </c>
      <c r="N343" s="44">
        <f>INDEX(itemMlPerQty, MATCH(K343, itemNames, 0))</f>
        <v>0</v>
      </c>
      <c r="O343" s="44">
        <f t="shared" si="302"/>
        <v>0</v>
      </c>
      <c r="P343" s="44">
        <f t="shared" si="303"/>
        <v>0</v>
      </c>
      <c r="Q343" s="44">
        <f>MROUND(IF(AND(J343 = "", L343 = ""), I343 * recipe09DayScale, IF(ISNA(CONVERT(O343, "kg", L343)), CONVERT(P343 * recipe09DayScale, "l", L343), CONVERT(O343 * recipe09DayScale, "kg", L343))), roundTo)</f>
        <v>2</v>
      </c>
      <c r="R343" s="44">
        <f>recipe09TotScale * IF(L343 = "", Q343 * M343, IF(ISNA(CONVERT(Q343, L343, "kg")), CONVERT(Q343, L343, "l") * IF(N343 &lt;&gt; 0, M343 / N343, 0), CONVERT(Q343, L343, "kg")))</f>
        <v>0</v>
      </c>
      <c r="S343" s="44">
        <f>recipe09TotScale * IF(R343 = 0, IF(L343 = "", Q343 * N343, IF(ISNA(CONVERT(Q343, L343, "l")), CONVERT(Q343, L343, "kg") * IF(M343 &lt;&gt; 0, N343 / M343, 0), CONVERT(Q343, L343, "l"))), 0)</f>
        <v>0</v>
      </c>
      <c r="T343" s="44">
        <f>recipe09TotScale * IF(AND(R343 = 0, S343 = 0, J343 = "", L343 = ""), Q343, 0)</f>
        <v>2</v>
      </c>
      <c r="U343" s="41" t="s">
        <v>296</v>
      </c>
      <c r="V343" s="41" t="b">
        <f>INDEX(itemPrepMethods, MATCH(K343, itemNames, 0))="chop"</f>
        <v>0</v>
      </c>
      <c r="W343" s="54" t="str">
        <f>IF(V343, Q343, "")</f>
        <v/>
      </c>
      <c r="X343" s="55" t="str">
        <f>IF(V343, IF(L343 = "", "", L343), "")</f>
        <v/>
      </c>
      <c r="Y343" s="55" t="str">
        <f>IF(V343, K343, "")</f>
        <v/>
      </c>
      <c r="Z343" s="56"/>
      <c r="AA343" s="41" t="b">
        <f>INDEX(itemPrepMethods, MATCH(K343, itemNames, 0))="soak"</f>
        <v>0</v>
      </c>
      <c r="AB343" s="55" t="str">
        <f>IF(AA343, Q343, "")</f>
        <v/>
      </c>
      <c r="AC343" s="55" t="str">
        <f>IF(AA343, IF(L343 = "", "", L343), "")</f>
        <v/>
      </c>
      <c r="AD343" s="55" t="str">
        <f>IF(AA343, K343, "")</f>
        <v/>
      </c>
    </row>
    <row r="344" spans="1:30" x14ac:dyDescent="0.25">
      <c r="A344" s="115"/>
      <c r="B344" s="115"/>
      <c r="C344" s="115"/>
      <c r="D344" s="115"/>
      <c r="I344" s="60"/>
      <c r="J344" s="57"/>
      <c r="K344" s="57"/>
      <c r="L344" s="57"/>
      <c r="M344" s="57"/>
      <c r="N344" s="57"/>
      <c r="O344" s="57"/>
      <c r="P344" s="57"/>
      <c r="W344" s="71"/>
      <c r="X344" s="72"/>
      <c r="Y344" s="72"/>
      <c r="Z344" s="73"/>
      <c r="AA344" s="64"/>
      <c r="AB344" s="71"/>
      <c r="AC344" s="71"/>
      <c r="AD344" s="71"/>
    </row>
    <row r="345" spans="1:30" x14ac:dyDescent="0.25">
      <c r="A345" s="115" t="s">
        <v>152</v>
      </c>
      <c r="B345" s="115"/>
      <c r="C345" s="115"/>
      <c r="D345" s="115"/>
      <c r="I345" s="44"/>
      <c r="L345" s="41"/>
      <c r="M345" s="41"/>
      <c r="N345" s="41"/>
      <c r="W345" s="71"/>
      <c r="X345" s="72"/>
      <c r="Y345" s="72"/>
      <c r="Z345" s="73"/>
      <c r="AA345" s="64"/>
      <c r="AB345" s="71"/>
      <c r="AC345" s="71"/>
      <c r="AD345" s="71"/>
    </row>
    <row r="346" spans="1:30" x14ac:dyDescent="0.25">
      <c r="A346" s="115"/>
      <c r="B346" s="115"/>
      <c r="C346" s="115"/>
      <c r="D346" s="115"/>
      <c r="I346" s="60"/>
      <c r="J346" s="57"/>
      <c r="K346" s="57"/>
      <c r="L346" s="57"/>
      <c r="M346" s="57"/>
      <c r="N346" s="57"/>
      <c r="O346" s="57"/>
      <c r="P346" s="57"/>
      <c r="W346" s="71"/>
      <c r="X346" s="72"/>
      <c r="Y346" s="72"/>
      <c r="Z346" s="73"/>
      <c r="AA346" s="64"/>
      <c r="AB346" s="71"/>
      <c r="AC346" s="71"/>
      <c r="AD346" s="71"/>
    </row>
    <row r="347" spans="1:30" x14ac:dyDescent="0.25">
      <c r="A347" s="115" t="s">
        <v>153</v>
      </c>
      <c r="B347" s="115"/>
      <c r="C347" s="115"/>
      <c r="D347" s="115"/>
      <c r="I347" s="44"/>
      <c r="L347" s="41"/>
      <c r="M347" s="41"/>
      <c r="N347" s="41"/>
      <c r="W347" s="71"/>
      <c r="X347" s="72"/>
      <c r="Y347" s="72"/>
      <c r="Z347" s="73"/>
      <c r="AA347" s="64"/>
      <c r="AB347" s="71"/>
      <c r="AC347" s="71"/>
      <c r="AD347" s="71"/>
    </row>
    <row r="348" spans="1:30" x14ac:dyDescent="0.25">
      <c r="A348" s="37" t="s">
        <v>21</v>
      </c>
      <c r="B348" s="49">
        <f t="shared" si="304"/>
        <v>1</v>
      </c>
      <c r="C348" s="36" t="str">
        <f>IF(L348="","",L348)</f>
        <v/>
      </c>
      <c r="D348" s="37" t="str">
        <f>_xlfn.CONCAT(K348, U348)</f>
        <v>tinned coconut cream</v>
      </c>
      <c r="I348" s="59">
        <v>1.5</v>
      </c>
      <c r="J348" s="52"/>
      <c r="K348" s="52" t="s">
        <v>447</v>
      </c>
      <c r="L348" s="53"/>
      <c r="M348" s="44">
        <f>INDEX(itemGPerQty, MATCH(K348, itemNames, 0))</f>
        <v>0</v>
      </c>
      <c r="N348" s="44">
        <f>INDEX(itemMlPerQty, MATCH(K348, itemNames, 0))</f>
        <v>0</v>
      </c>
      <c r="O348" s="44">
        <f t="shared" ref="O348:O349" si="305">IF(J348 = "", I348 * M348, IF(ISNA(CONVERT(I348, J348, "kg")), CONVERT(I348, J348, "l") * IF(N348 &lt;&gt; 0, M348 / N348, 0), CONVERT(I348, J348, "kg")))</f>
        <v>0</v>
      </c>
      <c r="P348" s="44">
        <f t="shared" ref="P348:P349" si="306">IF(J348 = "", I348 * N348, IF(ISNA(CONVERT(I348, J348, "l")), CONVERT(I348, J348, "kg") * IF(M348 &lt;&gt; 0, N348 / M348, 0), CONVERT(I348, J348, "l")))</f>
        <v>0</v>
      </c>
      <c r="Q348" s="44">
        <f>MROUND(IF(AND(J348 = "", L348 = ""), I348 * recipe09DayScale, IF(ISNA(CONVERT(O348, "kg", L348)), CONVERT(P348 * recipe09DayScale, "l", L348), CONVERT(O348 * recipe09DayScale, "kg", L348))), roundTo)</f>
        <v>1</v>
      </c>
      <c r="R348" s="44">
        <f>recipe09TotScale * IF(L348 = "", Q348 * M348, IF(ISNA(CONVERT(Q348, L348, "kg")), CONVERT(Q348, L348, "l") * IF(N348 &lt;&gt; 0, M348 / N348, 0), CONVERT(Q348, L348, "kg")))</f>
        <v>0</v>
      </c>
      <c r="S348" s="44">
        <f>recipe09TotScale * IF(R348 = 0, IF(L348 = "", Q348 * N348, IF(ISNA(CONVERT(Q348, L348, "l")), CONVERT(Q348, L348, "kg") * IF(M348 &lt;&gt; 0, N348 / M348, 0), CONVERT(Q348, L348, "l"))), 0)</f>
        <v>0</v>
      </c>
      <c r="T348" s="44">
        <f>recipe09TotScale * IF(AND(R348 = 0, S348 = 0, J348 = "", L348 = ""), Q348, 0)</f>
        <v>1</v>
      </c>
      <c r="V348" s="41" t="b">
        <f>INDEX(itemPrepMethods, MATCH(K348, itemNames, 0))="chop"</f>
        <v>0</v>
      </c>
      <c r="W348" s="54" t="str">
        <f>IF(V348, Q348, "")</f>
        <v/>
      </c>
      <c r="X348" s="55" t="str">
        <f>IF(V348, IF(L348 = "", "", L348), "")</f>
        <v/>
      </c>
      <c r="Y348" s="55" t="str">
        <f>IF(V348, K348, "")</f>
        <v/>
      </c>
      <c r="Z348" s="56"/>
      <c r="AA348" s="41" t="b">
        <f>INDEX(itemPrepMethods, MATCH(K348, itemNames, 0))="soak"</f>
        <v>0</v>
      </c>
      <c r="AB348" s="55" t="str">
        <f>IF(AA348, Q348, "")</f>
        <v/>
      </c>
      <c r="AC348" s="55" t="str">
        <f>IF(AA348, IF(L348 = "", "", L348), "")</f>
        <v/>
      </c>
      <c r="AD348" s="55" t="str">
        <f>IF(AA348, K348, "")</f>
        <v/>
      </c>
    </row>
    <row r="349" spans="1:30" x14ac:dyDescent="0.25">
      <c r="A349" s="37" t="s">
        <v>21</v>
      </c>
      <c r="B349" s="49">
        <f t="shared" ref="B349" si="307">Q349</f>
        <v>1.25</v>
      </c>
      <c r="C349" s="36" t="str">
        <f>IF(L349="","",L349)</f>
        <v/>
      </c>
      <c r="D349" s="62" t="str">
        <f>_xlfn.CONCAT(K349, U349)</f>
        <v>juiced lemons</v>
      </c>
      <c r="I349" s="59">
        <v>2</v>
      </c>
      <c r="J349" s="52"/>
      <c r="K349" s="52" t="s">
        <v>383</v>
      </c>
      <c r="L349" s="53"/>
      <c r="M349" s="44">
        <f>INDEX(itemGPerQty, MATCH(K349, itemNames, 0))</f>
        <v>0</v>
      </c>
      <c r="N349" s="44">
        <f>INDEX(itemMlPerQty, MATCH(K349, itemNames, 0))</f>
        <v>0</v>
      </c>
      <c r="O349" s="44">
        <f t="shared" si="305"/>
        <v>0</v>
      </c>
      <c r="P349" s="44">
        <f t="shared" si="306"/>
        <v>0</v>
      </c>
      <c r="Q349" s="44">
        <f>MROUND(IF(AND(J349 = "", L349 = ""), I349 * recipe09DayScale, IF(ISNA(CONVERT(O349, "kg", L349)), CONVERT(P349 * recipe09DayScale, "l", L349), CONVERT(O349 * recipe09DayScale, "kg", L349))), roundTo)</f>
        <v>1.25</v>
      </c>
      <c r="R349" s="44">
        <f>recipe09TotScale * IF(L349 = "", Q349 * M349, IF(ISNA(CONVERT(Q349, L349, "kg")), CONVERT(Q349, L349, "l") * IF(N349 &lt;&gt; 0, M349 / N349, 0), CONVERT(Q349, L349, "kg")))</f>
        <v>0</v>
      </c>
      <c r="S349" s="44">
        <f>recipe09TotScale * IF(R349 = 0, IF(L349 = "", Q349 * N349, IF(ISNA(CONVERT(Q349, L349, "l")), CONVERT(Q349, L349, "kg") * IF(M349 &lt;&gt; 0, N349 / M349, 0), CONVERT(Q349, L349, "l"))), 0)</f>
        <v>0</v>
      </c>
      <c r="T349" s="44">
        <f>recipe09TotScale * IF(AND(R349 = 0, S349 = 0, J349 = "", L349 = ""), Q349, 0)</f>
        <v>1.25</v>
      </c>
      <c r="V349" s="41" t="b">
        <f>INDEX(itemPrepMethods, MATCH(K349, itemNames, 0))="chop"</f>
        <v>1</v>
      </c>
      <c r="W349" s="54">
        <f>IF(V349, Q349, "")</f>
        <v>1.25</v>
      </c>
      <c r="X349" s="55" t="str">
        <f>IF(V349, IF(L349 = "", "", L349), "")</f>
        <v/>
      </c>
      <c r="Y349" s="55" t="str">
        <f>IF(V349, K349, "")</f>
        <v>juiced lemons</v>
      </c>
      <c r="Z349" s="56"/>
      <c r="AA349" s="41" t="b">
        <f>INDEX(itemPrepMethods, MATCH(K349, itemNames, 0))="soak"</f>
        <v>0</v>
      </c>
      <c r="AB349" s="55" t="str">
        <f>IF(AA349, Q349, "")</f>
        <v/>
      </c>
      <c r="AC349" s="55" t="str">
        <f>IF(AA349, IF(L349 = "", "", L349), "")</f>
        <v/>
      </c>
      <c r="AD349" s="55" t="str">
        <f>IF(AA349, K349, "")</f>
        <v/>
      </c>
    </row>
    <row r="350" spans="1:30" x14ac:dyDescent="0.25">
      <c r="A350" s="37" t="s">
        <v>21</v>
      </c>
      <c r="B350" s="49"/>
      <c r="C350" s="36" t="str">
        <f>IF(L350="","",L350)</f>
        <v/>
      </c>
      <c r="D350" s="37" t="str">
        <f>_xlfn.CONCAT(K350, U350)</f>
        <v>water, if required</v>
      </c>
      <c r="I350" s="44"/>
      <c r="K350" s="52" t="s">
        <v>47</v>
      </c>
      <c r="L350" s="41"/>
      <c r="M350" s="41"/>
      <c r="N350" s="41"/>
      <c r="O350" s="41"/>
      <c r="P350" s="41"/>
      <c r="U350" s="41" t="s">
        <v>207</v>
      </c>
      <c r="V350" s="41" t="b">
        <f>INDEX(itemPrepMethods, MATCH(K350, itemNames, 0))="chop"</f>
        <v>0</v>
      </c>
      <c r="W350" s="54" t="str">
        <f>IF(V350, Q350, "")</f>
        <v/>
      </c>
      <c r="X350" s="55" t="str">
        <f>IF(V350, IF(L350 = "", "", L350), "")</f>
        <v/>
      </c>
      <c r="Y350" s="55" t="str">
        <f>IF(V350, K350, "")</f>
        <v/>
      </c>
      <c r="Z350" s="56"/>
      <c r="AA350" s="41" t="b">
        <f>INDEX(itemPrepMethods, MATCH(K350, itemNames, 0))="soak"</f>
        <v>0</v>
      </c>
      <c r="AB350" s="55" t="str">
        <f>IF(AA350, Q350, "")</f>
        <v/>
      </c>
      <c r="AC350" s="55" t="str">
        <f>IF(AA350, IF(L350 = "", "", L350), "")</f>
        <v/>
      </c>
      <c r="AD350" s="55" t="str">
        <f>IF(AA350, K350, "")</f>
        <v/>
      </c>
    </row>
    <row r="351" spans="1:30" x14ac:dyDescent="0.25">
      <c r="A351" s="37" t="s">
        <v>21</v>
      </c>
      <c r="B351" s="49"/>
      <c r="C351" s="36" t="str">
        <f>IF(L351="","",L351)</f>
        <v/>
      </c>
      <c r="D351" s="37" t="str">
        <f>_xlfn.CONCAT(K351, U351)</f>
        <v>salt, to taste</v>
      </c>
      <c r="I351" s="44"/>
      <c r="K351" s="52" t="s">
        <v>11</v>
      </c>
      <c r="L351" s="41"/>
      <c r="M351" s="41"/>
      <c r="N351" s="41"/>
      <c r="O351" s="41"/>
      <c r="P351" s="41"/>
      <c r="U351" s="41" t="s">
        <v>206</v>
      </c>
      <c r="V351" s="41" t="b">
        <f>INDEX(itemPrepMethods, MATCH(K351, itemNames, 0))="chop"</f>
        <v>0</v>
      </c>
      <c r="W351" s="54" t="str">
        <f>IF(V351, Q351, "")</f>
        <v/>
      </c>
      <c r="X351" s="55" t="str">
        <f>IF(V351, IF(L351 = "", "", L351), "")</f>
        <v/>
      </c>
      <c r="Y351" s="55" t="str">
        <f>IF(V351, K351, "")</f>
        <v/>
      </c>
      <c r="Z351" s="56"/>
      <c r="AA351" s="41" t="b">
        <f>INDEX(itemPrepMethods, MATCH(K351, itemNames, 0))="soak"</f>
        <v>0</v>
      </c>
      <c r="AB351" s="55" t="str">
        <f>IF(AA351, Q351, "")</f>
        <v/>
      </c>
      <c r="AC351" s="55" t="str">
        <f>IF(AA351, IF(L351 = "", "", L351), "")</f>
        <v/>
      </c>
      <c r="AD351" s="55" t="str">
        <f>IF(AA351, K351, "")</f>
        <v/>
      </c>
    </row>
    <row r="352" spans="1:30" x14ac:dyDescent="0.25">
      <c r="A352" s="37" t="s">
        <v>21</v>
      </c>
      <c r="B352" s="49"/>
      <c r="C352" s="36" t="str">
        <f>IF(L352="","",L352)</f>
        <v/>
      </c>
      <c r="D352" s="37" t="str">
        <f>_xlfn.CONCAT(K352, U352)</f>
        <v>ground black pepper, to taste</v>
      </c>
      <c r="I352" s="44"/>
      <c r="K352" s="52" t="s">
        <v>76</v>
      </c>
      <c r="L352" s="41"/>
      <c r="M352" s="41"/>
      <c r="N352" s="41"/>
      <c r="O352" s="41"/>
      <c r="P352" s="41"/>
      <c r="U352" s="41" t="s">
        <v>206</v>
      </c>
      <c r="V352" s="41" t="b">
        <f>INDEX(itemPrepMethods, MATCH(K352, itemNames, 0))="chop"</f>
        <v>0</v>
      </c>
      <c r="W352" s="54" t="str">
        <f>IF(V352, Q352, "")</f>
        <v/>
      </c>
      <c r="X352" s="55" t="str">
        <f>IF(V352, IF(L352 = "", "", L352), "")</f>
        <v/>
      </c>
      <c r="Y352" s="55" t="str">
        <f>IF(V352, K352, "")</f>
        <v/>
      </c>
      <c r="Z352" s="56"/>
      <c r="AA352" s="41" t="b">
        <f>INDEX(itemPrepMethods, MATCH(K352, itemNames, 0))="soak"</f>
        <v>0</v>
      </c>
      <c r="AB352" s="55" t="str">
        <f>IF(AA352, Q352, "")</f>
        <v/>
      </c>
      <c r="AC352" s="55" t="str">
        <f>IF(AA352, IF(L352 = "", "", L352), "")</f>
        <v/>
      </c>
      <c r="AD352" s="55" t="str">
        <f>IF(AA352, K352, "")</f>
        <v/>
      </c>
    </row>
    <row r="353" spans="1:30" x14ac:dyDescent="0.25">
      <c r="A353" s="115"/>
      <c r="B353" s="115"/>
      <c r="C353" s="115"/>
      <c r="D353" s="115"/>
      <c r="I353" s="60"/>
      <c r="J353" s="57"/>
      <c r="K353" s="57"/>
      <c r="L353" s="57"/>
      <c r="M353" s="57"/>
      <c r="N353" s="57"/>
      <c r="O353" s="57"/>
      <c r="P353" s="57"/>
    </row>
    <row r="354" spans="1:30" x14ac:dyDescent="0.25">
      <c r="A354" s="115" t="s">
        <v>161</v>
      </c>
      <c r="B354" s="115"/>
      <c r="C354" s="115"/>
      <c r="D354" s="115"/>
      <c r="I354" s="44"/>
      <c r="L354" s="41"/>
      <c r="M354" s="41"/>
      <c r="N354" s="41"/>
    </row>
    <row r="355" spans="1:30" ht="15.75" x14ac:dyDescent="0.25">
      <c r="A355" s="117" t="s">
        <v>35</v>
      </c>
      <c r="B355" s="117"/>
      <c r="C355" s="117"/>
      <c r="D355" s="117"/>
      <c r="E355" s="40" t="s">
        <v>128</v>
      </c>
      <c r="F355" s="100" t="s">
        <v>147</v>
      </c>
      <c r="G355" s="100"/>
      <c r="H355" s="44"/>
    </row>
    <row r="356" spans="1:30" ht="24" x14ac:dyDescent="0.2">
      <c r="A356" s="117" t="s">
        <v>38</v>
      </c>
      <c r="B356" s="117"/>
      <c r="C356" s="117"/>
      <c r="D356" s="117"/>
      <c r="E356" s="39" t="s">
        <v>53</v>
      </c>
      <c r="F356" s="87">
        <v>15</v>
      </c>
      <c r="G356" s="44"/>
      <c r="H356" s="44"/>
      <c r="I356" s="67" t="s">
        <v>434</v>
      </c>
      <c r="J356" s="68" t="s">
        <v>435</v>
      </c>
      <c r="K356" s="68" t="s">
        <v>17</v>
      </c>
      <c r="L356" s="69" t="s">
        <v>438</v>
      </c>
      <c r="M356" s="67" t="s">
        <v>141</v>
      </c>
      <c r="N356" s="67" t="s">
        <v>142</v>
      </c>
      <c r="O356" s="67" t="s">
        <v>436</v>
      </c>
      <c r="P356" s="67" t="s">
        <v>437</v>
      </c>
      <c r="Q356" s="68" t="s">
        <v>353</v>
      </c>
      <c r="R356" s="67" t="s">
        <v>354</v>
      </c>
      <c r="S356" s="67" t="s">
        <v>355</v>
      </c>
      <c r="T356" s="67" t="s">
        <v>356</v>
      </c>
      <c r="U356" s="68" t="s">
        <v>22</v>
      </c>
      <c r="V356" s="68" t="s">
        <v>202</v>
      </c>
      <c r="W356" s="70" t="s">
        <v>353</v>
      </c>
      <c r="X356" s="68" t="s">
        <v>200</v>
      </c>
      <c r="Y356" s="68" t="s">
        <v>201</v>
      </c>
      <c r="Z356" s="68" t="s">
        <v>302</v>
      </c>
      <c r="AA356" s="68" t="s">
        <v>203</v>
      </c>
      <c r="AB356" s="70" t="s">
        <v>353</v>
      </c>
      <c r="AC356" s="68" t="s">
        <v>204</v>
      </c>
      <c r="AD356" s="68" t="s">
        <v>205</v>
      </c>
    </row>
    <row r="357" spans="1:30" ht="13.5" thickBot="1" x14ac:dyDescent="0.3">
      <c r="A357" s="118" t="str">
        <f>_xlfn.CONCAT(F357," servings")</f>
        <v>10 servings</v>
      </c>
      <c r="B357" s="118"/>
      <c r="C357" s="118"/>
      <c r="D357" s="118"/>
      <c r="E357" s="63" t="s">
        <v>348</v>
      </c>
      <c r="F357" s="87">
        <f>moLuCount</f>
        <v>10</v>
      </c>
      <c r="G357" s="44"/>
      <c r="H357" s="44"/>
      <c r="I357" s="60"/>
      <c r="J357" s="39"/>
      <c r="K357" s="39"/>
      <c r="L357" s="61"/>
      <c r="M357" s="60"/>
      <c r="N357" s="60"/>
      <c r="O357" s="60"/>
      <c r="P357" s="60"/>
      <c r="Q357" s="39"/>
      <c r="R357" s="60"/>
      <c r="S357" s="60"/>
      <c r="T357" s="60"/>
      <c r="U357" s="39"/>
    </row>
    <row r="358" spans="1:30" s="102" customFormat="1" ht="15.75" thickBot="1" x14ac:dyDescent="0.3">
      <c r="A358" s="115"/>
      <c r="B358" s="115"/>
      <c r="C358" s="115"/>
      <c r="D358" s="115"/>
      <c r="E358" s="63" t="s">
        <v>351</v>
      </c>
      <c r="F358" s="47">
        <f>F357/F356</f>
        <v>0.66666666666666663</v>
      </c>
      <c r="G358" s="48" t="s">
        <v>367</v>
      </c>
      <c r="H358" s="44"/>
      <c r="I358" s="60"/>
      <c r="J358" s="100"/>
      <c r="K358" s="100"/>
      <c r="L358" s="61"/>
      <c r="M358" s="60"/>
      <c r="N358" s="60"/>
      <c r="O358" s="60"/>
      <c r="P358" s="60"/>
      <c r="Q358" s="100"/>
      <c r="R358" s="60"/>
      <c r="S358" s="60"/>
      <c r="T358" s="60"/>
      <c r="U358" s="100"/>
      <c r="W358" s="45"/>
      <c r="Z358" s="46"/>
    </row>
    <row r="359" spans="1:30" x14ac:dyDescent="0.25">
      <c r="A359" s="115" t="s">
        <v>243</v>
      </c>
      <c r="B359" s="115"/>
      <c r="C359" s="115"/>
      <c r="D359" s="115"/>
      <c r="E359" s="64"/>
      <c r="F359" s="64"/>
      <c r="G359" s="64"/>
      <c r="H359" s="44"/>
      <c r="I359" s="60"/>
      <c r="J359" s="39"/>
      <c r="K359" s="39"/>
      <c r="L359" s="61"/>
      <c r="M359" s="60"/>
      <c r="N359" s="60"/>
      <c r="O359" s="60"/>
      <c r="P359" s="60"/>
      <c r="Q359" s="39"/>
      <c r="R359" s="60"/>
      <c r="S359" s="60"/>
      <c r="T359" s="60"/>
      <c r="U359" s="39"/>
    </row>
    <row r="360" spans="1:30" ht="15.75" thickBot="1" x14ac:dyDescent="0.3">
      <c r="A360" s="37" t="s">
        <v>21</v>
      </c>
      <c r="B360" s="49">
        <f t="shared" ref="B360:B382" si="308">Q360</f>
        <v>0.25</v>
      </c>
      <c r="C360" s="36" t="str">
        <f>IF(L360="","",L360)</f>
        <v>cup</v>
      </c>
      <c r="D360" s="37" t="str">
        <f>_xlfn.CONCAT(K360, U360)</f>
        <v>oil</v>
      </c>
      <c r="E360" s="63" t="s">
        <v>327</v>
      </c>
      <c r="F360" s="87">
        <f>moLuCount</f>
        <v>10</v>
      </c>
      <c r="G360" s="64"/>
      <c r="H360" s="50"/>
      <c r="I360" s="51">
        <v>8</v>
      </c>
      <c r="J360" s="52" t="s">
        <v>15</v>
      </c>
      <c r="K360" s="52" t="s">
        <v>46</v>
      </c>
      <c r="L360" s="53" t="s">
        <v>16</v>
      </c>
      <c r="M360" s="44">
        <f>INDEX(itemGPerQty, MATCH(K360, itemNames, 0))</f>
        <v>0</v>
      </c>
      <c r="N360" s="44">
        <f>INDEX(itemMlPerQty, MATCH(K360, itemNames, 0))</f>
        <v>0</v>
      </c>
      <c r="O360" s="44">
        <f t="shared" ref="O360:O364" si="309">IF(J360 = "", I360 * M360, IF(ISNA(CONVERT(I360, J360, "kg")), CONVERT(I360, J360, "l") * IF(N360 &lt;&gt; 0, M360 / N360, 0), CONVERT(I360, J360, "kg")))</f>
        <v>0</v>
      </c>
      <c r="P360" s="44">
        <f t="shared" ref="P360:P364" si="310">IF(J360 = "", I360 * N360, IF(ISNA(CONVERT(I360, J360, "l")), CONVERT(I360, J360, "kg") * IF(M360 &lt;&gt; 0, N360 / M360, 0), CONVERT(I360, J360, "l")))</f>
        <v>0.11829411825</v>
      </c>
      <c r="Q360" s="44">
        <f>MROUND(IF(AND(J360 = "", L360 = ""), I360 * recipe04DayScale, IF(ISNA(CONVERT(O360, "kg", L360)), CONVERT(P360 * recipe04DayScale, "l", L360), CONVERT(O360 * recipe04DayScale, "kg", L360))), roundTo)</f>
        <v>0.25</v>
      </c>
      <c r="R360" s="44">
        <f>recipe04TotScale * IF(L360 = "", Q360 * M360, IF(ISNA(CONVERT(Q360, L360, "kg")), CONVERT(Q360, L360, "l") * IF(N360 &lt;&gt; 0, M360 / N360, 0), CONVERT(Q360, L360, "kg")))</f>
        <v>0</v>
      </c>
      <c r="S360" s="44">
        <f>recipe04TotScale * IF(R360 = 0, IF(L360 = "", Q360 * N360, IF(ISNA(CONVERT(Q360, L360, "l")), CONVERT(Q360, L360, "kg") * IF(M360 &lt;&gt; 0, N360 / M360, 0), CONVERT(Q360, L360, "l"))), 0)</f>
        <v>5.9147059124999998E-2</v>
      </c>
      <c r="T360" s="44">
        <f>recipe04TotScale * IF(AND(R360 = 0, S360 = 0, J360 = "", L360 = ""), Q360, 0)</f>
        <v>0</v>
      </c>
      <c r="V360" s="41" t="b">
        <f>INDEX(itemPrepMethods, MATCH(K360, itemNames, 0))="chop"</f>
        <v>0</v>
      </c>
      <c r="W360" s="54" t="str">
        <f>IF(V360, Q360, "")</f>
        <v/>
      </c>
      <c r="X360" s="55" t="str">
        <f>IF(V360, IF(L360 = "", "", L360), "")</f>
        <v/>
      </c>
      <c r="Y360" s="55" t="str">
        <f>IF(V360, K360, "")</f>
        <v/>
      </c>
      <c r="Z360" s="56"/>
      <c r="AA360" s="41" t="b">
        <f>INDEX(itemPrepMethods, MATCH(K360, itemNames, 0))="soak"</f>
        <v>0</v>
      </c>
      <c r="AB360" s="55" t="str">
        <f>IF(AA360, Q360, "")</f>
        <v/>
      </c>
      <c r="AC360" s="55" t="str">
        <f>IF(AA360, IF(L360 = "", "", L360), "")</f>
        <v/>
      </c>
      <c r="AD360" s="55" t="str">
        <f>IF(AA360, K360, "")</f>
        <v/>
      </c>
    </row>
    <row r="361" spans="1:30" ht="15.75" thickBot="1" x14ac:dyDescent="0.3">
      <c r="A361" s="37" t="s">
        <v>21</v>
      </c>
      <c r="B361" s="49">
        <f>Q361</f>
        <v>5.25</v>
      </c>
      <c r="C361" s="36" t="str">
        <f>IF(L361="","",L361)</f>
        <v/>
      </c>
      <c r="D361" s="37" t="str">
        <f>_xlfn.CONCAT(K361, U361)</f>
        <v>garlic cloves. Remove from oil once cooked</v>
      </c>
      <c r="E361" s="63" t="s">
        <v>352</v>
      </c>
      <c r="F361" s="47">
        <f>F360/F357</f>
        <v>1</v>
      </c>
      <c r="G361" s="48" t="s">
        <v>368</v>
      </c>
      <c r="I361" s="51">
        <v>8</v>
      </c>
      <c r="J361" s="52"/>
      <c r="K361" s="52" t="s">
        <v>8</v>
      </c>
      <c r="L361" s="53"/>
      <c r="M361" s="44">
        <f>INDEX(itemGPerQty, MATCH(K361, itemNames, 0))</f>
        <v>0</v>
      </c>
      <c r="N361" s="44">
        <f>INDEX(itemMlPerQty, MATCH(K361, itemNames, 0))</f>
        <v>0</v>
      </c>
      <c r="O361" s="44">
        <f>IF(J361 = "", I361 * M361, IF(ISNA(CONVERT(I361, J361, "kg")), CONVERT(I361, J361, "l") * IF(N361 &lt;&gt; 0, M361 / N361, 0), CONVERT(I361, J361, "kg")))</f>
        <v>0</v>
      </c>
      <c r="P361" s="44">
        <f>IF(J361 = "", I361 * N361, IF(ISNA(CONVERT(I361, J361, "l")), CONVERT(I361, J361, "kg") * IF(M361 &lt;&gt; 0, N361 / M361, 0), CONVERT(I361, J361, "l")))</f>
        <v>0</v>
      </c>
      <c r="Q361" s="44">
        <f>MROUND(IF(AND(J361 = "", L361 = ""), I361 * recipe04DayScale, IF(ISNA(CONVERT(O361, "kg", L361)), CONVERT(P361 * recipe04DayScale, "l", L361), CONVERT(O361 * recipe04DayScale, "kg", L361))), roundTo)</f>
        <v>5.25</v>
      </c>
      <c r="R361" s="44">
        <f>recipe04TotScale * IF(L361 = "", Q361 * M361, IF(ISNA(CONVERT(Q361, L361, "kg")), CONVERT(Q361, L361, "l") * IF(N361 &lt;&gt; 0, M361 / N361, 0), CONVERT(Q361, L361, "kg")))</f>
        <v>0</v>
      </c>
      <c r="S361" s="44">
        <f>recipe04TotScale * IF(R361 = 0, IF(L361 = "", Q361 * N361, IF(ISNA(CONVERT(Q361, L361, "l")), CONVERT(Q361, L361, "kg") * IF(M361 &lt;&gt; 0, N361 / M361, 0), CONVERT(Q361, L361, "l"))), 0)</f>
        <v>0</v>
      </c>
      <c r="T361" s="44">
        <f>recipe04TotScale * IF(AND(R361 = 0, S361 = 0, J361 = "", L361 = ""), Q361, 0)</f>
        <v>5.25</v>
      </c>
      <c r="U361" s="41" t="s">
        <v>233</v>
      </c>
      <c r="V361" s="41" t="b">
        <f>INDEX(itemPrepMethods, MATCH(K361, itemNames, 0))="chop"</f>
        <v>0</v>
      </c>
      <c r="W361" s="54" t="str">
        <f>IF(V361, Q361, "")</f>
        <v/>
      </c>
      <c r="X361" s="55" t="str">
        <f>IF(V361, IF(L361 = "", "", L361), "")</f>
        <v/>
      </c>
      <c r="Y361" s="55" t="str">
        <f>IF(V361, K361, "")</f>
        <v/>
      </c>
      <c r="Z361" s="56"/>
      <c r="AA361" s="41" t="b">
        <f>INDEX(itemPrepMethods, MATCH(K361, itemNames, 0))="soak"</f>
        <v>0</v>
      </c>
      <c r="AB361" s="55" t="str">
        <f>IF(AA361, Q361, "")</f>
        <v/>
      </c>
      <c r="AC361" s="55" t="str">
        <f>IF(AA361, IF(L361 = "", "", L361), "")</f>
        <v/>
      </c>
      <c r="AD361" s="55" t="str">
        <f>IF(AA361, K361, "")</f>
        <v/>
      </c>
    </row>
    <row r="362" spans="1:30" x14ac:dyDescent="0.25">
      <c r="A362" s="37" t="s">
        <v>21</v>
      </c>
      <c r="B362" s="49">
        <f t="shared" si="308"/>
        <v>2</v>
      </c>
      <c r="C362" s="36" t="str">
        <f>IF(L362="","",L362)</f>
        <v/>
      </c>
      <c r="D362" s="37" t="str">
        <f>_xlfn.CONCAT(K362, U362)</f>
        <v>chopped onions</v>
      </c>
      <c r="I362" s="51">
        <v>3</v>
      </c>
      <c r="J362" s="52"/>
      <c r="K362" s="52" t="s">
        <v>6</v>
      </c>
      <c r="L362" s="53"/>
      <c r="M362" s="44">
        <f>INDEX(itemGPerQty, MATCH(K362, itemNames, 0))</f>
        <v>0.185</v>
      </c>
      <c r="N362" s="44">
        <f>INDEX(itemMlPerQty, MATCH(K362, itemNames, 0))</f>
        <v>0.3</v>
      </c>
      <c r="O362" s="44">
        <f t="shared" si="309"/>
        <v>0.55499999999999994</v>
      </c>
      <c r="P362" s="44">
        <f t="shared" si="310"/>
        <v>0.89999999999999991</v>
      </c>
      <c r="Q362" s="44">
        <f>MROUND(IF(AND(J362 = "", L362 = ""), I362 * recipe04DayScale, IF(ISNA(CONVERT(O362, "kg", L362)), CONVERT(P362 * recipe04DayScale, "l", L362), CONVERT(O362 * recipe04DayScale, "kg", L362))), roundTo)</f>
        <v>2</v>
      </c>
      <c r="R362" s="44">
        <f>recipe04TotScale * IF(L362 = "", Q362 * M362, IF(ISNA(CONVERT(Q362, L362, "kg")), CONVERT(Q362, L362, "l") * IF(N362 &lt;&gt; 0, M362 / N362, 0), CONVERT(Q362, L362, "kg")))</f>
        <v>0.37</v>
      </c>
      <c r="S362" s="44">
        <f>recipe04TotScale * IF(R362 = 0, IF(L362 = "", Q362 * N362, IF(ISNA(CONVERT(Q362, L362, "l")), CONVERT(Q362, L362, "kg") * IF(M362 &lt;&gt; 0, N362 / M362, 0), CONVERT(Q362, L362, "l"))), 0)</f>
        <v>0</v>
      </c>
      <c r="T362" s="44">
        <f>recipe04TotScale * IF(AND(R362 = 0, S362 = 0, J362 = "", L362 = ""), Q362, 0)</f>
        <v>0</v>
      </c>
      <c r="V362" s="41" t="b">
        <f>INDEX(itemPrepMethods, MATCH(K362, itemNames, 0))="chop"</f>
        <v>1</v>
      </c>
      <c r="W362" s="54">
        <f>IF(V362, Q362, "")</f>
        <v>2</v>
      </c>
      <c r="X362" s="55" t="str">
        <f>IF(V362, IF(L362 = "", "", L362), "")</f>
        <v/>
      </c>
      <c r="Y362" s="55" t="str">
        <f>IF(V362, K362, "")</f>
        <v>chopped onions</v>
      </c>
      <c r="Z362" s="56"/>
      <c r="AA362" s="41" t="b">
        <f>INDEX(itemPrepMethods, MATCH(K362, itemNames, 0))="soak"</f>
        <v>0</v>
      </c>
      <c r="AB362" s="55" t="str">
        <f>IF(AA362, Q362, "")</f>
        <v/>
      </c>
      <c r="AC362" s="55" t="str">
        <f>IF(AA362, IF(L362 = "", "", L362), "")</f>
        <v/>
      </c>
      <c r="AD362" s="55" t="str">
        <f>IF(AA362, K362, "")</f>
        <v/>
      </c>
    </row>
    <row r="363" spans="1:30" x14ac:dyDescent="0.25">
      <c r="A363" s="37" t="s">
        <v>21</v>
      </c>
      <c r="B363" s="49">
        <f t="shared" si="308"/>
        <v>2</v>
      </c>
      <c r="C363" s="36" t="str">
        <f>IF(L363="","",L363)</f>
        <v>tbs</v>
      </c>
      <c r="D363" s="37" t="str">
        <f>_xlfn.CONCAT(K363, U363)</f>
        <v>minced fresh ginger</v>
      </c>
      <c r="F363" s="39"/>
      <c r="I363" s="51">
        <v>3</v>
      </c>
      <c r="J363" s="52" t="s">
        <v>15</v>
      </c>
      <c r="K363" s="52" t="s">
        <v>221</v>
      </c>
      <c r="L363" s="53" t="s">
        <v>15</v>
      </c>
      <c r="M363" s="44">
        <f>INDEX(itemGPerQty, MATCH(K363, itemNames, 0))</f>
        <v>0</v>
      </c>
      <c r="N363" s="44">
        <f>INDEX(itemMlPerQty, MATCH(K363, itemNames, 0))</f>
        <v>0</v>
      </c>
      <c r="O363" s="44">
        <f t="shared" si="309"/>
        <v>0</v>
      </c>
      <c r="P363" s="44">
        <f t="shared" si="310"/>
        <v>4.4360294343749995E-2</v>
      </c>
      <c r="Q363" s="44">
        <f>MROUND(IF(AND(J363 = "", L363 = ""), I363 * recipe04DayScale, IF(ISNA(CONVERT(O363, "kg", L363)), CONVERT(P363 * recipe04DayScale, "l", L363), CONVERT(O363 * recipe04DayScale, "kg", L363))), roundTo)</f>
        <v>2</v>
      </c>
      <c r="R363" s="44">
        <f>recipe04TotScale * IF(L363 = "", Q363 * M363, IF(ISNA(CONVERT(Q363, L363, "kg")), CONVERT(Q363, L363, "l") * IF(N363 &lt;&gt; 0, M363 / N363, 0), CONVERT(Q363, L363, "kg")))</f>
        <v>0</v>
      </c>
      <c r="S363" s="44">
        <f>recipe04TotScale * IF(R363 = 0, IF(L363 = "", Q363 * N363, IF(ISNA(CONVERT(Q363, L363, "l")), CONVERT(Q363, L363, "kg") * IF(M363 &lt;&gt; 0, N363 / M363, 0), CONVERT(Q363, L363, "l"))), 0)</f>
        <v>2.9573529562499999E-2</v>
      </c>
      <c r="T363" s="44">
        <f>recipe04TotScale * IF(AND(R363 = 0, S363 = 0, J363 = "", L363 = ""), Q363, 0)</f>
        <v>0</v>
      </c>
      <c r="V363" s="41" t="b">
        <f>INDEX(itemPrepMethods, MATCH(K363, itemNames, 0))="chop"</f>
        <v>1</v>
      </c>
      <c r="W363" s="54">
        <f>IF(V363, Q363, "")</f>
        <v>2</v>
      </c>
      <c r="X363" s="55" t="str">
        <f>IF(V363, IF(L363 = "", "", L363), "")</f>
        <v>tbs</v>
      </c>
      <c r="Y363" s="55" t="str">
        <f>IF(V363, K363, "")</f>
        <v>minced fresh ginger</v>
      </c>
      <c r="Z363" s="56"/>
      <c r="AA363" s="41" t="b">
        <f>INDEX(itemPrepMethods, MATCH(K363, itemNames, 0))="soak"</f>
        <v>0</v>
      </c>
      <c r="AB363" s="55" t="str">
        <f>IF(AA363, Q363, "")</f>
        <v/>
      </c>
      <c r="AC363" s="55" t="str">
        <f>IF(AA363, IF(L363 = "", "", L363), "")</f>
        <v/>
      </c>
      <c r="AD363" s="55" t="str">
        <f>IF(AA363, K363, "")</f>
        <v/>
      </c>
    </row>
    <row r="364" spans="1:30" x14ac:dyDescent="0.25">
      <c r="A364" s="37" t="s">
        <v>21</v>
      </c>
      <c r="B364" s="49">
        <f t="shared" si="308"/>
        <v>1</v>
      </c>
      <c r="C364" s="36" t="str">
        <f>IF(L364="","",L364)</f>
        <v>tbs</v>
      </c>
      <c r="D364" s="37" t="str">
        <f>_xlfn.CONCAT(K364, U364)</f>
        <v>thai green curry</v>
      </c>
      <c r="F364" s="39"/>
      <c r="I364" s="51">
        <v>1.5</v>
      </c>
      <c r="J364" s="52" t="s">
        <v>15</v>
      </c>
      <c r="K364" s="52" t="s">
        <v>166</v>
      </c>
      <c r="L364" s="53" t="s">
        <v>15</v>
      </c>
      <c r="M364" s="44">
        <f>INDEX(itemGPerQty, MATCH(K364, itemNames, 0))</f>
        <v>0</v>
      </c>
      <c r="N364" s="44">
        <f>INDEX(itemMlPerQty, MATCH(K364, itemNames, 0))</f>
        <v>0</v>
      </c>
      <c r="O364" s="44">
        <f t="shared" si="309"/>
        <v>0</v>
      </c>
      <c r="P364" s="44">
        <f t="shared" si="310"/>
        <v>2.2180147171874998E-2</v>
      </c>
      <c r="Q364" s="44">
        <f>MROUND(IF(AND(J364 = "", L364 = ""), I364 * recipe04DayScale, IF(ISNA(CONVERT(O364, "kg", L364)), CONVERT(P364 * recipe04DayScale, "l", L364), CONVERT(O364 * recipe04DayScale, "kg", L364))), roundTo)</f>
        <v>1</v>
      </c>
      <c r="R364" s="44">
        <f>recipe04TotScale * IF(L364 = "", Q364 * M364, IF(ISNA(CONVERT(Q364, L364, "kg")), CONVERT(Q364, L364, "l") * IF(N364 &lt;&gt; 0, M364 / N364, 0), CONVERT(Q364, L364, "kg")))</f>
        <v>0</v>
      </c>
      <c r="S364" s="44">
        <f>recipe04TotScale * IF(R364 = 0, IF(L364 = "", Q364 * N364, IF(ISNA(CONVERT(Q364, L364, "l")), CONVERT(Q364, L364, "kg") * IF(M364 &lt;&gt; 0, N364 / M364, 0), CONVERT(Q364, L364, "l"))), 0)</f>
        <v>1.478676478125E-2</v>
      </c>
      <c r="T364" s="44">
        <f>recipe04TotScale * IF(AND(R364 = 0, S364 = 0, J364 = "", L364 = ""), Q364, 0)</f>
        <v>0</v>
      </c>
      <c r="V364" s="41" t="b">
        <f>INDEX(itemPrepMethods, MATCH(K364, itemNames, 0))="chop"</f>
        <v>0</v>
      </c>
      <c r="W364" s="54" t="str">
        <f>IF(V364, Q364, "")</f>
        <v/>
      </c>
      <c r="X364" s="55" t="str">
        <f>IF(V364, IF(L364 = "", "", L364), "")</f>
        <v/>
      </c>
      <c r="Y364" s="55" t="str">
        <f>IF(V364, K364, "")</f>
        <v/>
      </c>
      <c r="Z364" s="56"/>
      <c r="AA364" s="41" t="b">
        <f>INDEX(itemPrepMethods, MATCH(K364, itemNames, 0))="soak"</f>
        <v>0</v>
      </c>
      <c r="AB364" s="55" t="str">
        <f>IF(AA364, Q364, "")</f>
        <v/>
      </c>
      <c r="AC364" s="55" t="str">
        <f>IF(AA364, IF(L364 = "", "", L364), "")</f>
        <v/>
      </c>
      <c r="AD364" s="55" t="str">
        <f>IF(AA364, K364, "")</f>
        <v/>
      </c>
    </row>
    <row r="365" spans="1:30" ht="15.75" x14ac:dyDescent="0.25">
      <c r="A365" s="116"/>
      <c r="B365" s="116"/>
      <c r="C365" s="116"/>
      <c r="D365" s="116"/>
      <c r="E365" s="39"/>
      <c r="F365" s="39"/>
      <c r="G365" s="44"/>
      <c r="H365" s="44"/>
      <c r="I365" s="60"/>
      <c r="J365" s="39"/>
      <c r="K365" s="39"/>
      <c r="L365" s="61"/>
      <c r="M365" s="60"/>
      <c r="N365" s="60"/>
      <c r="O365" s="60"/>
      <c r="P365" s="60"/>
      <c r="Q365" s="39"/>
      <c r="R365" s="60"/>
      <c r="S365" s="60"/>
      <c r="T365" s="60"/>
      <c r="U365" s="39"/>
      <c r="W365" s="71"/>
      <c r="X365" s="71"/>
      <c r="Y365" s="71"/>
      <c r="Z365" s="71"/>
      <c r="AA365" s="64"/>
      <c r="AB365" s="71"/>
      <c r="AC365" s="71"/>
      <c r="AD365" s="71"/>
    </row>
    <row r="366" spans="1:30" x14ac:dyDescent="0.25">
      <c r="A366" s="115" t="s">
        <v>244</v>
      </c>
      <c r="B366" s="115"/>
      <c r="C366" s="115"/>
      <c r="D366" s="115"/>
      <c r="E366" s="39"/>
      <c r="F366" s="39"/>
      <c r="G366" s="44"/>
      <c r="H366" s="44"/>
      <c r="I366" s="60"/>
      <c r="J366" s="39"/>
      <c r="K366" s="39"/>
      <c r="L366" s="61"/>
      <c r="M366" s="60"/>
      <c r="N366" s="60"/>
      <c r="O366" s="60"/>
      <c r="P366" s="60"/>
      <c r="Q366" s="39"/>
      <c r="R366" s="60"/>
      <c r="S366" s="60"/>
      <c r="T366" s="60"/>
      <c r="U366" s="39"/>
      <c r="W366" s="71"/>
      <c r="X366" s="71"/>
      <c r="Y366" s="71"/>
      <c r="Z366" s="71"/>
      <c r="AA366" s="64"/>
      <c r="AB366" s="71"/>
      <c r="AC366" s="71"/>
      <c r="AD366" s="71"/>
    </row>
    <row r="367" spans="1:30" x14ac:dyDescent="0.25">
      <c r="A367" s="37" t="s">
        <v>21</v>
      </c>
      <c r="B367" s="49">
        <f t="shared" si="308"/>
        <v>0.75</v>
      </c>
      <c r="C367" s="36" t="str">
        <f>IF(L367="","",L367)</f>
        <v>cup</v>
      </c>
      <c r="D367" s="37" t="str">
        <f>_xlfn.CONCAT(K367, U367)</f>
        <v>peanut butter</v>
      </c>
      <c r="F367" s="39"/>
      <c r="I367" s="51">
        <v>1</v>
      </c>
      <c r="J367" s="52" t="s">
        <v>16</v>
      </c>
      <c r="K367" s="52" t="s">
        <v>104</v>
      </c>
      <c r="L367" s="53" t="s">
        <v>16</v>
      </c>
      <c r="M367" s="44">
        <f>INDEX(itemGPerQty, MATCH(K367, itemNames, 0))</f>
        <v>0</v>
      </c>
      <c r="N367" s="44">
        <f>INDEX(itemMlPerQty, MATCH(K367, itemNames, 0))</f>
        <v>0</v>
      </c>
      <c r="O367" s="44">
        <f t="shared" ref="O367:O368" si="311">IF(J367 = "", I367 * M367, IF(ISNA(CONVERT(I367, J367, "kg")), CONVERT(I367, J367, "l") * IF(N367 &lt;&gt; 0, M367 / N367, 0), CONVERT(I367, J367, "kg")))</f>
        <v>0</v>
      </c>
      <c r="P367" s="44">
        <f t="shared" ref="P367:P368" si="312">IF(J367 = "", I367 * N367, IF(ISNA(CONVERT(I367, J367, "l")), CONVERT(I367, J367, "kg") * IF(M367 &lt;&gt; 0, N367 / M367, 0), CONVERT(I367, J367, "l")))</f>
        <v>0.23658823649999999</v>
      </c>
      <c r="Q367" s="44">
        <f>MROUND(IF(AND(J367 = "", L367 = ""), I367 * recipe04DayScale, IF(ISNA(CONVERT(O367, "kg", L367)), CONVERT(P367 * recipe04DayScale, "l", L367), CONVERT(O367 * recipe04DayScale, "kg", L367))), roundTo)</f>
        <v>0.75</v>
      </c>
      <c r="R367" s="44">
        <f>recipe04TotScale * IF(L367 = "", Q367 * M367, IF(ISNA(CONVERT(Q367, L367, "kg")), CONVERT(Q367, L367, "l") * IF(N367 &lt;&gt; 0, M367 / N367, 0), CONVERT(Q367, L367, "kg")))</f>
        <v>0</v>
      </c>
      <c r="S367" s="44">
        <f>recipe04TotScale * IF(R367 = 0, IF(L367 = "", Q367 * N367, IF(ISNA(CONVERT(Q367, L367, "l")), CONVERT(Q367, L367, "kg") * IF(M367 &lt;&gt; 0, N367 / M367, 0), CONVERT(Q367, L367, "l"))), 0)</f>
        <v>0.17744117737499998</v>
      </c>
      <c r="T367" s="44">
        <f>recipe04TotScale * IF(AND(R367 = 0, S367 = 0, J367 = "", L367 = ""), Q367, 0)</f>
        <v>0</v>
      </c>
      <c r="V367" s="41" t="b">
        <f>INDEX(itemPrepMethods, MATCH(K367, itemNames, 0))="chop"</f>
        <v>0</v>
      </c>
      <c r="W367" s="54" t="str">
        <f>IF(V367, Q367, "")</f>
        <v/>
      </c>
      <c r="X367" s="55" t="str">
        <f>IF(V367, IF(L367 = "", "", L367), "")</f>
        <v/>
      </c>
      <c r="Y367" s="55" t="str">
        <f>IF(V367, K367, "")</f>
        <v/>
      </c>
      <c r="Z367" s="56"/>
      <c r="AA367" s="41" t="b">
        <f>INDEX(itemPrepMethods, MATCH(K367, itemNames, 0))="soak"</f>
        <v>0</v>
      </c>
      <c r="AB367" s="55" t="str">
        <f>IF(AA367, Q367, "")</f>
        <v/>
      </c>
      <c r="AC367" s="55" t="str">
        <f>IF(AA367, IF(L367 = "", "", L367), "")</f>
        <v/>
      </c>
      <c r="AD367" s="55" t="str">
        <f>IF(AA367, K367, "")</f>
        <v/>
      </c>
    </row>
    <row r="368" spans="1:30" x14ac:dyDescent="0.25">
      <c r="A368" s="37" t="s">
        <v>21</v>
      </c>
      <c r="B368" s="49">
        <f t="shared" si="308"/>
        <v>0.75</v>
      </c>
      <c r="C368" s="36" t="str">
        <f>IF(L368="","",L368)</f>
        <v>l</v>
      </c>
      <c r="D368" s="37" t="str">
        <f>_xlfn.CONCAT(K368, U368)</f>
        <v>vegetable stock</v>
      </c>
      <c r="I368" s="51">
        <v>1</v>
      </c>
      <c r="J368" s="52" t="s">
        <v>54</v>
      </c>
      <c r="K368" s="52" t="s">
        <v>55</v>
      </c>
      <c r="L368" s="53" t="s">
        <v>54</v>
      </c>
      <c r="M368" s="44">
        <f>INDEX(itemGPerQty, MATCH(K368, itemNames, 0))</f>
        <v>0</v>
      </c>
      <c r="N368" s="44">
        <f>INDEX(itemMlPerQty, MATCH(K368, itemNames, 0))</f>
        <v>0</v>
      </c>
      <c r="O368" s="44">
        <f t="shared" si="311"/>
        <v>0</v>
      </c>
      <c r="P368" s="44">
        <f t="shared" si="312"/>
        <v>1</v>
      </c>
      <c r="Q368" s="44">
        <f>MROUND(IF(AND(J368 = "", L368 = ""), I368 * recipe04DayScale, IF(ISNA(CONVERT(O368, "kg", L368)), CONVERT(P368 * recipe04DayScale, "l", L368), CONVERT(O368 * recipe04DayScale, "kg", L368))), roundTo)</f>
        <v>0.75</v>
      </c>
      <c r="R368" s="44">
        <f>recipe04TotScale * IF(L368 = "", Q368 * M368, IF(ISNA(CONVERT(Q368, L368, "kg")), CONVERT(Q368, L368, "l") * IF(N368 &lt;&gt; 0, M368 / N368, 0), CONVERT(Q368, L368, "kg")))</f>
        <v>0</v>
      </c>
      <c r="S368" s="44">
        <f>recipe04TotScale * IF(R368 = 0, IF(L368 = "", Q368 * N368, IF(ISNA(CONVERT(Q368, L368, "l")), CONVERT(Q368, L368, "kg") * IF(M368 &lt;&gt; 0, N368 / M368, 0), CONVERT(Q368, L368, "l"))), 0)</f>
        <v>0.75</v>
      </c>
      <c r="T368" s="44">
        <f>recipe04TotScale * IF(AND(R368 = 0, S368 = 0, J368 = "", L368 = ""), Q368, 0)</f>
        <v>0</v>
      </c>
      <c r="V368" s="41" t="b">
        <f>INDEX(itemPrepMethods, MATCH(K368, itemNames, 0))="chop"</f>
        <v>0</v>
      </c>
      <c r="W368" s="54" t="str">
        <f>IF(V368, Q368, "")</f>
        <v/>
      </c>
      <c r="X368" s="55" t="str">
        <f>IF(V368, IF(L368 = "", "", L368), "")</f>
        <v/>
      </c>
      <c r="Y368" s="55" t="str">
        <f>IF(V368, K368, "")</f>
        <v/>
      </c>
      <c r="Z368" s="56"/>
      <c r="AA368" s="41" t="b">
        <f>INDEX(itemPrepMethods, MATCH(K368, itemNames, 0))="soak"</f>
        <v>0</v>
      </c>
      <c r="AB368" s="55" t="str">
        <f>IF(AA368, Q368, "")</f>
        <v/>
      </c>
      <c r="AC368" s="55" t="str">
        <f>IF(AA368, IF(L368 = "", "", L368), "")</f>
        <v/>
      </c>
      <c r="AD368" s="55" t="str">
        <f>IF(AA368, K368, "")</f>
        <v/>
      </c>
    </row>
    <row r="369" spans="1:30" ht="15.75" x14ac:dyDescent="0.25">
      <c r="A369" s="116"/>
      <c r="B369" s="116"/>
      <c r="C369" s="116"/>
      <c r="D369" s="116"/>
      <c r="E369" s="39"/>
      <c r="F369" s="39"/>
      <c r="G369" s="44"/>
      <c r="H369" s="44"/>
      <c r="I369" s="60"/>
      <c r="J369" s="39"/>
      <c r="K369" s="39"/>
      <c r="L369" s="61"/>
      <c r="M369" s="60"/>
      <c r="N369" s="60"/>
      <c r="O369" s="60"/>
      <c r="P369" s="60"/>
      <c r="Q369" s="39"/>
      <c r="R369" s="60"/>
      <c r="S369" s="60"/>
      <c r="T369" s="60"/>
      <c r="U369" s="39"/>
      <c r="W369" s="71"/>
      <c r="X369" s="71"/>
      <c r="Y369" s="71"/>
      <c r="Z369" s="71"/>
      <c r="AA369" s="64"/>
      <c r="AB369" s="71"/>
      <c r="AC369" s="71"/>
      <c r="AD369" s="71"/>
    </row>
    <row r="370" spans="1:30" x14ac:dyDescent="0.25">
      <c r="A370" s="115" t="s">
        <v>245</v>
      </c>
      <c r="B370" s="115"/>
      <c r="C370" s="115"/>
      <c r="D370" s="115"/>
      <c r="E370" s="39"/>
      <c r="F370" s="39"/>
      <c r="G370" s="44"/>
      <c r="H370" s="44"/>
      <c r="I370" s="60"/>
      <c r="J370" s="39"/>
      <c r="K370" s="39"/>
      <c r="L370" s="61"/>
      <c r="M370" s="60"/>
      <c r="N370" s="60"/>
      <c r="O370" s="60"/>
      <c r="P370" s="60"/>
      <c r="Q370" s="39"/>
      <c r="R370" s="60"/>
      <c r="S370" s="60"/>
      <c r="T370" s="60"/>
      <c r="U370" s="39"/>
      <c r="W370" s="71"/>
      <c r="X370" s="71"/>
      <c r="Y370" s="71"/>
      <c r="Z370" s="71"/>
      <c r="AA370" s="64"/>
      <c r="AB370" s="71"/>
      <c r="AC370" s="71"/>
      <c r="AD370" s="71"/>
    </row>
    <row r="371" spans="1:30" x14ac:dyDescent="0.25">
      <c r="A371" s="37" t="s">
        <v>21</v>
      </c>
      <c r="B371" s="49">
        <f t="shared" si="308"/>
        <v>2</v>
      </c>
      <c r="C371" s="36" t="str">
        <f>IF(L371="","",L371)</f>
        <v/>
      </c>
      <c r="D371" s="37" t="str">
        <f>_xlfn.CONCAT(K371, U371)</f>
        <v>chopped kumara</v>
      </c>
      <c r="I371" s="51">
        <v>3</v>
      </c>
      <c r="J371" s="52"/>
      <c r="K371" s="52" t="s">
        <v>151</v>
      </c>
      <c r="L371" s="53"/>
      <c r="M371" s="44">
        <f>INDEX(itemGPerQty, MATCH(K371, itemNames, 0))</f>
        <v>0.34</v>
      </c>
      <c r="N371" s="44">
        <f>INDEX(itemMlPerQty, MATCH(K371, itemNames, 0))</f>
        <v>0</v>
      </c>
      <c r="O371" s="44">
        <f t="shared" ref="O371:O372" si="313">IF(J371 = "", I371 * M371, IF(ISNA(CONVERT(I371, J371, "kg")), CONVERT(I371, J371, "l") * IF(N371 &lt;&gt; 0, M371 / N371, 0), CONVERT(I371, J371, "kg")))</f>
        <v>1.02</v>
      </c>
      <c r="P371" s="44">
        <f t="shared" ref="P371:P372" si="314">IF(J371 = "", I371 * N371, IF(ISNA(CONVERT(I371, J371, "l")), CONVERT(I371, J371, "kg") * IF(M371 &lt;&gt; 0, N371 / M371, 0), CONVERT(I371, J371, "l")))</f>
        <v>0</v>
      </c>
      <c r="Q371" s="44">
        <f>MROUND(IF(AND(J371 = "", L371 = ""), I371 * recipe04DayScale, IF(ISNA(CONVERT(O371, "kg", L371)), CONVERT(P371 * recipe04DayScale, "l", L371), CONVERT(O371 * recipe04DayScale, "kg", L371))), roundTo)</f>
        <v>2</v>
      </c>
      <c r="R371" s="44">
        <f>recipe04TotScale * IF(L371 = "", Q371 * M371, IF(ISNA(CONVERT(Q371, L371, "kg")), CONVERT(Q371, L371, "l") * IF(N371 &lt;&gt; 0, M371 / N371, 0), CONVERT(Q371, L371, "kg")))</f>
        <v>0.68</v>
      </c>
      <c r="S371" s="44">
        <f>recipe04TotScale * IF(R371 = 0, IF(L371 = "", Q371 * N371, IF(ISNA(CONVERT(Q371, L371, "l")), CONVERT(Q371, L371, "kg") * IF(M371 &lt;&gt; 0, N371 / M371, 0), CONVERT(Q371, L371, "l"))), 0)</f>
        <v>0</v>
      </c>
      <c r="T371" s="44">
        <f>recipe04TotScale * IF(AND(R371 = 0, S371 = 0, J371 = "", L371 = ""), Q371, 0)</f>
        <v>0</v>
      </c>
      <c r="V371" s="41" t="b">
        <f>INDEX(itemPrepMethods, MATCH(K371, itemNames, 0))="chop"</f>
        <v>1</v>
      </c>
      <c r="W371" s="54">
        <f>IF(V371, Q371, "")</f>
        <v>2</v>
      </c>
      <c r="X371" s="55" t="str">
        <f>IF(V371, IF(L371 = "", "", L371), "")</f>
        <v/>
      </c>
      <c r="Y371" s="55" t="str">
        <f>IF(V371, K371, "")</f>
        <v>chopped kumara</v>
      </c>
      <c r="Z371" s="56"/>
      <c r="AA371" s="41" t="b">
        <f>INDEX(itemPrepMethods, MATCH(K371, itemNames, 0))="soak"</f>
        <v>0</v>
      </c>
      <c r="AB371" s="55" t="str">
        <f>IF(AA371, Q371, "")</f>
        <v/>
      </c>
      <c r="AC371" s="55" t="str">
        <f>IF(AA371, IF(L371 = "", "", L371), "")</f>
        <v/>
      </c>
      <c r="AD371" s="55" t="str">
        <f>IF(AA371, K371, "")</f>
        <v/>
      </c>
    </row>
    <row r="372" spans="1:30" x14ac:dyDescent="0.25">
      <c r="A372" s="37" t="s">
        <v>21</v>
      </c>
      <c r="B372" s="49">
        <f t="shared" si="308"/>
        <v>6</v>
      </c>
      <c r="C372" s="36" t="str">
        <f>IF(L372="","",L372)</f>
        <v/>
      </c>
      <c r="D372" s="37" t="str">
        <f>_xlfn.CONCAT(K372, U372)</f>
        <v>chopped carrots</v>
      </c>
      <c r="I372" s="51">
        <v>9</v>
      </c>
      <c r="J372" s="52"/>
      <c r="K372" s="52" t="s">
        <v>5</v>
      </c>
      <c r="L372" s="53"/>
      <c r="M372" s="44">
        <f>INDEX(itemGPerQty, MATCH(K372, itemNames, 0))</f>
        <v>0.14833333333333334</v>
      </c>
      <c r="N372" s="44">
        <f>INDEX(itemMlPerQty, MATCH(K372, itemNames, 0))</f>
        <v>0.19999999999999998</v>
      </c>
      <c r="O372" s="44">
        <f t="shared" si="313"/>
        <v>1.3350000000000002</v>
      </c>
      <c r="P372" s="44">
        <f t="shared" si="314"/>
        <v>1.7999999999999998</v>
      </c>
      <c r="Q372" s="44">
        <f>MROUND(IF(AND(J372 = "", L372 = ""), I372 * recipe04DayScale, IF(ISNA(CONVERT(O372, "kg", L372)), CONVERT(P372 * recipe04DayScale, "l", L372), CONVERT(O372 * recipe04DayScale, "kg", L372))), roundTo)</f>
        <v>6</v>
      </c>
      <c r="R372" s="44">
        <f>recipe04TotScale * IF(L372 = "", Q372 * M372, IF(ISNA(CONVERT(Q372, L372, "kg")), CONVERT(Q372, L372, "l") * IF(N372 &lt;&gt; 0, M372 / N372, 0), CONVERT(Q372, L372, "kg")))</f>
        <v>0.89000000000000012</v>
      </c>
      <c r="S372" s="44">
        <f>recipe04TotScale * IF(R372 = 0, IF(L372 = "", Q372 * N372, IF(ISNA(CONVERT(Q372, L372, "l")), CONVERT(Q372, L372, "kg") * IF(M372 &lt;&gt; 0, N372 / M372, 0), CONVERT(Q372, L372, "l"))), 0)</f>
        <v>0</v>
      </c>
      <c r="T372" s="44">
        <f>recipe04TotScale * IF(AND(R372 = 0, S372 = 0, J372 = "", L372 = ""), Q372, 0)</f>
        <v>0</v>
      </c>
      <c r="V372" s="41" t="b">
        <f>INDEX(itemPrepMethods, MATCH(K372, itemNames, 0))="chop"</f>
        <v>1</v>
      </c>
      <c r="W372" s="54">
        <f>IF(V372, Q372, "")</f>
        <v>6</v>
      </c>
      <c r="X372" s="55" t="str">
        <f>IF(V372, IF(L372 = "", "", L372), "")</f>
        <v/>
      </c>
      <c r="Y372" s="55" t="str">
        <f>IF(V372, K372, "")</f>
        <v>chopped carrots</v>
      </c>
      <c r="Z372" s="56"/>
      <c r="AA372" s="41" t="b">
        <f>INDEX(itemPrepMethods, MATCH(K372, itemNames, 0))="soak"</f>
        <v>0</v>
      </c>
      <c r="AB372" s="55" t="str">
        <f>IF(AA372, Q372, "")</f>
        <v/>
      </c>
      <c r="AC372" s="55" t="str">
        <f>IF(AA372, IF(L372 = "", "", L372), "")</f>
        <v/>
      </c>
      <c r="AD372" s="55" t="str">
        <f>IF(AA372, K372, "")</f>
        <v/>
      </c>
    </row>
    <row r="373" spans="1:30" ht="15.75" x14ac:dyDescent="0.25">
      <c r="A373" s="116"/>
      <c r="B373" s="116"/>
      <c r="C373" s="116"/>
      <c r="D373" s="116"/>
      <c r="E373" s="39"/>
      <c r="F373" s="39"/>
      <c r="G373" s="44"/>
      <c r="H373" s="44"/>
      <c r="I373" s="60"/>
      <c r="J373" s="39"/>
      <c r="K373" s="39"/>
      <c r="L373" s="61"/>
      <c r="M373" s="60"/>
      <c r="N373" s="60"/>
      <c r="O373" s="60"/>
      <c r="P373" s="60"/>
      <c r="Q373" s="39"/>
      <c r="R373" s="60"/>
      <c r="S373" s="60"/>
      <c r="T373" s="60"/>
      <c r="U373" s="39"/>
      <c r="W373" s="71"/>
      <c r="X373" s="71"/>
      <c r="Y373" s="71"/>
      <c r="Z373" s="71"/>
      <c r="AA373" s="64"/>
      <c r="AB373" s="71"/>
      <c r="AC373" s="71"/>
      <c r="AD373" s="71"/>
    </row>
    <row r="374" spans="1:30" x14ac:dyDescent="0.25">
      <c r="A374" s="115" t="s">
        <v>246</v>
      </c>
      <c r="B374" s="115"/>
      <c r="C374" s="115"/>
      <c r="D374" s="115"/>
      <c r="E374" s="39"/>
      <c r="F374" s="39"/>
      <c r="G374" s="44"/>
      <c r="H374" s="44"/>
      <c r="I374" s="60"/>
      <c r="J374" s="39"/>
      <c r="K374" s="39"/>
      <c r="L374" s="61"/>
      <c r="M374" s="60"/>
      <c r="N374" s="60"/>
      <c r="O374" s="60"/>
      <c r="P374" s="60"/>
      <c r="Q374" s="39"/>
      <c r="R374" s="60"/>
      <c r="S374" s="60"/>
      <c r="T374" s="60"/>
      <c r="U374" s="39"/>
      <c r="W374" s="71"/>
      <c r="X374" s="71"/>
      <c r="Y374" s="71"/>
      <c r="Z374" s="71"/>
      <c r="AA374" s="64"/>
      <c r="AB374" s="71"/>
      <c r="AC374" s="71"/>
      <c r="AD374" s="71"/>
    </row>
    <row r="375" spans="1:30" x14ac:dyDescent="0.25">
      <c r="A375" s="37" t="s">
        <v>21</v>
      </c>
      <c r="B375" s="49">
        <f t="shared" si="308"/>
        <v>0.75</v>
      </c>
      <c r="C375" s="36" t="str">
        <f>IF(L375="","",L375)</f>
        <v/>
      </c>
      <c r="D375" s="37" t="str">
        <f>_xlfn.CONCAT(K375, U375)</f>
        <v>chopped cauliflowers</v>
      </c>
      <c r="I375" s="51">
        <v>1.2</v>
      </c>
      <c r="J375" s="52"/>
      <c r="K375" s="52" t="s">
        <v>159</v>
      </c>
      <c r="L375" s="53"/>
      <c r="M375" s="44">
        <f>INDEX(itemGPerQty, MATCH(K375, itemNames, 0))</f>
        <v>0</v>
      </c>
      <c r="N375" s="44">
        <f>INDEX(itemMlPerQty, MATCH(K375, itemNames, 0))</f>
        <v>0</v>
      </c>
      <c r="O375" s="44">
        <f t="shared" ref="O375:O378" si="315">IF(J375 = "", I375 * M375, IF(ISNA(CONVERT(I375, J375, "kg")), CONVERT(I375, J375, "l") * IF(N375 &lt;&gt; 0, M375 / N375, 0), CONVERT(I375, J375, "kg")))</f>
        <v>0</v>
      </c>
      <c r="P375" s="44">
        <f t="shared" ref="P375:P378" si="316">IF(J375 = "", I375 * N375, IF(ISNA(CONVERT(I375, J375, "l")), CONVERT(I375, J375, "kg") * IF(M375 &lt;&gt; 0, N375 / M375, 0), CONVERT(I375, J375, "l")))</f>
        <v>0</v>
      </c>
      <c r="Q375" s="44">
        <f>MROUND(IF(AND(J375 = "", L375 = ""), I375 * recipe04DayScale, IF(ISNA(CONVERT(O375, "kg", L375)), CONVERT(P375 * recipe04DayScale, "l", L375), CONVERT(O375 * recipe04DayScale, "kg", L375))), roundTo)</f>
        <v>0.75</v>
      </c>
      <c r="R375" s="44">
        <f>recipe04TotScale * IF(L375 = "", Q375 * M375, IF(ISNA(CONVERT(Q375, L375, "kg")), CONVERT(Q375, L375, "l") * IF(N375 &lt;&gt; 0, M375 / N375, 0), CONVERT(Q375, L375, "kg")))</f>
        <v>0</v>
      </c>
      <c r="S375" s="44">
        <f>recipe04TotScale * IF(R375 = 0, IF(L375 = "", Q375 * N375, IF(ISNA(CONVERT(Q375, L375, "l")), CONVERT(Q375, L375, "kg") * IF(M375 &lt;&gt; 0, N375 / M375, 0), CONVERT(Q375, L375, "l"))), 0)</f>
        <v>0</v>
      </c>
      <c r="T375" s="44">
        <f>recipe04TotScale * IF(AND(R375 = 0, S375 = 0, J375 = "", L375 = ""), Q375, 0)</f>
        <v>0.75</v>
      </c>
      <c r="V375" s="41" t="b">
        <f>INDEX(itemPrepMethods, MATCH(K375, itemNames, 0))="chop"</f>
        <v>1</v>
      </c>
      <c r="W375" s="54">
        <f>IF(V375, Q375, "")</f>
        <v>0.75</v>
      </c>
      <c r="X375" s="55" t="str">
        <f>IF(V375, IF(L375 = "", "", L375), "")</f>
        <v/>
      </c>
      <c r="Y375" s="55" t="str">
        <f>IF(V375, K375, "")</f>
        <v>chopped cauliflowers</v>
      </c>
      <c r="Z375" s="56"/>
      <c r="AA375" s="41" t="b">
        <f>INDEX(itemPrepMethods, MATCH(K375, itemNames, 0))="soak"</f>
        <v>0</v>
      </c>
      <c r="AB375" s="55" t="str">
        <f>IF(AA375, Q375, "")</f>
        <v/>
      </c>
      <c r="AC375" s="55" t="str">
        <f>IF(AA375, IF(L375 = "", "", L375), "")</f>
        <v/>
      </c>
      <c r="AD375" s="55" t="str">
        <f>IF(AA375, K375, "")</f>
        <v/>
      </c>
    </row>
    <row r="376" spans="1:30" x14ac:dyDescent="0.25">
      <c r="A376" s="37" t="s">
        <v>21</v>
      </c>
      <c r="B376" s="49">
        <f t="shared" si="308"/>
        <v>5.25</v>
      </c>
      <c r="C376" s="36" t="str">
        <f>IF(L376="","",L376)</f>
        <v/>
      </c>
      <c r="D376" s="37" t="str">
        <f>_xlfn.CONCAT(K376, U376)</f>
        <v>sliced zucchini</v>
      </c>
      <c r="I376" s="51">
        <v>8</v>
      </c>
      <c r="J376" s="52"/>
      <c r="K376" s="52" t="s">
        <v>105</v>
      </c>
      <c r="L376" s="53"/>
      <c r="M376" s="44">
        <f>INDEX(itemGPerQty, MATCH(K376, itemNames, 0))</f>
        <v>0</v>
      </c>
      <c r="N376" s="44">
        <f>INDEX(itemMlPerQty, MATCH(K376, itemNames, 0))</f>
        <v>0</v>
      </c>
      <c r="O376" s="44">
        <f t="shared" si="315"/>
        <v>0</v>
      </c>
      <c r="P376" s="44">
        <f t="shared" si="316"/>
        <v>0</v>
      </c>
      <c r="Q376" s="44">
        <f>MROUND(IF(AND(J376 = "", L376 = ""), I376 * recipe04DayScale, IF(ISNA(CONVERT(O376, "kg", L376)), CONVERT(P376 * recipe04DayScale, "l", L376), CONVERT(O376 * recipe04DayScale, "kg", L376))), roundTo)</f>
        <v>5.25</v>
      </c>
      <c r="R376" s="44">
        <f>recipe04TotScale * IF(L376 = "", Q376 * M376, IF(ISNA(CONVERT(Q376, L376, "kg")), CONVERT(Q376, L376, "l") * IF(N376 &lt;&gt; 0, M376 / N376, 0), CONVERT(Q376, L376, "kg")))</f>
        <v>0</v>
      </c>
      <c r="S376" s="44">
        <f>recipe04TotScale * IF(R376 = 0, IF(L376 = "", Q376 * N376, IF(ISNA(CONVERT(Q376, L376, "l")), CONVERT(Q376, L376, "kg") * IF(M376 &lt;&gt; 0, N376 / M376, 0), CONVERT(Q376, L376, "l"))), 0)</f>
        <v>0</v>
      </c>
      <c r="T376" s="44">
        <f>recipe04TotScale * IF(AND(R376 = 0, S376 = 0, J376 = "", L376 = ""), Q376, 0)</f>
        <v>5.25</v>
      </c>
      <c r="V376" s="41" t="b">
        <f>INDEX(itemPrepMethods, MATCH(K376, itemNames, 0))="chop"</f>
        <v>1</v>
      </c>
      <c r="W376" s="54">
        <f>IF(V376, Q376, "")</f>
        <v>5.25</v>
      </c>
      <c r="X376" s="55" t="str">
        <f>IF(V376, IF(L376 = "", "", L376), "")</f>
        <v/>
      </c>
      <c r="Y376" s="55" t="str">
        <f>IF(V376, K376, "")</f>
        <v>sliced zucchini</v>
      </c>
      <c r="Z376" s="56"/>
      <c r="AA376" s="41" t="b">
        <f>INDEX(itemPrepMethods, MATCH(K376, itemNames, 0))="soak"</f>
        <v>0</v>
      </c>
      <c r="AB376" s="55" t="str">
        <f>IF(AA376, Q376, "")</f>
        <v/>
      </c>
      <c r="AC376" s="55" t="str">
        <f>IF(AA376, IF(L376 = "", "", L376), "")</f>
        <v/>
      </c>
      <c r="AD376" s="55" t="str">
        <f>IF(AA376, K376, "")</f>
        <v/>
      </c>
    </row>
    <row r="377" spans="1:30" x14ac:dyDescent="0.25">
      <c r="A377" s="37" t="s">
        <v>21</v>
      </c>
      <c r="B377" s="49">
        <f t="shared" si="308"/>
        <v>7.25</v>
      </c>
      <c r="C377" s="36" t="str">
        <f>IF(L377="","",L377)</f>
        <v/>
      </c>
      <c r="D377" s="37" t="str">
        <f>_xlfn.CONCAT(K377, U377)</f>
        <v>sliced silverbeet leaves</v>
      </c>
      <c r="I377" s="51">
        <v>11</v>
      </c>
      <c r="J377" s="52"/>
      <c r="K377" s="52" t="s">
        <v>106</v>
      </c>
      <c r="L377" s="53"/>
      <c r="M377" s="44">
        <f>INDEX(itemGPerQty, MATCH(K377, itemNames, 0))</f>
        <v>0</v>
      </c>
      <c r="N377" s="44">
        <f>INDEX(itemMlPerQty, MATCH(K377, itemNames, 0))</f>
        <v>0</v>
      </c>
      <c r="O377" s="44">
        <f t="shared" si="315"/>
        <v>0</v>
      </c>
      <c r="P377" s="44">
        <f t="shared" si="316"/>
        <v>0</v>
      </c>
      <c r="Q377" s="44">
        <f>MROUND(IF(AND(J377 = "", L377 = ""), I377 * recipe04DayScale, IF(ISNA(CONVERT(O377, "kg", L377)), CONVERT(P377 * recipe04DayScale, "l", L377), CONVERT(O377 * recipe04DayScale, "kg", L377))), roundTo)</f>
        <v>7.25</v>
      </c>
      <c r="R377" s="44">
        <f>recipe04TotScale * IF(L377 = "", Q377 * M377, IF(ISNA(CONVERT(Q377, L377, "kg")), CONVERT(Q377, L377, "l") * IF(N377 &lt;&gt; 0, M377 / N377, 0), CONVERT(Q377, L377, "kg")))</f>
        <v>0</v>
      </c>
      <c r="S377" s="44">
        <f>recipe04TotScale * IF(R377 = 0, IF(L377 = "", Q377 * N377, IF(ISNA(CONVERT(Q377, L377, "l")), CONVERT(Q377, L377, "kg") * IF(M377 &lt;&gt; 0, N377 / M377, 0), CONVERT(Q377, L377, "l"))), 0)</f>
        <v>0</v>
      </c>
      <c r="T377" s="44">
        <f>recipe04TotScale * IF(AND(R377 = 0, S377 = 0, J377 = "", L377 = ""), Q377, 0)</f>
        <v>7.25</v>
      </c>
      <c r="V377" s="41" t="b">
        <f>INDEX(itemPrepMethods, MATCH(K377, itemNames, 0))="chop"</f>
        <v>1</v>
      </c>
      <c r="W377" s="54">
        <f>IF(V377, Q377, "")</f>
        <v>7.25</v>
      </c>
      <c r="X377" s="55" t="str">
        <f>IF(V377, IF(L377 = "", "", L377), "")</f>
        <v/>
      </c>
      <c r="Y377" s="55" t="str">
        <f>IF(V377, K377, "")</f>
        <v>sliced silverbeet leaves</v>
      </c>
      <c r="Z377" s="56"/>
      <c r="AA377" s="41" t="b">
        <f>INDEX(itemPrepMethods, MATCH(K377, itemNames, 0))="soak"</f>
        <v>0</v>
      </c>
      <c r="AB377" s="55" t="str">
        <f>IF(AA377, Q377, "")</f>
        <v/>
      </c>
      <c r="AC377" s="55" t="str">
        <f>IF(AA377, IF(L377 = "", "", L377), "")</f>
        <v/>
      </c>
      <c r="AD377" s="55" t="str">
        <f>IF(AA377, K377, "")</f>
        <v/>
      </c>
    </row>
    <row r="378" spans="1:30" x14ac:dyDescent="0.25">
      <c r="A378" s="37" t="s">
        <v>21</v>
      </c>
      <c r="B378" s="49">
        <f t="shared" si="308"/>
        <v>0.75</v>
      </c>
      <c r="C378" s="36" t="str">
        <f>IF(L378="","",L378)</f>
        <v>tbs</v>
      </c>
      <c r="D378" s="37" t="str">
        <f>_xlfn.CONCAT(K378, U378)</f>
        <v>salt</v>
      </c>
      <c r="I378" s="51">
        <v>1.1000000000000001</v>
      </c>
      <c r="J378" s="52" t="s">
        <v>15</v>
      </c>
      <c r="K378" s="52" t="s">
        <v>11</v>
      </c>
      <c r="L378" s="53" t="s">
        <v>15</v>
      </c>
      <c r="M378" s="44">
        <f>INDEX(itemGPerQty, MATCH(K378, itemNames, 0))</f>
        <v>2.5000000000000001E-2</v>
      </c>
      <c r="N378" s="44">
        <f>INDEX(itemMlPerQty, MATCH(K378, itemNames, 0))</f>
        <v>2.2180100000000001E-2</v>
      </c>
      <c r="O378" s="44">
        <f t="shared" si="315"/>
        <v>1.8333372324037089E-2</v>
      </c>
      <c r="P378" s="44">
        <f t="shared" si="316"/>
        <v>1.6265441259374999E-2</v>
      </c>
      <c r="Q378" s="44">
        <f>MROUND(IF(AND(J378 = "", L378 = ""), I378 * recipe04DayScale, IF(ISNA(CONVERT(O378, "kg", L378)), CONVERT(P378 * recipe04DayScale, "l", L378), CONVERT(O378 * recipe04DayScale, "kg", L378))), roundTo)</f>
        <v>0.75</v>
      </c>
      <c r="R378" s="44">
        <f>recipe04TotScale * IF(L378 = "", Q378 * M378, IF(ISNA(CONVERT(Q378, L378, "kg")), CONVERT(Q378, L378, "l") * IF(N378 &lt;&gt; 0, M378 / N378, 0), CONVERT(Q378, L378, "kg")))</f>
        <v>1.2500026584570742E-2</v>
      </c>
      <c r="S378" s="44">
        <f>recipe04TotScale * IF(R378 = 0, IF(L378 = "", Q378 * N378, IF(ISNA(CONVERT(Q378, L378, "l")), CONVERT(Q378, L378, "kg") * IF(M378 &lt;&gt; 0, N378 / M378, 0), CONVERT(Q378, L378, "l"))), 0)</f>
        <v>0</v>
      </c>
      <c r="T378" s="44">
        <f>recipe04TotScale * IF(AND(R378 = 0, S378 = 0, J378 = "", L378 = ""), Q378, 0)</f>
        <v>0</v>
      </c>
      <c r="V378" s="41" t="b">
        <f>INDEX(itemPrepMethods, MATCH(K378, itemNames, 0))="chop"</f>
        <v>0</v>
      </c>
      <c r="W378" s="54" t="str">
        <f>IF(V378, Q378, "")</f>
        <v/>
      </c>
      <c r="X378" s="55" t="str">
        <f>IF(V378, IF(L378 = "", "", L378), "")</f>
        <v/>
      </c>
      <c r="Y378" s="55" t="str">
        <f>IF(V378, K378, "")</f>
        <v/>
      </c>
      <c r="Z378" s="56"/>
      <c r="AA378" s="41" t="b">
        <f>INDEX(itemPrepMethods, MATCH(K378, itemNames, 0))="soak"</f>
        <v>0</v>
      </c>
      <c r="AB378" s="55" t="str">
        <f>IF(AA378, Q378, "")</f>
        <v/>
      </c>
      <c r="AC378" s="55" t="str">
        <f>IF(AA378, IF(L378 = "", "", L378), "")</f>
        <v/>
      </c>
      <c r="AD378" s="55" t="str">
        <f>IF(AA378, K378, "")</f>
        <v/>
      </c>
    </row>
    <row r="379" spans="1:30" ht="15.75" x14ac:dyDescent="0.25">
      <c r="A379" s="116"/>
      <c r="B379" s="116"/>
      <c r="C379" s="116"/>
      <c r="D379" s="116"/>
      <c r="E379" s="39"/>
      <c r="F379" s="39"/>
      <c r="G379" s="44"/>
      <c r="H379" s="44"/>
      <c r="I379" s="60"/>
      <c r="J379" s="39"/>
      <c r="K379" s="39"/>
      <c r="L379" s="61"/>
      <c r="M379" s="60"/>
      <c r="N379" s="60"/>
      <c r="O379" s="60"/>
      <c r="P379" s="60"/>
      <c r="Q379" s="39"/>
      <c r="R379" s="60"/>
      <c r="S379" s="60"/>
      <c r="T379" s="60"/>
      <c r="U379" s="39"/>
      <c r="W379" s="71"/>
      <c r="X379" s="71"/>
      <c r="Y379" s="71"/>
      <c r="Z379" s="71"/>
      <c r="AA379" s="64"/>
      <c r="AB379" s="71"/>
      <c r="AC379" s="71"/>
      <c r="AD379" s="71"/>
    </row>
    <row r="380" spans="1:30" x14ac:dyDescent="0.25">
      <c r="A380" s="115" t="s">
        <v>247</v>
      </c>
      <c r="B380" s="115"/>
      <c r="C380" s="115"/>
      <c r="D380" s="115"/>
      <c r="E380" s="39"/>
      <c r="F380" s="39"/>
      <c r="G380" s="44"/>
      <c r="H380" s="44"/>
      <c r="I380" s="60"/>
      <c r="J380" s="39"/>
      <c r="K380" s="39"/>
      <c r="L380" s="61"/>
      <c r="M380" s="60"/>
      <c r="N380" s="60"/>
      <c r="O380" s="60"/>
      <c r="P380" s="60"/>
      <c r="Q380" s="39"/>
      <c r="R380" s="60"/>
      <c r="S380" s="60"/>
      <c r="T380" s="60"/>
      <c r="U380" s="39"/>
      <c r="W380" s="71"/>
      <c r="X380" s="71"/>
      <c r="Y380" s="71"/>
      <c r="Z380" s="71"/>
      <c r="AA380" s="64"/>
      <c r="AB380" s="71"/>
      <c r="AC380" s="71"/>
      <c r="AD380" s="71"/>
    </row>
    <row r="381" spans="1:30" x14ac:dyDescent="0.25">
      <c r="A381" s="37" t="s">
        <v>21</v>
      </c>
      <c r="B381" s="49">
        <f t="shared" si="308"/>
        <v>1.25</v>
      </c>
      <c r="C381" s="36" t="str">
        <f>IF(L381="","",L381)</f>
        <v/>
      </c>
      <c r="D381" s="37" t="str">
        <f>_xlfn.CONCAT(K381, U381)</f>
        <v>tinned coconut cream</v>
      </c>
      <c r="I381" s="51">
        <v>2</v>
      </c>
      <c r="J381" s="52"/>
      <c r="K381" s="52" t="s">
        <v>447</v>
      </c>
      <c r="L381" s="53"/>
      <c r="M381" s="44">
        <f>INDEX(itemGPerQty, MATCH(K381, itemNames, 0))</f>
        <v>0</v>
      </c>
      <c r="N381" s="44">
        <f>INDEX(itemMlPerQty, MATCH(K381, itemNames, 0))</f>
        <v>0</v>
      </c>
      <c r="O381" s="44">
        <f t="shared" ref="O381:O382" si="317">IF(J381 = "", I381 * M381, IF(ISNA(CONVERT(I381, J381, "kg")), CONVERT(I381, J381, "l") * IF(N381 &lt;&gt; 0, M381 / N381, 0), CONVERT(I381, J381, "kg")))</f>
        <v>0</v>
      </c>
      <c r="P381" s="44">
        <f t="shared" ref="P381:P382" si="318">IF(J381 = "", I381 * N381, IF(ISNA(CONVERT(I381, J381, "l")), CONVERT(I381, J381, "kg") * IF(M381 &lt;&gt; 0, N381 / M381, 0), CONVERT(I381, J381, "l")))</f>
        <v>0</v>
      </c>
      <c r="Q381" s="44">
        <f>MROUND(IF(AND(J381 = "", L381 = ""), I381 * recipe04DayScale, IF(ISNA(CONVERT(O381, "kg", L381)), CONVERT(P381 * recipe04DayScale, "l", L381), CONVERT(O381 * recipe04DayScale, "kg", L381))), roundTo)</f>
        <v>1.25</v>
      </c>
      <c r="R381" s="44">
        <f>recipe04TotScale * IF(L381 = "", Q381 * M381, IF(ISNA(CONVERT(Q381, L381, "kg")), CONVERT(Q381, L381, "l") * IF(N381 &lt;&gt; 0, M381 / N381, 0), CONVERT(Q381, L381, "kg")))</f>
        <v>0</v>
      </c>
      <c r="S381" s="44">
        <f>recipe04TotScale * IF(R381 = 0, IF(L381 = "", Q381 * N381, IF(ISNA(CONVERT(Q381, L381, "l")), CONVERT(Q381, L381, "kg") * IF(M381 &lt;&gt; 0, N381 / M381, 0), CONVERT(Q381, L381, "l"))), 0)</f>
        <v>0</v>
      </c>
      <c r="T381" s="44">
        <f>recipe04TotScale * IF(AND(R381 = 0, S381 = 0, J381 = "", L381 = ""), Q381, 0)</f>
        <v>1.25</v>
      </c>
      <c r="V381" s="41" t="b">
        <f>INDEX(itemPrepMethods, MATCH(K381, itemNames, 0))="chop"</f>
        <v>0</v>
      </c>
      <c r="W381" s="54" t="str">
        <f>IF(V381, Q381, "")</f>
        <v/>
      </c>
      <c r="X381" s="55" t="str">
        <f>IF(V381, IF(L381 = "", "", L381), "")</f>
        <v/>
      </c>
      <c r="Y381" s="55" t="str">
        <f>IF(V381, K381, "")</f>
        <v/>
      </c>
      <c r="Z381" s="56"/>
      <c r="AA381" s="41" t="b">
        <f>INDEX(itemPrepMethods, MATCH(K381, itemNames, 0))="soak"</f>
        <v>0</v>
      </c>
      <c r="AB381" s="55" t="str">
        <f>IF(AA381, Q381, "")</f>
        <v/>
      </c>
      <c r="AC381" s="55" t="str">
        <f>IF(AA381, IF(L381 = "", "", L381), "")</f>
        <v/>
      </c>
      <c r="AD381" s="55" t="str">
        <f>IF(AA381, K381, "")</f>
        <v/>
      </c>
    </row>
    <row r="382" spans="1:30" x14ac:dyDescent="0.25">
      <c r="A382" s="37" t="s">
        <v>21</v>
      </c>
      <c r="B382" s="49">
        <f t="shared" si="308"/>
        <v>4</v>
      </c>
      <c r="C382" s="36" t="str">
        <f>IF(L382="","",L382)</f>
        <v/>
      </c>
      <c r="D382" s="37" t="str">
        <f>_xlfn.CONCAT(K382, U382)</f>
        <v>tinned chickpeas. Rinse and drain first</v>
      </c>
      <c r="I382" s="51">
        <v>6</v>
      </c>
      <c r="J382" s="51"/>
      <c r="K382" s="51" t="s">
        <v>445</v>
      </c>
      <c r="L382" s="53"/>
      <c r="M382" s="44">
        <f>INDEX(itemGPerQty, MATCH(K382, itemNames, 0))</f>
        <v>0</v>
      </c>
      <c r="N382" s="44">
        <f>INDEX(itemMlPerQty, MATCH(K382, itemNames, 0))</f>
        <v>0</v>
      </c>
      <c r="O382" s="44">
        <f t="shared" si="317"/>
        <v>0</v>
      </c>
      <c r="P382" s="44">
        <f t="shared" si="318"/>
        <v>0</v>
      </c>
      <c r="Q382" s="44">
        <f>MROUND(IF(AND(J382 = "", L382 = ""), I382 * recipe04DayScale, IF(ISNA(CONVERT(O382, "kg", L382)), CONVERT(P382 * recipe04DayScale, "l", L382), CONVERT(O382 * recipe04DayScale, "kg", L382))), roundTo)</f>
        <v>4</v>
      </c>
      <c r="R382" s="44">
        <f>recipe04TotScale * IF(L382 = "", Q382 * M382, IF(ISNA(CONVERT(Q382, L382, "kg")), CONVERT(Q382, L382, "l") * IF(N382 &lt;&gt; 0, M382 / N382, 0), CONVERT(Q382, L382, "kg")))</f>
        <v>0</v>
      </c>
      <c r="S382" s="44">
        <f>recipe04TotScale * IF(R382 = 0, IF(L382 = "", Q382 * N382, IF(ISNA(CONVERT(Q382, L382, "l")), CONVERT(Q382, L382, "kg") * IF(M382 &lt;&gt; 0, N382 / M382, 0), CONVERT(Q382, L382, "l"))), 0)</f>
        <v>0</v>
      </c>
      <c r="T382" s="44">
        <f>recipe04TotScale * IF(AND(R382 = 0, S382 = 0, J382 = "", L382 = ""), Q382, 0)</f>
        <v>4</v>
      </c>
      <c r="U382" s="41" t="s">
        <v>241</v>
      </c>
      <c r="V382" s="41" t="b">
        <f>INDEX(itemPrepMethods, MATCH(K382, itemNames, 0))="chop"</f>
        <v>0</v>
      </c>
      <c r="W382" s="54" t="str">
        <f>IF(V382, Q382, "")</f>
        <v/>
      </c>
      <c r="X382" s="55" t="str">
        <f>IF(V382, IF(L382 = "", "", L382), "")</f>
        <v/>
      </c>
      <c r="Y382" s="55" t="str">
        <f>IF(V382, K382, "")</f>
        <v/>
      </c>
      <c r="Z382" s="56"/>
      <c r="AA382" s="41" t="b">
        <f>INDEX(itemPrepMethods, MATCH(K382, itemNames, 0))="soak"</f>
        <v>0</v>
      </c>
      <c r="AB382" s="55" t="str">
        <f>IF(AA382, Q382, "")</f>
        <v/>
      </c>
      <c r="AC382" s="55" t="str">
        <f>IF(AA382, IF(L382 = "", "", L382), "")</f>
        <v/>
      </c>
      <c r="AD382" s="55" t="str">
        <f>IF(AA382, K382, "")</f>
        <v/>
      </c>
    </row>
    <row r="383" spans="1:30" x14ac:dyDescent="0.25">
      <c r="A383" s="37" t="s">
        <v>21</v>
      </c>
      <c r="B383" s="49"/>
      <c r="C383" s="36" t="str">
        <f>IF(L383="","",L383)</f>
        <v/>
      </c>
      <c r="D383" s="37" t="str">
        <f>_xlfn.CONCAT(K383, U383)</f>
        <v>water, if required</v>
      </c>
      <c r="I383" s="44"/>
      <c r="K383" s="52" t="s">
        <v>47</v>
      </c>
      <c r="L383" s="41"/>
      <c r="M383" s="41"/>
      <c r="N383" s="41"/>
      <c r="O383" s="41"/>
      <c r="P383" s="41"/>
      <c r="U383" s="41" t="s">
        <v>207</v>
      </c>
      <c r="V383" s="41" t="b">
        <f>INDEX(itemPrepMethods, MATCH(K383, itemNames, 0))="chop"</f>
        <v>0</v>
      </c>
      <c r="W383" s="54" t="str">
        <f>IF(V383, Q383, "")</f>
        <v/>
      </c>
      <c r="X383" s="55" t="str">
        <f>IF(V383, IF(L383 = "", "", L383), "")</f>
        <v/>
      </c>
      <c r="Y383" s="55" t="str">
        <f>IF(V383, K383, "")</f>
        <v/>
      </c>
      <c r="Z383" s="56"/>
      <c r="AA383" s="41" t="b">
        <f>INDEX(itemPrepMethods, MATCH(K383, itemNames, 0))="soak"</f>
        <v>0</v>
      </c>
      <c r="AB383" s="55" t="str">
        <f>IF(AA383, Q383, "")</f>
        <v/>
      </c>
      <c r="AC383" s="55" t="str">
        <f>IF(AA383, IF(L383 = "", "", L383), "")</f>
        <v/>
      </c>
      <c r="AD383" s="55" t="str">
        <f>IF(AA383, K383, "")</f>
        <v/>
      </c>
    </row>
    <row r="384" spans="1:30" x14ac:dyDescent="0.25">
      <c r="A384" s="37" t="s">
        <v>21</v>
      </c>
      <c r="B384" s="49"/>
      <c r="C384" s="36" t="str">
        <f>IF(L384="","",L384)</f>
        <v/>
      </c>
      <c r="D384" s="37" t="str">
        <f>_xlfn.CONCAT(K384, U384)</f>
        <v>salt, to taste</v>
      </c>
      <c r="I384" s="44"/>
      <c r="K384" s="52" t="s">
        <v>11</v>
      </c>
      <c r="L384" s="41"/>
      <c r="M384" s="41"/>
      <c r="N384" s="41"/>
      <c r="O384" s="41"/>
      <c r="P384" s="41"/>
      <c r="U384" s="41" t="s">
        <v>206</v>
      </c>
      <c r="V384" s="41" t="b">
        <f>INDEX(itemPrepMethods, MATCH(K384, itemNames, 0))="chop"</f>
        <v>0</v>
      </c>
      <c r="W384" s="54" t="str">
        <f>IF(V384, Q384, "")</f>
        <v/>
      </c>
      <c r="X384" s="55" t="str">
        <f>IF(V384, IF(L384 = "", "", L384), "")</f>
        <v/>
      </c>
      <c r="Y384" s="55" t="str">
        <f>IF(V384, K384, "")</f>
        <v/>
      </c>
      <c r="Z384" s="56"/>
      <c r="AA384" s="41" t="b">
        <f>INDEX(itemPrepMethods, MATCH(K384, itemNames, 0))="soak"</f>
        <v>0</v>
      </c>
      <c r="AB384" s="55" t="str">
        <f>IF(AA384, Q384, "")</f>
        <v/>
      </c>
      <c r="AC384" s="55" t="str">
        <f>IF(AA384, IF(L384 = "", "", L384), "")</f>
        <v/>
      </c>
      <c r="AD384" s="55" t="str">
        <f>IF(AA384, K384, "")</f>
        <v/>
      </c>
    </row>
    <row r="385" spans="1:30" x14ac:dyDescent="0.25">
      <c r="A385" s="37" t="s">
        <v>21</v>
      </c>
      <c r="B385" s="49"/>
      <c r="C385" s="36" t="str">
        <f>IF(L385="","",L385)</f>
        <v/>
      </c>
      <c r="D385" s="37" t="str">
        <f>_xlfn.CONCAT(K385, U385)</f>
        <v>ground black pepper, to taste</v>
      </c>
      <c r="I385" s="44"/>
      <c r="K385" s="52" t="s">
        <v>76</v>
      </c>
      <c r="L385" s="41"/>
      <c r="M385" s="41"/>
      <c r="N385" s="41"/>
      <c r="O385" s="41"/>
      <c r="P385" s="41"/>
      <c r="U385" s="41" t="s">
        <v>206</v>
      </c>
      <c r="V385" s="41" t="b">
        <f>INDEX(itemPrepMethods, MATCH(K385, itemNames, 0))="chop"</f>
        <v>0</v>
      </c>
      <c r="W385" s="54" t="str">
        <f>IF(V385, Q385, "")</f>
        <v/>
      </c>
      <c r="X385" s="55" t="str">
        <f>IF(V385, IF(L385 = "", "", L385), "")</f>
        <v/>
      </c>
      <c r="Y385" s="55" t="str">
        <f>IF(V385, K385, "")</f>
        <v/>
      </c>
      <c r="Z385" s="56"/>
      <c r="AA385" s="41" t="b">
        <f>INDEX(itemPrepMethods, MATCH(K385, itemNames, 0))="soak"</f>
        <v>0</v>
      </c>
      <c r="AB385" s="55" t="str">
        <f>IF(AA385, Q385, "")</f>
        <v/>
      </c>
      <c r="AC385" s="55" t="str">
        <f>IF(AA385, IF(L385 = "", "", L385), "")</f>
        <v/>
      </c>
      <c r="AD385" s="55" t="str">
        <f>IF(AA385, K385, "")</f>
        <v/>
      </c>
    </row>
    <row r="386" spans="1:30" ht="15.75" x14ac:dyDescent="0.25">
      <c r="A386" s="116"/>
      <c r="B386" s="116"/>
      <c r="C386" s="116"/>
      <c r="D386" s="116"/>
      <c r="E386" s="39"/>
      <c r="F386" s="39"/>
      <c r="G386" s="44"/>
      <c r="H386" s="44"/>
      <c r="I386" s="60"/>
      <c r="J386" s="39"/>
      <c r="K386" s="39"/>
      <c r="L386" s="61"/>
      <c r="M386" s="60"/>
      <c r="N386" s="60"/>
      <c r="O386" s="60"/>
      <c r="P386" s="60"/>
      <c r="Q386" s="39"/>
      <c r="R386" s="60"/>
      <c r="S386" s="60"/>
      <c r="T386" s="60"/>
      <c r="U386" s="39"/>
    </row>
    <row r="387" spans="1:30" x14ac:dyDescent="0.25">
      <c r="A387" s="115" t="s">
        <v>248</v>
      </c>
      <c r="B387" s="115"/>
      <c r="C387" s="115"/>
      <c r="D387" s="115"/>
      <c r="E387" s="39"/>
      <c r="F387" s="39"/>
      <c r="G387" s="44"/>
      <c r="H387" s="44"/>
      <c r="I387" s="60"/>
      <c r="J387" s="39"/>
      <c r="K387" s="39"/>
      <c r="L387" s="61"/>
      <c r="M387" s="60"/>
      <c r="N387" s="60"/>
      <c r="O387" s="60"/>
      <c r="P387" s="60"/>
      <c r="Q387" s="39"/>
      <c r="R387" s="60"/>
      <c r="S387" s="60"/>
      <c r="T387" s="60"/>
      <c r="U387" s="39"/>
    </row>
    <row r="388" spans="1:30" ht="15.75" x14ac:dyDescent="0.25">
      <c r="A388" s="117" t="s">
        <v>36</v>
      </c>
      <c r="B388" s="117"/>
      <c r="C388" s="117"/>
      <c r="D388" s="117"/>
      <c r="E388" s="40" t="s">
        <v>135</v>
      </c>
      <c r="F388" s="100" t="s">
        <v>178</v>
      </c>
      <c r="G388" s="100"/>
    </row>
    <row r="389" spans="1:30" ht="24" x14ac:dyDescent="0.2">
      <c r="A389" s="117" t="s">
        <v>43</v>
      </c>
      <c r="B389" s="117"/>
      <c r="C389" s="117"/>
      <c r="D389" s="117"/>
      <c r="E389" s="39" t="s">
        <v>53</v>
      </c>
      <c r="F389" s="87">
        <v>16</v>
      </c>
      <c r="G389" s="44"/>
      <c r="I389" s="67" t="s">
        <v>434</v>
      </c>
      <c r="J389" s="68" t="s">
        <v>435</v>
      </c>
      <c r="K389" s="68" t="s">
        <v>17</v>
      </c>
      <c r="L389" s="69" t="s">
        <v>438</v>
      </c>
      <c r="M389" s="67" t="s">
        <v>141</v>
      </c>
      <c r="N389" s="67" t="s">
        <v>142</v>
      </c>
      <c r="O389" s="67" t="s">
        <v>436</v>
      </c>
      <c r="P389" s="67" t="s">
        <v>437</v>
      </c>
      <c r="Q389" s="68" t="s">
        <v>353</v>
      </c>
      <c r="R389" s="67" t="s">
        <v>354</v>
      </c>
      <c r="S389" s="67" t="s">
        <v>355</v>
      </c>
      <c r="T389" s="67" t="s">
        <v>356</v>
      </c>
      <c r="U389" s="68" t="s">
        <v>22</v>
      </c>
      <c r="V389" s="68" t="s">
        <v>202</v>
      </c>
      <c r="W389" s="70" t="s">
        <v>353</v>
      </c>
      <c r="X389" s="68" t="s">
        <v>200</v>
      </c>
      <c r="Y389" s="68" t="s">
        <v>201</v>
      </c>
      <c r="Z389" s="68" t="s">
        <v>302</v>
      </c>
      <c r="AA389" s="68" t="s">
        <v>203</v>
      </c>
      <c r="AB389" s="70" t="s">
        <v>353</v>
      </c>
      <c r="AC389" s="68" t="s">
        <v>204</v>
      </c>
      <c r="AD389" s="68" t="s">
        <v>205</v>
      </c>
    </row>
    <row r="390" spans="1:30" ht="13.5" thickBot="1" x14ac:dyDescent="0.3">
      <c r="A390" s="118" t="str">
        <f>_xlfn.CONCAT(F390," servings")</f>
        <v>10 servings</v>
      </c>
      <c r="B390" s="118"/>
      <c r="C390" s="118"/>
      <c r="D390" s="118"/>
      <c r="E390" s="63" t="s">
        <v>348</v>
      </c>
      <c r="F390" s="87">
        <f>thDiCount</f>
        <v>10</v>
      </c>
      <c r="G390" s="44"/>
      <c r="I390" s="60"/>
      <c r="J390" s="39"/>
      <c r="K390" s="39"/>
      <c r="L390" s="61"/>
      <c r="M390" s="60"/>
      <c r="N390" s="60"/>
      <c r="O390" s="60"/>
      <c r="P390" s="60"/>
      <c r="Q390" s="39"/>
      <c r="R390" s="60"/>
      <c r="S390" s="60"/>
      <c r="T390" s="60"/>
      <c r="U390" s="39"/>
    </row>
    <row r="391" spans="1:30" s="102" customFormat="1" ht="15.75" thickBot="1" x14ac:dyDescent="0.3">
      <c r="A391" s="115"/>
      <c r="B391" s="115"/>
      <c r="C391" s="115"/>
      <c r="D391" s="115"/>
      <c r="E391" s="63" t="s">
        <v>351</v>
      </c>
      <c r="F391" s="47">
        <f>F390/F389</f>
        <v>0.625</v>
      </c>
      <c r="G391" s="48" t="s">
        <v>381</v>
      </c>
      <c r="I391" s="60"/>
      <c r="J391" s="100"/>
      <c r="K391" s="100"/>
      <c r="L391" s="61"/>
      <c r="M391" s="60"/>
      <c r="N391" s="60"/>
      <c r="O391" s="60"/>
      <c r="P391" s="60"/>
      <c r="Q391" s="100"/>
      <c r="R391" s="60"/>
      <c r="S391" s="60"/>
      <c r="T391" s="60"/>
      <c r="U391" s="100"/>
      <c r="W391" s="45"/>
      <c r="Z391" s="46"/>
    </row>
    <row r="392" spans="1:30" x14ac:dyDescent="0.25">
      <c r="A392" s="115" t="s">
        <v>160</v>
      </c>
      <c r="B392" s="115"/>
      <c r="C392" s="115"/>
      <c r="D392" s="115"/>
      <c r="E392" s="64"/>
      <c r="F392" s="64"/>
      <c r="G392" s="64"/>
      <c r="I392" s="60"/>
      <c r="J392" s="39"/>
      <c r="K392" s="39"/>
      <c r="L392" s="61"/>
      <c r="M392" s="60"/>
      <c r="N392" s="60"/>
      <c r="O392" s="60"/>
      <c r="P392" s="60"/>
      <c r="Q392" s="39"/>
      <c r="R392" s="60"/>
      <c r="S392" s="60"/>
      <c r="T392" s="60"/>
      <c r="U392" s="39"/>
    </row>
    <row r="393" spans="1:30" ht="15.75" thickBot="1" x14ac:dyDescent="0.3">
      <c r="A393" s="115"/>
      <c r="B393" s="115"/>
      <c r="C393" s="115"/>
      <c r="D393" s="115"/>
      <c r="E393" s="63" t="s">
        <v>327</v>
      </c>
      <c r="F393" s="87">
        <f>thDiCount</f>
        <v>10</v>
      </c>
      <c r="G393" s="64"/>
      <c r="I393" s="44"/>
    </row>
    <row r="394" spans="1:30" ht="15.75" thickBot="1" x14ac:dyDescent="0.3">
      <c r="A394" s="115" t="s">
        <v>179</v>
      </c>
      <c r="B394" s="115"/>
      <c r="C394" s="115"/>
      <c r="D394" s="115"/>
      <c r="E394" s="63" t="s">
        <v>352</v>
      </c>
      <c r="F394" s="47">
        <f>F393/F390</f>
        <v>1</v>
      </c>
      <c r="G394" s="48" t="s">
        <v>382</v>
      </c>
      <c r="I394" s="44"/>
    </row>
    <row r="395" spans="1:30" x14ac:dyDescent="0.25">
      <c r="A395" s="37" t="s">
        <v>21</v>
      </c>
      <c r="B395" s="49">
        <f t="shared" ref="B395" si="319">Q395</f>
        <v>1.25</v>
      </c>
      <c r="C395" s="36" t="str">
        <f t="shared" ref="C395" si="320">IF(L395="","",L395)</f>
        <v>cup</v>
      </c>
      <c r="D395" s="37" t="str">
        <f>_xlfn.CONCAT(K395, U395)</f>
        <v>split peas. Soaked by Tenzo the night before. Rinse and drain first</v>
      </c>
      <c r="I395" s="59">
        <v>2</v>
      </c>
      <c r="J395" s="52" t="s">
        <v>16</v>
      </c>
      <c r="K395" s="52" t="s">
        <v>7</v>
      </c>
      <c r="L395" s="53" t="s">
        <v>16</v>
      </c>
      <c r="M395" s="44">
        <f>INDEX(itemGPerQty, MATCH(K395, itemNames, 0))</f>
        <v>0.84699999999999998</v>
      </c>
      <c r="N395" s="44">
        <f>INDEX(itemMlPerQty, MATCH(K395, itemNames, 0))</f>
        <v>0.946353</v>
      </c>
      <c r="O395" s="44">
        <f>IF(J395 = "", I395 * M395, IF(ISNA(CONVERT(I395, J395, "kg")), CONVERT(I395, J395, "l") * IF(N395 &lt;&gt; 0, M395 / N395, 0), CONVERT(I395, J395, "kg")))</f>
        <v>0.4234999758345987</v>
      </c>
      <c r="P395" s="44">
        <f>IF(J395 = "", I395 * N395, IF(ISNA(CONVERT(I395, J395, "l")), CONVERT(I395, J395, "kg") * IF(M395 &lt;&gt; 0, N395 / M395, 0), CONVERT(I395, J395, "l")))</f>
        <v>0.47317647299999999</v>
      </c>
      <c r="Q395" s="44">
        <f>MROUND(IF(AND(J395 = "", L395 = ""), I395 * recipe11DayScale, IF(ISNA(CONVERT(O395, "kg", L395)), CONVERT(P395 * recipe11DayScale, "l", L395), CONVERT(O395 * recipe11DayScale, "kg", L395))), roundTo)</f>
        <v>1.25</v>
      </c>
      <c r="R395" s="44">
        <f>recipe11TotScale * IF(L395 = "", Q395 * M395, IF(ISNA(CONVERT(Q395, L395, "kg")), CONVERT(Q395, L395, "l") * IF(N395 &lt;&gt; 0, M395 / N395, 0), CONVERT(Q395, L395, "kg")))</f>
        <v>0.26468748489662419</v>
      </c>
      <c r="S395" s="44">
        <f>recipe11TotScale * IF(R395 = 0, IF(L395 = "", Q395 * N395, IF(ISNA(CONVERT(Q395, L395, "l")), CONVERT(Q395, L395, "kg") * IF(M395 &lt;&gt; 0, N395 / M395, 0), CONVERT(Q395, L395, "l"))), 0)</f>
        <v>0</v>
      </c>
      <c r="T395" s="44">
        <f>recipe11TotScale * IF(AND(R395 = 0, S395 = 0, J395 = "", L395 = ""), Q395, 0)</f>
        <v>0</v>
      </c>
      <c r="U395" s="41" t="s">
        <v>234</v>
      </c>
      <c r="V395" s="41" t="b">
        <f>INDEX(itemPrepMethods, MATCH(K395, itemNames, 0))="chop"</f>
        <v>0</v>
      </c>
      <c r="W395" s="54" t="str">
        <f>IF(V395, Q395, "")</f>
        <v/>
      </c>
      <c r="X395" s="55" t="str">
        <f>IF(V395, IF(L395 = "", "", L395), "")</f>
        <v/>
      </c>
      <c r="Y395" s="55" t="str">
        <f>IF(V395, K395, "")</f>
        <v/>
      </c>
      <c r="Z395" s="56"/>
      <c r="AA395" s="41" t="b">
        <f>INDEX(itemPrepMethods, MATCH(K395, itemNames, 0))="soak"</f>
        <v>1</v>
      </c>
      <c r="AB395" s="55">
        <f>IF(AA395, Q395, "")</f>
        <v>1.25</v>
      </c>
      <c r="AC395" s="55" t="str">
        <f>IF(AA395, IF(L395 = "", "", L395), "")</f>
        <v>cup</v>
      </c>
      <c r="AD395" s="55" t="str">
        <f>IF(AA395, K395, "")</f>
        <v>split peas</v>
      </c>
    </row>
    <row r="396" spans="1:30" x14ac:dyDescent="0.25">
      <c r="A396" s="115"/>
      <c r="B396" s="115"/>
      <c r="C396" s="115"/>
      <c r="D396" s="115"/>
      <c r="I396" s="44"/>
      <c r="W396" s="71"/>
      <c r="X396" s="72"/>
      <c r="Y396" s="72"/>
      <c r="Z396" s="73"/>
      <c r="AB396" s="71"/>
      <c r="AC396" s="71"/>
      <c r="AD396" s="71"/>
    </row>
    <row r="397" spans="1:30" x14ac:dyDescent="0.25">
      <c r="A397" s="115" t="s">
        <v>291</v>
      </c>
      <c r="B397" s="115"/>
      <c r="C397" s="115"/>
      <c r="D397" s="115"/>
      <c r="I397" s="44"/>
      <c r="W397" s="71"/>
      <c r="X397" s="72"/>
      <c r="Y397" s="72"/>
      <c r="Z397" s="73"/>
      <c r="AB397" s="71"/>
      <c r="AC397" s="71"/>
      <c r="AD397" s="71"/>
    </row>
    <row r="398" spans="1:30" x14ac:dyDescent="0.25">
      <c r="A398" s="37" t="s">
        <v>21</v>
      </c>
      <c r="B398" s="49">
        <f t="shared" ref="B398" si="321">Q398</f>
        <v>6.25</v>
      </c>
      <c r="C398" s="36" t="str">
        <f t="shared" ref="C398" si="322">IF(L398="","",L398)</f>
        <v>tbs</v>
      </c>
      <c r="D398" s="37" t="str">
        <f>_xlfn.CONCAT(K398, U398)</f>
        <v>oil</v>
      </c>
      <c r="I398" s="59">
        <v>10</v>
      </c>
      <c r="J398" s="52" t="s">
        <v>15</v>
      </c>
      <c r="K398" s="52" t="s">
        <v>46</v>
      </c>
      <c r="L398" s="53" t="s">
        <v>15</v>
      </c>
      <c r="M398" s="44">
        <f t="shared" ref="M398:M402" si="323">INDEX(itemGPerQty, MATCH(K398, itemNames, 0))</f>
        <v>0</v>
      </c>
      <c r="N398" s="44">
        <f t="shared" ref="N398:N402" si="324">INDEX(itemMlPerQty, MATCH(K398, itemNames, 0))</f>
        <v>0</v>
      </c>
      <c r="O398" s="44">
        <f t="shared" ref="O398:O402" si="325">IF(J398 = "", I398 * M398, IF(ISNA(CONVERT(I398, J398, "kg")), CONVERT(I398, J398, "l") * IF(N398 &lt;&gt; 0, M398 / N398, 0), CONVERT(I398, J398, "kg")))</f>
        <v>0</v>
      </c>
      <c r="P398" s="44">
        <f t="shared" ref="P398:P402" si="326">IF(J398 = "", I398 * N398, IF(ISNA(CONVERT(I398, J398, "l")), CONVERT(I398, J398, "kg") * IF(M398 &lt;&gt; 0, N398 / M398, 0), CONVERT(I398, J398, "l")))</f>
        <v>0.1478676478125</v>
      </c>
      <c r="Q398" s="44">
        <f>MROUND(IF(AND(J398 = "", L398 = ""), I398 * recipe11DayScale, IF(ISNA(CONVERT(O398, "kg", L398)), CONVERT(P398 * recipe11DayScale, "l", L398), CONVERT(O398 * recipe11DayScale, "kg", L398))), roundTo)</f>
        <v>6.25</v>
      </c>
      <c r="R398" s="44">
        <f>recipe11TotScale * IF(L398 = "", Q398 * M398, IF(ISNA(CONVERT(Q398, L398, "kg")), CONVERT(Q398, L398, "l") * IF(N398 &lt;&gt; 0, M398 / N398, 0), CONVERT(Q398, L398, "kg")))</f>
        <v>0</v>
      </c>
      <c r="S398" s="44">
        <f>recipe11TotScale * IF(R398 = 0, IF(L398 = "", Q398 * N398, IF(ISNA(CONVERT(Q398, L398, "l")), CONVERT(Q398, L398, "kg") * IF(M398 &lt;&gt; 0, N398 / M398, 0), CONVERT(Q398, L398, "l"))), 0)</f>
        <v>9.2417279882812495E-2</v>
      </c>
      <c r="T398" s="44">
        <f>recipe11TotScale * IF(AND(R398 = 0, S398 = 0, J398 = "", L398 = ""), Q398, 0)</f>
        <v>0</v>
      </c>
      <c r="V398" s="41" t="b">
        <f>INDEX(itemPrepMethods, MATCH(K398, itemNames, 0))="chop"</f>
        <v>0</v>
      </c>
      <c r="W398" s="54" t="str">
        <f>IF(V398, Q398, "")</f>
        <v/>
      </c>
      <c r="X398" s="55" t="str">
        <f>IF(V398, IF(L398 = "", "", L398), "")</f>
        <v/>
      </c>
      <c r="Y398" s="55" t="str">
        <f>IF(V398, K398, "")</f>
        <v/>
      </c>
      <c r="Z398" s="56"/>
      <c r="AA398" s="41" t="b">
        <f>INDEX(itemPrepMethods, MATCH(K398, itemNames, 0))="soak"</f>
        <v>0</v>
      </c>
      <c r="AB398" s="55" t="str">
        <f>IF(AA398, Q398, "")</f>
        <v/>
      </c>
      <c r="AC398" s="55" t="str">
        <f>IF(AA398, IF(L398 = "", "", L398), "")</f>
        <v/>
      </c>
      <c r="AD398" s="55" t="str">
        <f>IF(AA398, K398, "")</f>
        <v/>
      </c>
    </row>
    <row r="399" spans="1:30" x14ac:dyDescent="0.25">
      <c r="A399" s="37" t="s">
        <v>21</v>
      </c>
      <c r="B399" s="49">
        <f t="shared" ref="B399:B402" si="327">Q399</f>
        <v>5</v>
      </c>
      <c r="C399" s="36" t="str">
        <f t="shared" ref="C399:C402" si="328">IF(L399="","",L399)</f>
        <v/>
      </c>
      <c r="D399" s="37" t="str">
        <f>_xlfn.CONCAT(K399, U399)</f>
        <v>garlic cloves. Remove from oil once cooked</v>
      </c>
      <c r="I399" s="59">
        <v>8</v>
      </c>
      <c r="J399" s="52"/>
      <c r="K399" s="52" t="s">
        <v>8</v>
      </c>
      <c r="L399" s="53"/>
      <c r="M399" s="44">
        <f t="shared" si="323"/>
        <v>0</v>
      </c>
      <c r="N399" s="44">
        <f t="shared" si="324"/>
        <v>0</v>
      </c>
      <c r="O399" s="44">
        <f t="shared" si="325"/>
        <v>0</v>
      </c>
      <c r="P399" s="44">
        <f t="shared" si="326"/>
        <v>0</v>
      </c>
      <c r="Q399" s="44">
        <f>MROUND(IF(AND(J399 = "", L399 = ""), I399 * recipe11DayScale, IF(ISNA(CONVERT(O399, "kg", L399)), CONVERT(P399 * recipe11DayScale, "l", L399), CONVERT(O399 * recipe11DayScale, "kg", L399))), roundTo)</f>
        <v>5</v>
      </c>
      <c r="R399" s="44">
        <f>recipe11TotScale * IF(L399 = "", Q399 * M399, IF(ISNA(CONVERT(Q399, L399, "kg")), CONVERT(Q399, L399, "l") * IF(N399 &lt;&gt; 0, M399 / N399, 0), CONVERT(Q399, L399, "kg")))</f>
        <v>0</v>
      </c>
      <c r="S399" s="44">
        <f>recipe11TotScale * IF(R399 = 0, IF(L399 = "", Q399 * N399, IF(ISNA(CONVERT(Q399, L399, "l")), CONVERT(Q399, L399, "kg") * IF(M399 &lt;&gt; 0, N399 / M399, 0), CONVERT(Q399, L399, "l"))), 0)</f>
        <v>0</v>
      </c>
      <c r="T399" s="44">
        <f>recipe11TotScale * IF(AND(R399 = 0, S399 = 0, J399 = "", L399 = ""), Q399, 0)</f>
        <v>5</v>
      </c>
      <c r="U399" s="41" t="s">
        <v>233</v>
      </c>
      <c r="V399" s="41" t="b">
        <f>INDEX(itemPrepMethods, MATCH(K399, itemNames, 0))="chop"</f>
        <v>0</v>
      </c>
      <c r="W399" s="54" t="str">
        <f>IF(V399, Q399, "")</f>
        <v/>
      </c>
      <c r="X399" s="55" t="str">
        <f>IF(V399, IF(L399 = "", "", L399), "")</f>
        <v/>
      </c>
      <c r="Y399" s="55" t="str">
        <f>IF(V399, K399, "")</f>
        <v/>
      </c>
      <c r="Z399" s="56"/>
      <c r="AA399" s="41" t="b">
        <f>INDEX(itemPrepMethods, MATCH(K399, itemNames, 0))="soak"</f>
        <v>0</v>
      </c>
      <c r="AB399" s="55" t="str">
        <f>IF(AA399, Q399, "")</f>
        <v/>
      </c>
      <c r="AC399" s="55" t="str">
        <f>IF(AA399, IF(L399 = "", "", L399), "")</f>
        <v/>
      </c>
      <c r="AD399" s="55" t="str">
        <f>IF(AA399, K399, "")</f>
        <v/>
      </c>
    </row>
    <row r="400" spans="1:30" x14ac:dyDescent="0.25">
      <c r="A400" s="37" t="s">
        <v>21</v>
      </c>
      <c r="B400" s="49">
        <f t="shared" si="327"/>
        <v>1.25</v>
      </c>
      <c r="C400" s="36" t="str">
        <f t="shared" si="328"/>
        <v>tbs</v>
      </c>
      <c r="D400" s="37" t="str">
        <f>_xlfn.CONCAT(K400, U400)</f>
        <v>ground turmeric</v>
      </c>
      <c r="I400" s="59">
        <v>2</v>
      </c>
      <c r="J400" s="52" t="s">
        <v>15</v>
      </c>
      <c r="K400" s="52" t="s">
        <v>305</v>
      </c>
      <c r="L400" s="53" t="s">
        <v>15</v>
      </c>
      <c r="M400" s="44">
        <f t="shared" si="323"/>
        <v>1.4E-2</v>
      </c>
      <c r="N400" s="44">
        <f t="shared" si="324"/>
        <v>2.2180100000000001E-2</v>
      </c>
      <c r="O400" s="44">
        <f t="shared" si="325"/>
        <v>1.8666706366292307E-2</v>
      </c>
      <c r="P400" s="44">
        <f t="shared" si="326"/>
        <v>2.9573529562499999E-2</v>
      </c>
      <c r="Q400" s="44">
        <f>MROUND(IF(AND(J400 = "", L400 = ""), I400 * recipe11DayScale, IF(ISNA(CONVERT(O400, "kg", L400)), CONVERT(P400 * recipe11DayScale, "l", L400), CONVERT(O400 * recipe11DayScale, "kg", L400))), roundTo)</f>
        <v>1.25</v>
      </c>
      <c r="R400" s="44">
        <f>recipe11TotScale * IF(L400 = "", Q400 * M400, IF(ISNA(CONVERT(Q400, L400, "kg")), CONVERT(Q400, L400, "l") * IF(N400 &lt;&gt; 0, M400 / N400, 0), CONVERT(Q400, L400, "kg")))</f>
        <v>1.1666691478932692E-2</v>
      </c>
      <c r="S400" s="44">
        <f>recipe11TotScale * IF(R400 = 0, IF(L400 = "", Q400 * N400, IF(ISNA(CONVERT(Q400, L400, "l")), CONVERT(Q400, L400, "kg") * IF(M400 &lt;&gt; 0, N400 / M400, 0), CONVERT(Q400, L400, "l"))), 0)</f>
        <v>0</v>
      </c>
      <c r="T400" s="44">
        <f>recipe11TotScale * IF(AND(R400 = 0, S400 = 0, J400 = "", L400 = ""), Q400, 0)</f>
        <v>0</v>
      </c>
      <c r="V400" s="41" t="b">
        <f>INDEX(itemPrepMethods, MATCH(K400, itemNames, 0))="chop"</f>
        <v>0</v>
      </c>
      <c r="W400" s="54" t="str">
        <f>IF(V400, Q400, "")</f>
        <v/>
      </c>
      <c r="X400" s="55" t="str">
        <f>IF(V400, IF(L400 = "", "", L400), "")</f>
        <v/>
      </c>
      <c r="Y400" s="55" t="str">
        <f>IF(V400, K400, "")</f>
        <v/>
      </c>
      <c r="Z400" s="56"/>
      <c r="AA400" s="41" t="b">
        <f>INDEX(itemPrepMethods, MATCH(K400, itemNames, 0))="soak"</f>
        <v>0</v>
      </c>
      <c r="AB400" s="55" t="str">
        <f>IF(AA400, Q400, "")</f>
        <v/>
      </c>
      <c r="AC400" s="55" t="str">
        <f>IF(AA400, IF(L400 = "", "", L400), "")</f>
        <v/>
      </c>
      <c r="AD400" s="55" t="str">
        <f>IF(AA400, K400, "")</f>
        <v/>
      </c>
    </row>
    <row r="401" spans="1:30" x14ac:dyDescent="0.25">
      <c r="A401" s="37" t="s">
        <v>21</v>
      </c>
      <c r="B401" s="49">
        <f t="shared" si="327"/>
        <v>0.75</v>
      </c>
      <c r="C401" s="36" t="str">
        <f t="shared" si="328"/>
        <v>tbs</v>
      </c>
      <c r="D401" s="37" t="str">
        <f>_xlfn.CONCAT(K401, U401)</f>
        <v>cinnamon</v>
      </c>
      <c r="I401" s="59">
        <v>1</v>
      </c>
      <c r="J401" s="52" t="s">
        <v>15</v>
      </c>
      <c r="K401" s="52" t="s">
        <v>101</v>
      </c>
      <c r="L401" s="53" t="s">
        <v>15</v>
      </c>
      <c r="M401" s="44">
        <f t="shared" si="323"/>
        <v>1.0999999999999999E-2</v>
      </c>
      <c r="N401" s="44">
        <f t="shared" si="324"/>
        <v>2.2180100000000001E-2</v>
      </c>
      <c r="O401" s="44">
        <f t="shared" si="325"/>
        <v>7.3333489296148338E-3</v>
      </c>
      <c r="P401" s="44">
        <f t="shared" si="326"/>
        <v>1.478676478125E-2</v>
      </c>
      <c r="Q401" s="44">
        <f>MROUND(IF(AND(J401 = "", L401 = ""), I401 * recipe11DayScale, IF(ISNA(CONVERT(O401, "kg", L401)), CONVERT(P401 * recipe11DayScale, "l", L401), CONVERT(O401 * recipe11DayScale, "kg", L401))), roundTo)</f>
        <v>0.75</v>
      </c>
      <c r="R401" s="44">
        <f>recipe11TotScale * IF(L401 = "", Q401 * M401, IF(ISNA(CONVERT(Q401, L401, "kg")), CONVERT(Q401, L401, "l") * IF(N401 &lt;&gt; 0, M401 / N401, 0), CONVERT(Q401, L401, "kg")))</f>
        <v>5.5000116972111247E-3</v>
      </c>
      <c r="S401" s="44">
        <f>recipe11TotScale * IF(R401 = 0, IF(L401 = "", Q401 * N401, IF(ISNA(CONVERT(Q401, L401, "l")), CONVERT(Q401, L401, "kg") * IF(M401 &lt;&gt; 0, N401 / M401, 0), CONVERT(Q401, L401, "l"))), 0)</f>
        <v>0</v>
      </c>
      <c r="T401" s="44">
        <f>recipe11TotScale * IF(AND(R401 = 0, S401 = 0, J401 = "", L401 = ""), Q401, 0)</f>
        <v>0</v>
      </c>
      <c r="V401" s="41" t="b">
        <f>INDEX(itemPrepMethods, MATCH(K401, itemNames, 0))="chop"</f>
        <v>0</v>
      </c>
      <c r="W401" s="54" t="str">
        <f>IF(V401, Q401, "")</f>
        <v/>
      </c>
      <c r="X401" s="55" t="str">
        <f>IF(V401, IF(L401 = "", "", L401), "")</f>
        <v/>
      </c>
      <c r="Y401" s="55" t="str">
        <f>IF(V401, K401, "")</f>
        <v/>
      </c>
      <c r="Z401" s="56"/>
      <c r="AA401" s="41" t="b">
        <f>INDEX(itemPrepMethods, MATCH(K401, itemNames, 0))="soak"</f>
        <v>0</v>
      </c>
      <c r="AB401" s="55" t="str">
        <f>IF(AA401, Q401, "")</f>
        <v/>
      </c>
      <c r="AC401" s="55" t="str">
        <f>IF(AA401, IF(L401 = "", "", L401), "")</f>
        <v/>
      </c>
      <c r="AD401" s="55" t="str">
        <f>IF(AA401, K401, "")</f>
        <v/>
      </c>
    </row>
    <row r="402" spans="1:30" x14ac:dyDescent="0.25">
      <c r="A402" s="37" t="s">
        <v>21</v>
      </c>
      <c r="B402" s="49">
        <f t="shared" si="327"/>
        <v>4.5</v>
      </c>
      <c r="C402" s="36" t="str">
        <f t="shared" si="328"/>
        <v>tbs</v>
      </c>
      <c r="D402" s="37" t="str">
        <f>_xlfn.CONCAT(K402, U402)</f>
        <v>minced fresh ginger</v>
      </c>
      <c r="I402" s="59">
        <v>7</v>
      </c>
      <c r="J402" s="52" t="s">
        <v>15</v>
      </c>
      <c r="K402" s="52" t="s">
        <v>221</v>
      </c>
      <c r="L402" s="53" t="s">
        <v>15</v>
      </c>
      <c r="M402" s="44">
        <f t="shared" si="323"/>
        <v>0</v>
      </c>
      <c r="N402" s="44">
        <f t="shared" si="324"/>
        <v>0</v>
      </c>
      <c r="O402" s="44">
        <f t="shared" si="325"/>
        <v>0</v>
      </c>
      <c r="P402" s="44">
        <f t="shared" si="326"/>
        <v>0.10350735346874999</v>
      </c>
      <c r="Q402" s="44">
        <f>MROUND(IF(AND(J402 = "", L402 = ""), I402 * recipe11DayScale, IF(ISNA(CONVERT(O402, "kg", L402)), CONVERT(P402 * recipe11DayScale, "l", L402), CONVERT(O402 * recipe11DayScale, "kg", L402))), roundTo)</f>
        <v>4.5</v>
      </c>
      <c r="R402" s="44">
        <f>recipe11TotScale * IF(L402 = "", Q402 * M402, IF(ISNA(CONVERT(Q402, L402, "kg")), CONVERT(Q402, L402, "l") * IF(N402 &lt;&gt; 0, M402 / N402, 0), CONVERT(Q402, L402, "kg")))</f>
        <v>0</v>
      </c>
      <c r="S402" s="44">
        <f>recipe11TotScale * IF(R402 = 0, IF(L402 = "", Q402 * N402, IF(ISNA(CONVERT(Q402, L402, "l")), CONVERT(Q402, L402, "kg") * IF(M402 &lt;&gt; 0, N402 / M402, 0), CONVERT(Q402, L402, "l"))), 0)</f>
        <v>6.6540441515624993E-2</v>
      </c>
      <c r="T402" s="44">
        <f>recipe11TotScale * IF(AND(R402 = 0, S402 = 0, J402 = "", L402 = ""), Q402, 0)</f>
        <v>0</v>
      </c>
      <c r="V402" s="41" t="b">
        <f>INDEX(itemPrepMethods, MATCH(K402, itemNames, 0))="chop"</f>
        <v>1</v>
      </c>
      <c r="W402" s="54">
        <f>IF(V402, Q402, "")</f>
        <v>4.5</v>
      </c>
      <c r="X402" s="55" t="str">
        <f>IF(V402, IF(L402 = "", "", L402), "")</f>
        <v>tbs</v>
      </c>
      <c r="Y402" s="55" t="str">
        <f>IF(V402, K402, "")</f>
        <v>minced fresh ginger</v>
      </c>
      <c r="Z402" s="56"/>
      <c r="AA402" s="41" t="b">
        <f>INDEX(itemPrepMethods, MATCH(K402, itemNames, 0))="soak"</f>
        <v>0</v>
      </c>
      <c r="AB402" s="55" t="str">
        <f>IF(AA402, Q402, "")</f>
        <v/>
      </c>
      <c r="AC402" s="55" t="str">
        <f>IF(AA402, IF(L402 = "", "", L402), "")</f>
        <v/>
      </c>
      <c r="AD402" s="55" t="str">
        <f>IF(AA402, K402, "")</f>
        <v/>
      </c>
    </row>
    <row r="403" spans="1:30" x14ac:dyDescent="0.25">
      <c r="A403" s="115"/>
      <c r="B403" s="115"/>
      <c r="C403" s="115"/>
      <c r="D403" s="115"/>
      <c r="I403" s="41"/>
      <c r="L403" s="41"/>
      <c r="M403" s="41"/>
      <c r="N403" s="41"/>
      <c r="O403" s="41"/>
      <c r="P403" s="41"/>
      <c r="Q403" s="41"/>
      <c r="T403" s="41"/>
      <c r="W403" s="71"/>
      <c r="X403" s="72"/>
      <c r="Y403" s="72"/>
      <c r="Z403" s="73"/>
      <c r="AB403" s="71"/>
      <c r="AC403" s="71"/>
      <c r="AD403" s="71"/>
    </row>
    <row r="404" spans="1:30" x14ac:dyDescent="0.25">
      <c r="A404" s="115" t="s">
        <v>182</v>
      </c>
      <c r="B404" s="115"/>
      <c r="C404" s="115"/>
      <c r="D404" s="115"/>
      <c r="I404" s="41"/>
      <c r="L404" s="41"/>
      <c r="M404" s="41"/>
      <c r="N404" s="41"/>
      <c r="O404" s="41"/>
      <c r="P404" s="41"/>
      <c r="Q404" s="41"/>
      <c r="T404" s="41"/>
      <c r="W404" s="71"/>
      <c r="X404" s="72"/>
      <c r="Y404" s="72"/>
      <c r="Z404" s="73"/>
      <c r="AB404" s="71"/>
      <c r="AC404" s="71"/>
      <c r="AD404" s="71"/>
    </row>
    <row r="405" spans="1:30" x14ac:dyDescent="0.25">
      <c r="A405" s="37" t="s">
        <v>21</v>
      </c>
      <c r="B405" s="49">
        <f t="shared" ref="B405:B407" si="329">Q405</f>
        <v>1.25</v>
      </c>
      <c r="C405" s="36" t="str">
        <f t="shared" ref="C405:C407" si="330">IF(L405="","",L405)</f>
        <v>l</v>
      </c>
      <c r="D405" s="37" t="str">
        <f>_xlfn.CONCAT(K405, U405)</f>
        <v>water. This soup is thick so DON'T ADD TOO MUCH</v>
      </c>
      <c r="I405" s="59">
        <v>2</v>
      </c>
      <c r="J405" s="52" t="s">
        <v>54</v>
      </c>
      <c r="K405" s="52" t="s">
        <v>47</v>
      </c>
      <c r="L405" s="53" t="s">
        <v>54</v>
      </c>
      <c r="M405" s="44">
        <f>INDEX(itemGPerQty, MATCH(K405, itemNames, 0))</f>
        <v>1</v>
      </c>
      <c r="N405" s="44">
        <f>INDEX(itemMlPerQty, MATCH(K405, itemNames, 0))</f>
        <v>1</v>
      </c>
      <c r="O405" s="44">
        <f t="shared" ref="O405:O408" si="331">IF(J405 = "", I405 * M405, IF(ISNA(CONVERT(I405, J405, "kg")), CONVERT(I405, J405, "l") * IF(N405 &lt;&gt; 0, M405 / N405, 0), CONVERT(I405, J405, "kg")))</f>
        <v>2</v>
      </c>
      <c r="P405" s="44">
        <f t="shared" ref="P405:P408" si="332">IF(J405 = "", I405 * N405, IF(ISNA(CONVERT(I405, J405, "l")), CONVERT(I405, J405, "kg") * IF(M405 &lt;&gt; 0, N405 / M405, 0), CONVERT(I405, J405, "l")))</f>
        <v>2</v>
      </c>
      <c r="Q405" s="44">
        <f>MROUND(IF(AND(J405 = "", L405 = ""), I405 * recipe11DayScale, IF(ISNA(CONVERT(O405, "kg", L405)), CONVERT(P405 * recipe11DayScale, "l", L405), CONVERT(O405 * recipe11DayScale, "kg", L405))), roundTo)</f>
        <v>1.25</v>
      </c>
      <c r="R405" s="44">
        <f>recipe11TotScale * IF(L405 = "", Q405 * M405, IF(ISNA(CONVERT(Q405, L405, "kg")), CONVERT(Q405, L405, "l") * IF(N405 &lt;&gt; 0, M405 / N405, 0), CONVERT(Q405, L405, "kg")))</f>
        <v>1.25</v>
      </c>
      <c r="S405" s="44">
        <f>recipe11TotScale * IF(R405 = 0, IF(L405 = "", Q405 * N405, IF(ISNA(CONVERT(Q405, L405, "l")), CONVERT(Q405, L405, "kg") * IF(M405 &lt;&gt; 0, N405 / M405, 0), CONVERT(Q405, L405, "l"))), 0)</f>
        <v>0</v>
      </c>
      <c r="T405" s="44">
        <f>recipe11TotScale * IF(AND(R405 = 0, S405 = 0, J405 = "", L405 = ""), Q405, 0)</f>
        <v>0</v>
      </c>
      <c r="U405" s="41" t="s">
        <v>290</v>
      </c>
      <c r="V405" s="41" t="b">
        <f>INDEX(itemPrepMethods, MATCH(K405, itemNames, 0))="chop"</f>
        <v>0</v>
      </c>
      <c r="W405" s="54" t="str">
        <f>IF(V405, Q405, "")</f>
        <v/>
      </c>
      <c r="X405" s="55" t="str">
        <f>IF(V405, IF(L405 = "", "", L405), "")</f>
        <v/>
      </c>
      <c r="Y405" s="55" t="str">
        <f>IF(V405, K405, "")</f>
        <v/>
      </c>
      <c r="Z405" s="56"/>
      <c r="AA405" s="41" t="b">
        <f>INDEX(itemPrepMethods, MATCH(K405, itemNames, 0))="soak"</f>
        <v>0</v>
      </c>
      <c r="AB405" s="55" t="str">
        <f>IF(AA405, Q405, "")</f>
        <v/>
      </c>
      <c r="AC405" s="55" t="str">
        <f>IF(AA405, IF(L405 = "", "", L405), "")</f>
        <v/>
      </c>
      <c r="AD405" s="55" t="str">
        <f>IF(AA405, K405, "")</f>
        <v/>
      </c>
    </row>
    <row r="406" spans="1:30" x14ac:dyDescent="0.25">
      <c r="A406" s="37" t="s">
        <v>21</v>
      </c>
      <c r="B406" s="49">
        <f t="shared" si="329"/>
        <v>5</v>
      </c>
      <c r="C406" s="36" t="str">
        <f t="shared" si="330"/>
        <v/>
      </c>
      <c r="D406" s="37" t="str">
        <f>_xlfn.CONCAT(K406, U406)</f>
        <v>chopped potatoes</v>
      </c>
      <c r="I406" s="59">
        <v>8</v>
      </c>
      <c r="J406" s="52"/>
      <c r="K406" s="52" t="s">
        <v>4</v>
      </c>
      <c r="L406" s="53"/>
      <c r="M406" s="44">
        <f>INDEX(itemGPerQty, MATCH(K406, itemNames, 0))</f>
        <v>0.22500000000000001</v>
      </c>
      <c r="N406" s="44">
        <f>INDEX(itemMlPerQty, MATCH(K406, itemNames, 0))</f>
        <v>0.33750000000000002</v>
      </c>
      <c r="O406" s="44">
        <f t="shared" si="331"/>
        <v>1.8</v>
      </c>
      <c r="P406" s="44">
        <f t="shared" si="332"/>
        <v>2.7</v>
      </c>
      <c r="Q406" s="44">
        <f>MROUND(IF(AND(J406 = "", L406 = ""), I406 * recipe11DayScale, IF(ISNA(CONVERT(O406, "kg", L406)), CONVERT(P406 * recipe11DayScale, "l", L406), CONVERT(O406 * recipe11DayScale, "kg", L406))), roundTo)</f>
        <v>5</v>
      </c>
      <c r="R406" s="44">
        <f>recipe11TotScale * IF(L406 = "", Q406 * M406, IF(ISNA(CONVERT(Q406, L406, "kg")), CONVERT(Q406, L406, "l") * IF(N406 &lt;&gt; 0, M406 / N406, 0), CONVERT(Q406, L406, "kg")))</f>
        <v>1.125</v>
      </c>
      <c r="S406" s="44">
        <f>recipe11TotScale * IF(R406 = 0, IF(L406 = "", Q406 * N406, IF(ISNA(CONVERT(Q406, L406, "l")), CONVERT(Q406, L406, "kg") * IF(M406 &lt;&gt; 0, N406 / M406, 0), CONVERT(Q406, L406, "l"))), 0)</f>
        <v>0</v>
      </c>
      <c r="T406" s="44">
        <f>recipe11TotScale * IF(AND(R406 = 0, S406 = 0, J406 = "", L406 = ""), Q406, 0)</f>
        <v>0</v>
      </c>
      <c r="V406" s="41" t="b">
        <f>INDEX(itemPrepMethods, MATCH(K406, itemNames, 0))="chop"</f>
        <v>1</v>
      </c>
      <c r="W406" s="54">
        <f>IF(V406, Q406, "")</f>
        <v>5</v>
      </c>
      <c r="X406" s="55" t="str">
        <f>IF(V406, IF(L406 = "", "", L406), "")</f>
        <v/>
      </c>
      <c r="Y406" s="55" t="str">
        <f>IF(V406, K406, "")</f>
        <v>chopped potatoes</v>
      </c>
      <c r="Z406" s="56"/>
      <c r="AA406" s="41" t="b">
        <f>INDEX(itemPrepMethods, MATCH(K406, itemNames, 0))="soak"</f>
        <v>0</v>
      </c>
      <c r="AB406" s="55" t="str">
        <f>IF(AA406, Q406, "")</f>
        <v/>
      </c>
      <c r="AC406" s="55" t="str">
        <f>IF(AA406, IF(L406 = "", "", L406), "")</f>
        <v/>
      </c>
      <c r="AD406" s="55" t="str">
        <f>IF(AA406, K406, "")</f>
        <v/>
      </c>
    </row>
    <row r="407" spans="1:30" x14ac:dyDescent="0.25">
      <c r="A407" s="37" t="s">
        <v>21</v>
      </c>
      <c r="B407" s="49">
        <f t="shared" si="329"/>
        <v>7</v>
      </c>
      <c r="C407" s="36" t="str">
        <f t="shared" si="330"/>
        <v/>
      </c>
      <c r="D407" s="37" t="str">
        <f>_xlfn.CONCAT(K407, U407)</f>
        <v>chopped celery stalks</v>
      </c>
      <c r="I407" s="59">
        <v>11</v>
      </c>
      <c r="J407" s="52"/>
      <c r="K407" s="52" t="s">
        <v>148</v>
      </c>
      <c r="L407" s="53"/>
      <c r="M407" s="44">
        <f>INDEX(itemGPerQty, MATCH(K407, itemNames, 0))</f>
        <v>0</v>
      </c>
      <c r="N407" s="44">
        <f>INDEX(itemMlPerQty, MATCH(K407, itemNames, 0))</f>
        <v>0</v>
      </c>
      <c r="O407" s="44">
        <f t="shared" si="331"/>
        <v>0</v>
      </c>
      <c r="P407" s="44">
        <f t="shared" si="332"/>
        <v>0</v>
      </c>
      <c r="Q407" s="44">
        <f>MROUND(IF(AND(J407 = "", L407 = ""), I407 * recipe11DayScale, IF(ISNA(CONVERT(O407, "kg", L407)), CONVERT(P407 * recipe11DayScale, "l", L407), CONVERT(O407 * recipe11DayScale, "kg", L407))), roundTo)</f>
        <v>7</v>
      </c>
      <c r="R407" s="44">
        <f>recipe11TotScale * IF(L407 = "", Q407 * M407, IF(ISNA(CONVERT(Q407, L407, "kg")), CONVERT(Q407, L407, "l") * IF(N407 &lt;&gt; 0, M407 / N407, 0), CONVERT(Q407, L407, "kg")))</f>
        <v>0</v>
      </c>
      <c r="S407" s="44">
        <f>recipe11TotScale * IF(R407 = 0, IF(L407 = "", Q407 * N407, IF(ISNA(CONVERT(Q407, L407, "l")), CONVERT(Q407, L407, "kg") * IF(M407 &lt;&gt; 0, N407 / M407, 0), CONVERT(Q407, L407, "l"))), 0)</f>
        <v>0</v>
      </c>
      <c r="T407" s="44">
        <f>recipe11TotScale * IF(AND(R407 = 0, S407 = 0, J407 = "", L407 = ""), Q407, 0)</f>
        <v>7</v>
      </c>
      <c r="V407" s="41" t="b">
        <f>INDEX(itemPrepMethods, MATCH(K407, itemNames, 0))="chop"</f>
        <v>1</v>
      </c>
      <c r="W407" s="54">
        <f>IF(V407, Q407, "")</f>
        <v>7</v>
      </c>
      <c r="X407" s="55" t="str">
        <f>IF(V407, IF(L407 = "", "", L407), "")</f>
        <v/>
      </c>
      <c r="Y407" s="55" t="str">
        <f>IF(V407, K407, "")</f>
        <v>chopped celery stalks</v>
      </c>
      <c r="Z407" s="56"/>
      <c r="AA407" s="41" t="b">
        <f>INDEX(itemPrepMethods, MATCH(K407, itemNames, 0))="soak"</f>
        <v>0</v>
      </c>
      <c r="AB407" s="55" t="str">
        <f>IF(AA407, Q407, "")</f>
        <v/>
      </c>
      <c r="AC407" s="55" t="str">
        <f>IF(AA407, IF(L407 = "", "", L407), "")</f>
        <v/>
      </c>
      <c r="AD407" s="55" t="str">
        <f>IF(AA407, K407, "")</f>
        <v/>
      </c>
    </row>
    <row r="408" spans="1:30" x14ac:dyDescent="0.25">
      <c r="A408" s="37" t="s">
        <v>21</v>
      </c>
      <c r="B408" s="49">
        <f t="shared" ref="B408" si="333">Q408</f>
        <v>7</v>
      </c>
      <c r="C408" s="36" t="str">
        <f t="shared" ref="C408" si="334">IF(L408="","",L408)</f>
        <v/>
      </c>
      <c r="D408" s="37" t="str">
        <f>_xlfn.CONCAT(K408, U408)</f>
        <v>chopped silverbeet leaves</v>
      </c>
      <c r="I408" s="59">
        <v>11</v>
      </c>
      <c r="J408" s="52"/>
      <c r="K408" s="52" t="s">
        <v>181</v>
      </c>
      <c r="L408" s="53"/>
      <c r="M408" s="44">
        <f>INDEX(itemGPerQty, MATCH(K408, itemNames, 0))</f>
        <v>0</v>
      </c>
      <c r="N408" s="44">
        <f>INDEX(itemMlPerQty, MATCH(K408, itemNames, 0))</f>
        <v>0</v>
      </c>
      <c r="O408" s="44">
        <f t="shared" si="331"/>
        <v>0</v>
      </c>
      <c r="P408" s="44">
        <f t="shared" si="332"/>
        <v>0</v>
      </c>
      <c r="Q408" s="44">
        <f>MROUND(IF(AND(J408 = "", L408 = ""), I408 * recipe11DayScale, IF(ISNA(CONVERT(O408, "kg", L408)), CONVERT(P408 * recipe11DayScale, "l", L408), CONVERT(O408 * recipe11DayScale, "kg", L408))), roundTo)</f>
        <v>7</v>
      </c>
      <c r="R408" s="44">
        <f>recipe11TotScale * IF(L408 = "", Q408 * M408, IF(ISNA(CONVERT(Q408, L408, "kg")), CONVERT(Q408, L408, "l") * IF(N408 &lt;&gt; 0, M408 / N408, 0), CONVERT(Q408, L408, "kg")))</f>
        <v>0</v>
      </c>
      <c r="S408" s="44">
        <f>recipe11TotScale * IF(R408 = 0, IF(L408 = "", Q408 * N408, IF(ISNA(CONVERT(Q408, L408, "l")), CONVERT(Q408, L408, "kg") * IF(M408 &lt;&gt; 0, N408 / M408, 0), CONVERT(Q408, L408, "l"))), 0)</f>
        <v>0</v>
      </c>
      <c r="T408" s="44">
        <f>recipe11TotScale * IF(AND(R408 = 0, S408 = 0, J408 = "", L408 = ""), Q408, 0)</f>
        <v>7</v>
      </c>
      <c r="V408" s="41" t="b">
        <f>INDEX(itemPrepMethods, MATCH(K408, itemNames, 0))="chop"</f>
        <v>1</v>
      </c>
      <c r="W408" s="54">
        <f>IF(V408, Q408, "")</f>
        <v>7</v>
      </c>
      <c r="X408" s="55" t="str">
        <f>IF(V408, IF(L408 = "", "", L408), "")</f>
        <v/>
      </c>
      <c r="Y408" s="55" t="str">
        <f>IF(V408, K408, "")</f>
        <v>chopped silverbeet leaves</v>
      </c>
      <c r="Z408" s="56"/>
      <c r="AA408" s="41" t="b">
        <f>INDEX(itemPrepMethods, MATCH(K408, itemNames, 0))="soak"</f>
        <v>0</v>
      </c>
      <c r="AB408" s="55" t="str">
        <f>IF(AA408, Q408, "")</f>
        <v/>
      </c>
      <c r="AC408" s="55" t="str">
        <f>IF(AA408, IF(L408 = "", "", L408), "")</f>
        <v/>
      </c>
      <c r="AD408" s="55" t="str">
        <f>IF(AA408, K408, "")</f>
        <v/>
      </c>
    </row>
    <row r="409" spans="1:30" x14ac:dyDescent="0.25">
      <c r="A409" s="115"/>
      <c r="B409" s="115"/>
      <c r="C409" s="115"/>
      <c r="D409" s="115"/>
      <c r="I409" s="44"/>
      <c r="L409" s="41"/>
      <c r="M409" s="41"/>
      <c r="N409" s="41"/>
      <c r="W409" s="71"/>
      <c r="X409" s="72"/>
      <c r="Y409" s="72"/>
      <c r="Z409" s="73"/>
      <c r="AB409" s="71"/>
      <c r="AC409" s="71"/>
      <c r="AD409" s="71"/>
    </row>
    <row r="410" spans="1:30" x14ac:dyDescent="0.25">
      <c r="A410" s="115" t="s">
        <v>153</v>
      </c>
      <c r="B410" s="115"/>
      <c r="C410" s="115"/>
      <c r="D410" s="115"/>
      <c r="I410" s="44"/>
      <c r="L410" s="41"/>
      <c r="M410" s="41"/>
      <c r="N410" s="41"/>
      <c r="W410" s="71"/>
      <c r="X410" s="72"/>
      <c r="Y410" s="72"/>
      <c r="Z410" s="73"/>
      <c r="AB410" s="71"/>
      <c r="AC410" s="71"/>
      <c r="AD410" s="71"/>
    </row>
    <row r="411" spans="1:30" x14ac:dyDescent="0.25">
      <c r="A411" s="37" t="s">
        <v>21</v>
      </c>
      <c r="B411" s="49">
        <f t="shared" ref="B411" si="335">Q411</f>
        <v>1.25</v>
      </c>
      <c r="C411" s="36" t="str">
        <f t="shared" ref="C411:C412" si="336">IF(L411="","",L411)</f>
        <v/>
      </c>
      <c r="D411" s="37" t="str">
        <f>_xlfn.CONCAT(K411, U411)</f>
        <v>tinned coconut cream</v>
      </c>
      <c r="I411" s="59">
        <v>2</v>
      </c>
      <c r="J411" s="52"/>
      <c r="K411" s="52" t="s">
        <v>447</v>
      </c>
      <c r="L411" s="53"/>
      <c r="M411" s="44">
        <f>INDEX(itemGPerQty, MATCH(K411, itemNames, 0))</f>
        <v>0</v>
      </c>
      <c r="N411" s="44">
        <f>INDEX(itemMlPerQty, MATCH(K411, itemNames, 0))</f>
        <v>0</v>
      </c>
      <c r="O411" s="44">
        <f>IF(J411 = "", I411 * M411, IF(ISNA(CONVERT(I411, J411, "kg")), CONVERT(I411, J411, "l") * IF(N411 &lt;&gt; 0, M411 / N411, 0), CONVERT(I411, J411, "kg")))</f>
        <v>0</v>
      </c>
      <c r="P411" s="44">
        <f>IF(J411 = "", I411 * N411, IF(ISNA(CONVERT(I411, J411, "l")), CONVERT(I411, J411, "kg") * IF(M411 &lt;&gt; 0, N411 / M411, 0), CONVERT(I411, J411, "l")))</f>
        <v>0</v>
      </c>
      <c r="Q411" s="44">
        <f>MROUND(IF(AND(J411 = "", L411 = ""), I411 * recipe11DayScale, IF(ISNA(CONVERT(O411, "kg", L411)), CONVERT(P411 * recipe11DayScale, "l", L411), CONVERT(O411 * recipe11DayScale, "kg", L411))), roundTo)</f>
        <v>1.25</v>
      </c>
      <c r="R411" s="44">
        <f>recipe11TotScale * IF(L411 = "", Q411 * M411, IF(ISNA(CONVERT(Q411, L411, "kg")), CONVERT(Q411, L411, "l") * IF(N411 &lt;&gt; 0, M411 / N411, 0), CONVERT(Q411, L411, "kg")))</f>
        <v>0</v>
      </c>
      <c r="S411" s="44">
        <f>recipe11TotScale * IF(R411 = 0, IF(L411 = "", Q411 * N411, IF(ISNA(CONVERT(Q411, L411, "l")), CONVERT(Q411, L411, "kg") * IF(M411 &lt;&gt; 0, N411 / M411, 0), CONVERT(Q411, L411, "l"))), 0)</f>
        <v>0</v>
      </c>
      <c r="T411" s="44">
        <f>recipe11TotScale * IF(AND(R411 = 0, S411 = 0, J411 = "", L411 = ""), Q411, 0)</f>
        <v>1.25</v>
      </c>
      <c r="V411" s="41" t="b">
        <f>INDEX(itemPrepMethods, MATCH(K411, itemNames, 0))="chop"</f>
        <v>0</v>
      </c>
      <c r="W411" s="54" t="str">
        <f>IF(V411, Q411, "")</f>
        <v/>
      </c>
      <c r="X411" s="55" t="str">
        <f>IF(V411, IF(L411 = "", "", L411), "")</f>
        <v/>
      </c>
      <c r="Y411" s="55" t="str">
        <f>IF(V411, K411, "")</f>
        <v/>
      </c>
      <c r="Z411" s="56"/>
      <c r="AA411" s="41" t="b">
        <f>INDEX(itemPrepMethods, MATCH(K411, itemNames, 0))="soak"</f>
        <v>0</v>
      </c>
      <c r="AB411" s="55" t="str">
        <f>IF(AA411, Q411, "")</f>
        <v/>
      </c>
      <c r="AC411" s="55" t="str">
        <f>IF(AA411, IF(L411 = "", "", L411), "")</f>
        <v/>
      </c>
      <c r="AD411" s="55" t="str">
        <f>IF(AA411, K411, "")</f>
        <v/>
      </c>
    </row>
    <row r="412" spans="1:30" x14ac:dyDescent="0.25">
      <c r="A412" s="37" t="s">
        <v>21</v>
      </c>
      <c r="B412" s="49"/>
      <c r="C412" s="36" t="str">
        <f t="shared" si="336"/>
        <v/>
      </c>
      <c r="D412" s="37" t="str">
        <f>_xlfn.CONCAT(K412, U412)</f>
        <v>cooked split peas from step 1</v>
      </c>
      <c r="I412" s="44"/>
      <c r="L412" s="41"/>
      <c r="M412" s="41"/>
      <c r="N412" s="41"/>
      <c r="O412" s="41"/>
      <c r="P412" s="41"/>
      <c r="Q412" s="41"/>
      <c r="T412" s="41"/>
      <c r="U412" s="41" t="s">
        <v>231</v>
      </c>
      <c r="W412" s="54"/>
      <c r="X412" s="55"/>
      <c r="Y412" s="55"/>
      <c r="Z412" s="56"/>
      <c r="AB412" s="55"/>
      <c r="AC412" s="55"/>
      <c r="AD412" s="55"/>
    </row>
    <row r="413" spans="1:30" x14ac:dyDescent="0.25">
      <c r="A413" s="37" t="s">
        <v>21</v>
      </c>
      <c r="B413" s="49"/>
      <c r="C413" s="36" t="str">
        <f>IF(L413="","",L413)</f>
        <v/>
      </c>
      <c r="D413" s="37" t="str">
        <f>_xlfn.CONCAT(K413, U413)</f>
        <v>water, if required</v>
      </c>
      <c r="I413" s="44"/>
      <c r="K413" s="52" t="s">
        <v>47</v>
      </c>
      <c r="L413" s="41"/>
      <c r="M413" s="41"/>
      <c r="N413" s="41"/>
      <c r="O413" s="41"/>
      <c r="P413" s="41"/>
      <c r="U413" s="41" t="s">
        <v>207</v>
      </c>
      <c r="V413" s="41" t="b">
        <f>INDEX(itemPrepMethods, MATCH(K413, itemNames, 0))="chop"</f>
        <v>0</v>
      </c>
      <c r="W413" s="54" t="str">
        <f>IF(V413, Q413, "")</f>
        <v/>
      </c>
      <c r="X413" s="55" t="str">
        <f>IF(V413, IF(L413 = "", "", L413), "")</f>
        <v/>
      </c>
      <c r="Y413" s="55" t="str">
        <f>IF(V413, K413, "")</f>
        <v/>
      </c>
      <c r="Z413" s="56"/>
      <c r="AA413" s="41" t="b">
        <f>INDEX(itemPrepMethods, MATCH(K413, itemNames, 0))="soak"</f>
        <v>0</v>
      </c>
      <c r="AB413" s="55" t="str">
        <f>IF(AA413, Q413, "")</f>
        <v/>
      </c>
      <c r="AC413" s="55" t="str">
        <f>IF(AA413, IF(L413 = "", "", L413), "")</f>
        <v/>
      </c>
      <c r="AD413" s="55" t="str">
        <f>IF(AA413, K413, "")</f>
        <v/>
      </c>
    </row>
    <row r="414" spans="1:30" x14ac:dyDescent="0.25">
      <c r="A414" s="37" t="s">
        <v>21</v>
      </c>
      <c r="D414" s="37" t="str">
        <f>_xlfn.CONCAT(K414, U414)</f>
        <v>salt, to taste</v>
      </c>
      <c r="I414" s="44"/>
      <c r="K414" s="52" t="s">
        <v>11</v>
      </c>
      <c r="U414" s="43" t="s">
        <v>206</v>
      </c>
      <c r="V414" s="41" t="b">
        <f>INDEX(itemPrepMethods, MATCH(K414, itemNames, 0))="chop"</f>
        <v>0</v>
      </c>
      <c r="W414" s="54" t="str">
        <f>IF(V414, Q414, "")</f>
        <v/>
      </c>
      <c r="X414" s="55" t="str">
        <f>IF(V414, IF(L414 = "", "", L414), "")</f>
        <v/>
      </c>
      <c r="Y414" s="55" t="str">
        <f>IF(V414, K414, "")</f>
        <v/>
      </c>
      <c r="Z414" s="56"/>
      <c r="AA414" s="41" t="b">
        <f>INDEX(itemPrepMethods, MATCH(K414, itemNames, 0))="soak"</f>
        <v>0</v>
      </c>
      <c r="AB414" s="55" t="str">
        <f>IF(AA414, Q414, "")</f>
        <v/>
      </c>
      <c r="AC414" s="55" t="str">
        <f>IF(AA414, IF(L414 = "", "", L414), "")</f>
        <v/>
      </c>
      <c r="AD414" s="55" t="str">
        <f>IF(AA414, K414, "")</f>
        <v/>
      </c>
    </row>
    <row r="415" spans="1:30" x14ac:dyDescent="0.25">
      <c r="A415" s="115"/>
      <c r="B415" s="115"/>
      <c r="C415" s="115"/>
      <c r="D415" s="115"/>
      <c r="I415" s="41"/>
      <c r="L415" s="41"/>
      <c r="M415" s="41"/>
      <c r="N415" s="41"/>
      <c r="O415" s="41"/>
      <c r="P415" s="41"/>
      <c r="Q415" s="41"/>
      <c r="R415" s="41"/>
      <c r="S415" s="41"/>
      <c r="T415" s="41"/>
      <c r="W415" s="41"/>
      <c r="Z415" s="41"/>
    </row>
    <row r="416" spans="1:30" x14ac:dyDescent="0.25">
      <c r="A416" s="115" t="s">
        <v>292</v>
      </c>
      <c r="B416" s="115"/>
      <c r="C416" s="115"/>
      <c r="D416" s="115"/>
      <c r="I416" s="41"/>
      <c r="L416" s="41"/>
      <c r="M416" s="41"/>
      <c r="N416" s="41"/>
      <c r="O416" s="41"/>
      <c r="P416" s="41"/>
      <c r="Q416" s="41"/>
      <c r="R416" s="41"/>
      <c r="S416" s="41"/>
      <c r="T416" s="41"/>
      <c r="W416" s="41"/>
      <c r="Z416" s="41"/>
    </row>
    <row r="417" spans="1:26" ht="15.75" x14ac:dyDescent="0.25">
      <c r="A417" s="117" t="s">
        <v>37</v>
      </c>
      <c r="B417" s="117"/>
      <c r="C417" s="117"/>
      <c r="D417" s="117"/>
      <c r="M417" s="41"/>
      <c r="N417" s="41"/>
      <c r="O417" s="41"/>
      <c r="P417" s="41"/>
      <c r="Q417" s="41"/>
      <c r="R417" s="41"/>
      <c r="S417" s="41"/>
      <c r="T417" s="41"/>
      <c r="W417" s="41"/>
      <c r="Z417" s="41"/>
    </row>
    <row r="418" spans="1:26" ht="15.75" x14ac:dyDescent="0.25">
      <c r="A418" s="120" t="s">
        <v>44</v>
      </c>
      <c r="B418" s="120"/>
      <c r="C418" s="120"/>
      <c r="D418" s="120"/>
      <c r="M418" s="41"/>
      <c r="N418" s="41"/>
      <c r="O418" s="41"/>
      <c r="P418" s="41"/>
      <c r="Q418" s="41"/>
      <c r="R418" s="41"/>
      <c r="S418" s="41"/>
      <c r="T418" s="41"/>
      <c r="W418" s="41"/>
      <c r="Z418" s="41"/>
    </row>
    <row r="423" spans="1:26" ht="15.75" x14ac:dyDescent="0.25">
      <c r="A423" s="117" t="s">
        <v>145</v>
      </c>
      <c r="B423" s="117"/>
      <c r="C423" s="117"/>
      <c r="D423" s="117"/>
      <c r="M423" s="41"/>
      <c r="N423" s="41"/>
      <c r="O423" s="41"/>
      <c r="P423" s="41"/>
      <c r="Q423" s="41"/>
      <c r="R423" s="41"/>
      <c r="S423" s="41"/>
      <c r="T423" s="41"/>
      <c r="W423" s="41"/>
      <c r="Z423" s="41"/>
    </row>
    <row r="425" spans="1:26" x14ac:dyDescent="0.25">
      <c r="C425" s="106" t="s">
        <v>404</v>
      </c>
      <c r="D425" s="37" t="s">
        <v>403</v>
      </c>
      <c r="M425" s="41"/>
      <c r="N425" s="41"/>
      <c r="O425" s="41"/>
      <c r="P425" s="41"/>
      <c r="Q425" s="41"/>
      <c r="R425" s="41"/>
      <c r="S425" s="41"/>
      <c r="T425" s="41"/>
      <c r="W425" s="41"/>
      <c r="Z425" s="41"/>
    </row>
    <row r="426" spans="1:26" x14ac:dyDescent="0.25">
      <c r="C426" s="106" t="s">
        <v>406</v>
      </c>
      <c r="D426" s="37" t="s">
        <v>405</v>
      </c>
      <c r="M426" s="41"/>
      <c r="N426" s="41"/>
      <c r="O426" s="41"/>
      <c r="P426" s="41"/>
      <c r="Q426" s="41"/>
      <c r="R426" s="41"/>
      <c r="S426" s="41"/>
      <c r="T426" s="41"/>
      <c r="W426" s="41"/>
      <c r="Z426" s="41"/>
    </row>
    <row r="427" spans="1:26" x14ac:dyDescent="0.25">
      <c r="C427" s="106" t="s">
        <v>407</v>
      </c>
      <c r="D427" s="37" t="s">
        <v>408</v>
      </c>
      <c r="M427" s="41"/>
      <c r="N427" s="41"/>
      <c r="O427" s="41"/>
      <c r="P427" s="41"/>
      <c r="Q427" s="41"/>
      <c r="R427" s="41"/>
      <c r="S427" s="41"/>
      <c r="T427" s="41"/>
      <c r="W427" s="41"/>
      <c r="Z427" s="41"/>
    </row>
    <row r="428" spans="1:26" x14ac:dyDescent="0.25">
      <c r="C428" s="106" t="s">
        <v>410</v>
      </c>
      <c r="D428" s="37" t="s">
        <v>409</v>
      </c>
      <c r="M428" s="41"/>
      <c r="N428" s="41"/>
      <c r="O428" s="41"/>
      <c r="P428" s="41"/>
      <c r="Q428" s="41"/>
      <c r="R428" s="41"/>
      <c r="S428" s="41"/>
      <c r="T428" s="41"/>
      <c r="W428" s="41"/>
      <c r="Z428" s="41"/>
    </row>
  </sheetData>
  <mergeCells count="220"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423:D423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246:D246"/>
    <mergeCell ref="A247:D247"/>
    <mergeCell ref="A251:D251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46:D346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166:D166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116:D116"/>
    <mergeCell ref="A119:D119"/>
    <mergeCell ref="A120:D12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</mergeCells>
  <conditionalFormatting sqref="M32:T32 M56:T77 M79:T104 M201:T232 M234:T259 M261:T286 M288:T320 M390:T1048576 M48:T48 M53:T54 M14:T14 M29:T29 M322:T355 M143:T165 M357:T388 M167:T199 M16:T23 Q15:T15 M34:T45 M106:T141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3:T33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5:T55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8:T78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5:T105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42:T142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33:T233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200:T200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60:T260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87:T287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21:T321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89:T389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6:T47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9:T50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52:T52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51:T51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56:T356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6:T166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6:T6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7:T7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8:T8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9:T9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10:T10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89:P389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56:P356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5:P15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3:P33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5:P55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8:P78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5:P105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42:P142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6:P166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200:P200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33:P233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60:P260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87:P287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21:P321">
    <cfRule type="cellIs" dxfId="101" priority="5" operator="equal">
      <formula>0</formula>
    </cfRule>
    <cfRule type="cellIs" dxfId="100" priority="6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2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188</v>
      </c>
      <c r="B1" t="s">
        <v>301</v>
      </c>
    </row>
    <row r="2" spans="1:2" x14ac:dyDescent="0.25">
      <c r="A2" t="s">
        <v>189</v>
      </c>
    </row>
    <row r="3" spans="1:2" x14ac:dyDescent="0.25">
      <c r="A3" t="s">
        <v>190</v>
      </c>
    </row>
    <row r="4" spans="1:2" x14ac:dyDescent="0.25">
      <c r="A4" t="s">
        <v>191</v>
      </c>
    </row>
    <row r="5" spans="1:2" x14ac:dyDescent="0.25">
      <c r="A5" t="s">
        <v>192</v>
      </c>
    </row>
    <row r="6" spans="1:2" x14ac:dyDescent="0.25">
      <c r="A6" t="s">
        <v>297</v>
      </c>
    </row>
    <row r="7" spans="1:2" x14ac:dyDescent="0.25">
      <c r="A7" t="s">
        <v>298</v>
      </c>
    </row>
    <row r="8" spans="1:2" x14ac:dyDescent="0.25">
      <c r="A8" t="s">
        <v>299</v>
      </c>
    </row>
    <row r="9" spans="1:2" x14ac:dyDescent="0.25">
      <c r="A9" t="s">
        <v>300</v>
      </c>
    </row>
    <row r="10" spans="1:2" x14ac:dyDescent="0.25">
      <c r="A10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5"/>
  <sheetViews>
    <sheetView tabSelected="1" zoomScale="70" zoomScaleNormal="70" workbookViewId="0">
      <selection activeCell="B51" sqref="B51"/>
    </sheetView>
  </sheetViews>
  <sheetFormatPr defaultRowHeight="12.75" x14ac:dyDescent="0.2"/>
  <cols>
    <col min="1" max="1" width="29.7109375" style="1" bestFit="1" customWidth="1"/>
    <col min="2" max="2" width="9.5703125" style="35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4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143</v>
      </c>
      <c r="B1" s="30" t="s">
        <v>195</v>
      </c>
      <c r="C1" s="12" t="s">
        <v>144</v>
      </c>
      <c r="D1" s="11" t="s">
        <v>52</v>
      </c>
      <c r="E1" s="11" t="s">
        <v>137</v>
      </c>
      <c r="F1" s="11" t="s">
        <v>138</v>
      </c>
      <c r="G1" s="13" t="s">
        <v>139</v>
      </c>
      <c r="H1" s="13" t="s">
        <v>140</v>
      </c>
      <c r="I1" s="13" t="s">
        <v>109</v>
      </c>
      <c r="J1" s="13" t="s">
        <v>110</v>
      </c>
      <c r="K1" s="13" t="s">
        <v>108</v>
      </c>
      <c r="L1" s="90" t="s">
        <v>411</v>
      </c>
      <c r="M1" s="13"/>
      <c r="N1" s="12" t="s">
        <v>199</v>
      </c>
      <c r="P1" s="12" t="s">
        <v>123</v>
      </c>
      <c r="R1" s="12" t="s">
        <v>194</v>
      </c>
    </row>
    <row r="2" spans="1:18" ht="14.25" thickTop="1" thickBot="1" x14ac:dyDescent="0.25">
      <c r="A2" s="17" t="s">
        <v>422</v>
      </c>
      <c r="B2" s="31" t="s">
        <v>196</v>
      </c>
      <c r="C2" s="15" t="s">
        <v>418</v>
      </c>
      <c r="D2" s="103"/>
      <c r="E2" s="103"/>
      <c r="F2" s="103"/>
      <c r="G2" s="14">
        <f t="shared" ref="G2:G33" si="0">IF(D2&lt;&gt;0, E2/D2, 0)</f>
        <v>0</v>
      </c>
      <c r="H2" s="14">
        <f t="shared" ref="H2:H33" si="1"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1">
        <f>COUNTIF(recipes!K:K,A2)</f>
        <v>1</v>
      </c>
      <c r="M2" s="3"/>
      <c r="N2" s="9" t="s">
        <v>16</v>
      </c>
      <c r="P2" s="9">
        <v>0.25</v>
      </c>
      <c r="R2" s="9" t="s">
        <v>196</v>
      </c>
    </row>
    <row r="3" spans="1:18" ht="13.5" thickBot="1" x14ac:dyDescent="0.25">
      <c r="A3" s="18" t="s">
        <v>423</v>
      </c>
      <c r="B3" s="32" t="s">
        <v>196</v>
      </c>
      <c r="C3" s="4" t="s">
        <v>419</v>
      </c>
      <c r="D3" s="4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2">
        <f>COUNTIF(recipes!K:K,A3)</f>
        <v>1</v>
      </c>
      <c r="M3" s="3"/>
      <c r="N3" s="10" t="s">
        <v>185</v>
      </c>
      <c r="P3" s="8" t="s">
        <v>124</v>
      </c>
      <c r="R3" s="9" t="s">
        <v>197</v>
      </c>
    </row>
    <row r="4" spans="1:18" ht="13.5" thickBot="1" x14ac:dyDescent="0.25">
      <c r="A4" s="18" t="s">
        <v>85</v>
      </c>
      <c r="B4" s="32"/>
      <c r="C4" s="4" t="s">
        <v>85</v>
      </c>
      <c r="D4" s="4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2">
        <f>COUNTIF(recipes!K:K,A4)</f>
        <v>2</v>
      </c>
      <c r="M4" s="3"/>
      <c r="N4" s="10" t="s">
        <v>0</v>
      </c>
      <c r="R4" s="8" t="s">
        <v>198</v>
      </c>
    </row>
    <row r="5" spans="1:18" x14ac:dyDescent="0.2">
      <c r="A5" s="18" t="s">
        <v>48</v>
      </c>
      <c r="B5" s="32"/>
      <c r="C5" s="4" t="s">
        <v>48</v>
      </c>
      <c r="D5" s="4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2">
        <f>COUNTIF(recipes!K:K,A5)</f>
        <v>1</v>
      </c>
      <c r="M5" s="3"/>
      <c r="N5" s="10" t="s">
        <v>12</v>
      </c>
    </row>
    <row r="6" spans="1:18" x14ac:dyDescent="0.2">
      <c r="A6" s="18" t="s">
        <v>114</v>
      </c>
      <c r="B6" s="32" t="s">
        <v>196</v>
      </c>
      <c r="C6" s="4" t="s">
        <v>2</v>
      </c>
      <c r="D6" s="3">
        <v>1</v>
      </c>
      <c r="E6" s="3">
        <v>0.313</v>
      </c>
      <c r="F6" s="6"/>
      <c r="G6" s="3">
        <f t="shared" si="0"/>
        <v>0.313</v>
      </c>
      <c r="H6" s="3">
        <f t="shared" si="1"/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2">
        <f>COUNTIF(recipes!K:K,A6)</f>
        <v>3</v>
      </c>
      <c r="M6" s="3"/>
      <c r="N6" s="10" t="s">
        <v>54</v>
      </c>
    </row>
    <row r="7" spans="1:18" x14ac:dyDescent="0.2">
      <c r="A7" s="18" t="s">
        <v>5</v>
      </c>
      <c r="B7" s="32" t="s">
        <v>196</v>
      </c>
      <c r="C7" s="4" t="s">
        <v>62</v>
      </c>
      <c r="D7" s="3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2">
        <f>COUNTIF(recipes!K:K,A7)</f>
        <v>4</v>
      </c>
      <c r="M7" s="3"/>
      <c r="N7" s="10" t="s">
        <v>1</v>
      </c>
    </row>
    <row r="8" spans="1:18" x14ac:dyDescent="0.2">
      <c r="A8" s="18" t="s">
        <v>96</v>
      </c>
      <c r="B8" s="32" t="s">
        <v>196</v>
      </c>
      <c r="C8" s="4" t="s">
        <v>62</v>
      </c>
      <c r="D8" s="5"/>
      <c r="E8" s="5"/>
      <c r="F8" s="5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2">
        <f>COUNTIF(recipes!K:K,A8)</f>
        <v>3</v>
      </c>
      <c r="M8" s="3"/>
      <c r="N8" s="10" t="s">
        <v>15</v>
      </c>
    </row>
    <row r="9" spans="1:18" x14ac:dyDescent="0.2">
      <c r="A9" s="18" t="s">
        <v>307</v>
      </c>
      <c r="B9" s="32" t="s">
        <v>196</v>
      </c>
      <c r="C9" s="4" t="s">
        <v>62</v>
      </c>
      <c r="D9" s="5"/>
      <c r="E9" s="5"/>
      <c r="F9" s="5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2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58</v>
      </c>
      <c r="B10" s="32" t="s">
        <v>196</v>
      </c>
      <c r="C10" s="4" t="s">
        <v>62</v>
      </c>
      <c r="D10" s="5"/>
      <c r="E10" s="5"/>
      <c r="F10" s="5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2">
        <f>COUNTIF(recipes!K:K,A10)</f>
        <v>1</v>
      </c>
      <c r="M10" s="3"/>
      <c r="N10" s="8" t="s">
        <v>51</v>
      </c>
    </row>
    <row r="11" spans="1:18" s="28" customFormat="1" x14ac:dyDescent="0.2">
      <c r="A11" s="18" t="s">
        <v>177</v>
      </c>
      <c r="B11" s="32"/>
      <c r="C11" s="4" t="s">
        <v>177</v>
      </c>
      <c r="D11" s="4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2">
        <f>COUNTIF(recipes!K:K,A11)</f>
        <v>1</v>
      </c>
      <c r="M11" s="3"/>
      <c r="N11" s="1"/>
    </row>
    <row r="12" spans="1:18" s="28" customFormat="1" x14ac:dyDescent="0.2">
      <c r="A12" s="18" t="s">
        <v>159</v>
      </c>
      <c r="B12" s="32" t="s">
        <v>196</v>
      </c>
      <c r="C12" s="4" t="s">
        <v>156</v>
      </c>
      <c r="D12" s="4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2">
        <f>COUNTIF(recipes!K:K,A12)</f>
        <v>3</v>
      </c>
      <c r="M12" s="3"/>
    </row>
    <row r="13" spans="1:18" s="28" customFormat="1" x14ac:dyDescent="0.2">
      <c r="A13" s="18" t="s">
        <v>148</v>
      </c>
      <c r="B13" s="32" t="s">
        <v>196</v>
      </c>
      <c r="C13" s="4" t="s">
        <v>61</v>
      </c>
      <c r="D13" s="4"/>
      <c r="E13" s="4"/>
      <c r="F13" s="4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2">
        <f>COUNTIF(recipes!K:K,A13)</f>
        <v>2</v>
      </c>
      <c r="M13" s="3"/>
    </row>
    <row r="14" spans="1:18" s="28" customFormat="1" x14ac:dyDescent="0.2">
      <c r="A14" s="18" t="s">
        <v>97</v>
      </c>
      <c r="B14" s="32" t="s">
        <v>196</v>
      </c>
      <c r="C14" s="4" t="s">
        <v>61</v>
      </c>
      <c r="D14" s="4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2">
        <f>COUNTIF(recipes!K:K,A14)</f>
        <v>3</v>
      </c>
      <c r="M14" s="3"/>
    </row>
    <row r="15" spans="1:18" s="28" customFormat="1" x14ac:dyDescent="0.2">
      <c r="A15" s="18" t="s">
        <v>169</v>
      </c>
      <c r="B15" s="32" t="s">
        <v>196</v>
      </c>
      <c r="C15" s="4" t="s">
        <v>61</v>
      </c>
      <c r="D15" s="4"/>
      <c r="E15" s="4"/>
      <c r="F15" s="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2">
        <f>COUNTIF(recipes!K:K,A15)</f>
        <v>2</v>
      </c>
      <c r="M15" s="3"/>
    </row>
    <row r="16" spans="1:18" x14ac:dyDescent="0.2">
      <c r="A16" s="18" t="s">
        <v>59</v>
      </c>
      <c r="B16" s="32" t="s">
        <v>196</v>
      </c>
      <c r="C16" s="4" t="s">
        <v>61</v>
      </c>
      <c r="D16" s="4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2">
        <f>COUNTIF(recipes!K:K,A16)</f>
        <v>1</v>
      </c>
      <c r="M16" s="3"/>
      <c r="N16" s="28"/>
    </row>
    <row r="17" spans="1:13" s="28" customFormat="1" x14ac:dyDescent="0.2">
      <c r="A17" s="18" t="s">
        <v>112</v>
      </c>
      <c r="B17" s="32"/>
      <c r="C17" s="4" t="s">
        <v>112</v>
      </c>
      <c r="D17" s="4"/>
      <c r="E17" s="4"/>
      <c r="F17" s="4"/>
      <c r="G17" s="3">
        <f t="shared" si="0"/>
        <v>0</v>
      </c>
      <c r="H17" s="3">
        <f t="shared" si="1"/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2">
        <f>COUNTIF(recipes!K:K,A17)</f>
        <v>1</v>
      </c>
      <c r="M17" s="3"/>
    </row>
    <row r="18" spans="1:13" x14ac:dyDescent="0.2">
      <c r="A18" s="18" t="s">
        <v>101</v>
      </c>
      <c r="B18" s="32"/>
      <c r="C18" s="4" t="s">
        <v>101</v>
      </c>
      <c r="D18" s="4">
        <v>1</v>
      </c>
      <c r="E18" s="4">
        <v>1.0999999999999999E-2</v>
      </c>
      <c r="F18" s="4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2">
        <f>COUNTIF(recipes!K:K,A18)</f>
        <v>3</v>
      </c>
      <c r="M18" s="3"/>
    </row>
    <row r="19" spans="1:13" s="28" customFormat="1" x14ac:dyDescent="0.2">
      <c r="A19" s="18" t="s">
        <v>306</v>
      </c>
      <c r="B19" s="32" t="s">
        <v>196</v>
      </c>
      <c r="C19" s="4" t="s">
        <v>155</v>
      </c>
      <c r="D19" s="3">
        <v>1</v>
      </c>
      <c r="E19" s="3">
        <v>0.30599999999999999</v>
      </c>
      <c r="F19" s="3"/>
      <c r="G19" s="3">
        <f t="shared" si="0"/>
        <v>0.30599999999999999</v>
      </c>
      <c r="H19" s="3">
        <f t="shared" si="1"/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2">
        <f>COUNTIF(recipes!K:K,A19)</f>
        <v>1</v>
      </c>
      <c r="M19" s="3"/>
    </row>
    <row r="20" spans="1:13" x14ac:dyDescent="0.2">
      <c r="A20" s="18" t="s">
        <v>49</v>
      </c>
      <c r="B20" s="32"/>
      <c r="C20" s="4" t="s">
        <v>49</v>
      </c>
      <c r="D20" s="4">
        <v>1</v>
      </c>
      <c r="E20" s="4">
        <v>1.0999999999999999E-2</v>
      </c>
      <c r="F20" s="4">
        <v>2.2180100000000001E-2</v>
      </c>
      <c r="G20" s="3">
        <f t="shared" si="0"/>
        <v>1.0999999999999999E-2</v>
      </c>
      <c r="H20" s="3">
        <f t="shared" si="1"/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2">
        <f>COUNTIF(recipes!K:K,A20)</f>
        <v>1</v>
      </c>
      <c r="M20" s="3"/>
    </row>
    <row r="21" spans="1:13" x14ac:dyDescent="0.2">
      <c r="A21" s="18" t="s">
        <v>9</v>
      </c>
      <c r="B21" s="32"/>
      <c r="C21" s="4" t="s">
        <v>9</v>
      </c>
      <c r="D21" s="4">
        <v>1</v>
      </c>
      <c r="E21" s="4">
        <v>1.2E-2</v>
      </c>
      <c r="F21" s="4">
        <v>2.2180100000000001E-2</v>
      </c>
      <c r="G21" s="3">
        <f t="shared" si="0"/>
        <v>1.2E-2</v>
      </c>
      <c r="H21" s="3">
        <f t="shared" si="1"/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2">
        <f>COUNTIF(recipes!K:K,A21)</f>
        <v>2</v>
      </c>
      <c r="M21" s="3"/>
    </row>
    <row r="22" spans="1:13" x14ac:dyDescent="0.2">
      <c r="A22" s="18" t="s">
        <v>71</v>
      </c>
      <c r="B22" s="32"/>
      <c r="C22" s="4" t="s">
        <v>71</v>
      </c>
      <c r="D22" s="4"/>
      <c r="E22" s="4"/>
      <c r="F22" s="4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2">
        <f>COUNTIF(recipes!K:K,A22)</f>
        <v>2</v>
      </c>
      <c r="M22" s="3"/>
    </row>
    <row r="23" spans="1:13" x14ac:dyDescent="0.2">
      <c r="A23" s="18" t="s">
        <v>100</v>
      </c>
      <c r="B23" s="32"/>
      <c r="C23" s="4" t="s">
        <v>100</v>
      </c>
      <c r="D23" s="4">
        <v>1</v>
      </c>
      <c r="E23" s="4">
        <v>3.0000000000000001E-3</v>
      </c>
      <c r="F23" s="4">
        <v>2.2180100000000001E-2</v>
      </c>
      <c r="G23" s="3">
        <f t="shared" si="0"/>
        <v>3.0000000000000001E-3</v>
      </c>
      <c r="H23" s="3">
        <f t="shared" si="1"/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2">
        <f>COUNTIF(recipes!K:K,A23)</f>
        <v>1</v>
      </c>
      <c r="M23" s="3"/>
    </row>
    <row r="24" spans="1:13" x14ac:dyDescent="0.2">
      <c r="A24" s="18" t="s">
        <v>277</v>
      </c>
      <c r="B24" s="32"/>
      <c r="C24" s="4" t="s">
        <v>277</v>
      </c>
      <c r="D24" s="4"/>
      <c r="E24" s="4"/>
      <c r="F24" s="4"/>
      <c r="G24" s="3">
        <f t="shared" si="0"/>
        <v>0</v>
      </c>
      <c r="H24" s="3">
        <f t="shared" si="1"/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2">
        <f>COUNTIF(recipes!K:K,A24)</f>
        <v>1</v>
      </c>
      <c r="M24" s="3"/>
    </row>
    <row r="25" spans="1:13" x14ac:dyDescent="0.2">
      <c r="A25" s="18" t="s">
        <v>93</v>
      </c>
      <c r="B25" s="32" t="s">
        <v>197</v>
      </c>
      <c r="C25" s="4" t="s">
        <v>94</v>
      </c>
      <c r="D25" s="4">
        <v>1</v>
      </c>
      <c r="E25" s="4">
        <v>0.76300000000000001</v>
      </c>
      <c r="F25" s="4">
        <v>0.946353</v>
      </c>
      <c r="G25" s="3">
        <f t="shared" si="0"/>
        <v>0.76300000000000001</v>
      </c>
      <c r="H25" s="3">
        <f t="shared" si="1"/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2">
        <f>COUNTIF(recipes!K:K,A25)</f>
        <v>1</v>
      </c>
      <c r="M25" s="3"/>
    </row>
    <row r="26" spans="1:13" s="28" customFormat="1" x14ac:dyDescent="0.2">
      <c r="A26" s="18" t="s">
        <v>45</v>
      </c>
      <c r="B26" s="32" t="s">
        <v>197</v>
      </c>
      <c r="C26" s="4" t="s">
        <v>95</v>
      </c>
      <c r="D26" s="4">
        <v>1</v>
      </c>
      <c r="E26" s="4">
        <v>0.80800000000000005</v>
      </c>
      <c r="F26" s="4">
        <v>0.946353</v>
      </c>
      <c r="G26" s="3">
        <f t="shared" si="0"/>
        <v>0.80800000000000005</v>
      </c>
      <c r="H26" s="3">
        <f t="shared" si="1"/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2">
        <f>COUNTIF(recipes!K:K,A26)</f>
        <v>1</v>
      </c>
      <c r="M26" s="3"/>
    </row>
    <row r="27" spans="1:13" s="28" customFormat="1" x14ac:dyDescent="0.2">
      <c r="A27" s="18" t="s">
        <v>279</v>
      </c>
      <c r="B27" s="32"/>
      <c r="C27" s="4" t="s">
        <v>279</v>
      </c>
      <c r="D27" s="4"/>
      <c r="E27" s="4"/>
      <c r="F27" s="4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2">
        <f>COUNTIF(recipes!K:K,A27)</f>
        <v>1</v>
      </c>
      <c r="M27" s="3"/>
    </row>
    <row r="28" spans="1:13" x14ac:dyDescent="0.2">
      <c r="A28" s="18" t="s">
        <v>7</v>
      </c>
      <c r="B28" s="32" t="s">
        <v>197</v>
      </c>
      <c r="C28" s="4" t="s">
        <v>193</v>
      </c>
      <c r="D28" s="4">
        <v>1</v>
      </c>
      <c r="E28" s="4">
        <v>0.84699999999999998</v>
      </c>
      <c r="F28" s="4">
        <v>0.946353</v>
      </c>
      <c r="G28" s="3">
        <f t="shared" si="0"/>
        <v>0.84699999999999998</v>
      </c>
      <c r="H28" s="3">
        <f t="shared" si="1"/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2">
        <f>COUNTIF(recipes!K:K,A28)</f>
        <v>2</v>
      </c>
      <c r="M28" s="3"/>
    </row>
    <row r="29" spans="1:13" s="28" customFormat="1" x14ac:dyDescent="0.2">
      <c r="A29" s="18" t="s">
        <v>79</v>
      </c>
      <c r="B29" s="32" t="s">
        <v>196</v>
      </c>
      <c r="C29" s="4" t="s">
        <v>80</v>
      </c>
      <c r="D29" s="4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2">
        <f>COUNTIF(recipes!K:K,A29)</f>
        <v>1</v>
      </c>
      <c r="M29" s="3"/>
    </row>
    <row r="30" spans="1:13" x14ac:dyDescent="0.2">
      <c r="A30" s="18" t="s">
        <v>386</v>
      </c>
      <c r="B30" s="32" t="s">
        <v>196</v>
      </c>
      <c r="C30" s="4" t="s">
        <v>75</v>
      </c>
      <c r="D30" s="4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2">
        <f>COUNTIF(recipes!K:K,A30)</f>
        <v>1</v>
      </c>
      <c r="M30" s="3"/>
    </row>
    <row r="31" spans="1:13" x14ac:dyDescent="0.2">
      <c r="A31" s="18" t="s">
        <v>82</v>
      </c>
      <c r="B31" s="32"/>
      <c r="C31" s="4" t="s">
        <v>75</v>
      </c>
      <c r="D31" s="4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2">
        <f>COUNTIF(recipes!K:K,A31)</f>
        <v>2</v>
      </c>
      <c r="M31" s="3"/>
    </row>
    <row r="32" spans="1:13" x14ac:dyDescent="0.2">
      <c r="A32" s="18" t="s">
        <v>310</v>
      </c>
      <c r="B32" s="32"/>
      <c r="C32" s="4" t="s">
        <v>310</v>
      </c>
      <c r="D32" s="4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2">
        <f>COUNTIF(recipes!K:K,A32)</f>
        <v>1</v>
      </c>
      <c r="M32" s="3"/>
    </row>
    <row r="33" spans="1:14" s="28" customFormat="1" x14ac:dyDescent="0.2">
      <c r="A33" s="18" t="s">
        <v>83</v>
      </c>
      <c r="B33" s="32"/>
      <c r="C33" s="4" t="s">
        <v>86</v>
      </c>
      <c r="D33" s="4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2">
        <f>COUNTIF(recipes!K:K,A33)</f>
        <v>1</v>
      </c>
      <c r="M33" s="3"/>
    </row>
    <row r="34" spans="1:14" s="28" customFormat="1" x14ac:dyDescent="0.2">
      <c r="A34" s="18" t="s">
        <v>309</v>
      </c>
      <c r="B34" s="32"/>
      <c r="C34" s="4" t="s">
        <v>309</v>
      </c>
      <c r="D34" s="4"/>
      <c r="E34" s="4"/>
      <c r="F34" s="4"/>
      <c r="G34" s="3">
        <f t="shared" ref="G34:G63" si="2">IF(D34&lt;&gt;0, E34/D34, 0)</f>
        <v>0</v>
      </c>
      <c r="H34" s="3">
        <f t="shared" ref="H34:H63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2">
        <f>COUNTIF(recipes!K:K,A34)</f>
        <v>1</v>
      </c>
      <c r="M34" s="3"/>
    </row>
    <row r="35" spans="1:14" x14ac:dyDescent="0.2">
      <c r="A35" s="18" t="s">
        <v>84</v>
      </c>
      <c r="B35" s="32"/>
      <c r="C35" s="4" t="s">
        <v>87</v>
      </c>
      <c r="D35" s="4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2">
        <f>COUNTIF(recipes!K:K,A35)</f>
        <v>1</v>
      </c>
      <c r="M35" s="3"/>
    </row>
    <row r="36" spans="1:14" x14ac:dyDescent="0.2">
      <c r="A36" s="18" t="s">
        <v>10</v>
      </c>
      <c r="B36" s="32"/>
      <c r="C36" s="4" t="s">
        <v>10</v>
      </c>
      <c r="D36" s="4">
        <v>1</v>
      </c>
      <c r="E36" s="4">
        <v>0.01</v>
      </c>
      <c r="F36" s="4">
        <v>2.2180100000000001E-2</v>
      </c>
      <c r="G36" s="3">
        <f t="shared" si="2"/>
        <v>0.01</v>
      </c>
      <c r="H36" s="3">
        <f t="shared" si="3"/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2">
        <f>COUNTIF(recipes!K:K,A36)</f>
        <v>1</v>
      </c>
      <c r="M36" s="3"/>
    </row>
    <row r="37" spans="1:14" x14ac:dyDescent="0.2">
      <c r="A37" s="18" t="s">
        <v>8</v>
      </c>
      <c r="B37" s="32"/>
      <c r="C37" s="4" t="s">
        <v>66</v>
      </c>
      <c r="D37" s="4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26</v>
      </c>
      <c r="L37" s="92">
        <f>COUNTIF(recipes!K:K,A37)</f>
        <v>5</v>
      </c>
      <c r="M37" s="3"/>
    </row>
    <row r="38" spans="1:14" x14ac:dyDescent="0.2">
      <c r="A38" s="18" t="s">
        <v>221</v>
      </c>
      <c r="B38" s="32" t="s">
        <v>196</v>
      </c>
      <c r="C38" s="4" t="s">
        <v>67</v>
      </c>
      <c r="D38" s="3"/>
      <c r="E38" s="3"/>
      <c r="F38" s="3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0.37706250192187496</v>
      </c>
      <c r="K38" s="3">
        <f>SUMIF(recipes!K:K,A38,recipes!T:T)</f>
        <v>0</v>
      </c>
      <c r="L38" s="92">
        <f>COUNTIF(recipes!K:K,A38)</f>
        <v>8</v>
      </c>
      <c r="M38" s="3"/>
    </row>
    <row r="39" spans="1:14" x14ac:dyDescent="0.2">
      <c r="A39" s="18" t="s">
        <v>186</v>
      </c>
      <c r="B39" s="32"/>
      <c r="C39" s="4" t="s">
        <v>186</v>
      </c>
      <c r="D39" s="4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2">
        <f>COUNTIF(recipes!K:K,A39)</f>
        <v>1</v>
      </c>
      <c r="M39" s="3"/>
    </row>
    <row r="40" spans="1:14" s="28" customFormat="1" x14ac:dyDescent="0.2">
      <c r="A40" s="18" t="s">
        <v>427</v>
      </c>
      <c r="B40" s="32"/>
      <c r="C40" s="4" t="s">
        <v>427</v>
      </c>
      <c r="D40" s="4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2">
        <f>COUNTIF(recipes!K:K,A40)</f>
        <v>1</v>
      </c>
      <c r="M40" s="3"/>
    </row>
    <row r="41" spans="1:14" x14ac:dyDescent="0.2">
      <c r="A41" s="18" t="s">
        <v>172</v>
      </c>
      <c r="B41" s="32"/>
      <c r="C41" s="4" t="s">
        <v>172</v>
      </c>
      <c r="D41" s="4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2">
        <f>COUNTIF(recipes!K:K,A41)</f>
        <v>1</v>
      </c>
      <c r="M41" s="3"/>
    </row>
    <row r="42" spans="1:14" x14ac:dyDescent="0.2">
      <c r="A42" s="18" t="s">
        <v>215</v>
      </c>
      <c r="B42" s="32" t="s">
        <v>196</v>
      </c>
      <c r="C42" s="4" t="s">
        <v>157</v>
      </c>
      <c r="D42" s="4"/>
      <c r="E42" s="4"/>
      <c r="F42" s="4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2">
        <f>COUNTIF(recipes!K:K,A42)</f>
        <v>1</v>
      </c>
      <c r="M42" s="3"/>
    </row>
    <row r="43" spans="1:14" x14ac:dyDescent="0.2">
      <c r="A43" s="18" t="s">
        <v>308</v>
      </c>
      <c r="B43" s="32" t="s">
        <v>196</v>
      </c>
      <c r="C43" s="4" t="s">
        <v>157</v>
      </c>
      <c r="D43" s="4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2">
        <f>COUNTIF(recipes!K:K,A43)</f>
        <v>1</v>
      </c>
      <c r="M43" s="3"/>
    </row>
    <row r="44" spans="1:14" x14ac:dyDescent="0.2">
      <c r="A44" s="18" t="s">
        <v>76</v>
      </c>
      <c r="B44" s="32"/>
      <c r="C44" s="4" t="s">
        <v>76</v>
      </c>
      <c r="D44" s="4">
        <v>1</v>
      </c>
      <c r="E44" s="4">
        <v>1.0999999999999999E-2</v>
      </c>
      <c r="F44" s="4">
        <v>2.2180100000000001E-2</v>
      </c>
      <c r="G44" s="3">
        <f t="shared" si="2"/>
        <v>1.0999999999999999E-2</v>
      </c>
      <c r="H44" s="3">
        <f t="shared" si="3"/>
        <v>2.2180100000000001E-2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92">
        <f>COUNTIF(recipes!K:K,A44)</f>
        <v>4</v>
      </c>
      <c r="M44" s="3"/>
    </row>
    <row r="45" spans="1:14" s="28" customFormat="1" x14ac:dyDescent="0.2">
      <c r="A45" s="18" t="s">
        <v>149</v>
      </c>
      <c r="B45" s="32"/>
      <c r="C45" s="4" t="s">
        <v>149</v>
      </c>
      <c r="D45" s="4"/>
      <c r="E45" s="4"/>
      <c r="F45" s="4"/>
      <c r="G45" s="3">
        <f t="shared" si="2"/>
        <v>0</v>
      </c>
      <c r="H45" s="3">
        <f t="shared" si="3"/>
        <v>0</v>
      </c>
      <c r="I45" s="3">
        <f>SUMIF(recipes!K:K,A45,recipes!R:R)</f>
        <v>0</v>
      </c>
      <c r="J45" s="3">
        <f>SUMIF(recipes!K:K,A45,recipes!S:S)</f>
        <v>3.3270220757812496E-2</v>
      </c>
      <c r="K45" s="3">
        <f>SUMIF(recipes!K:K,A45,recipes!T:T)</f>
        <v>0</v>
      </c>
      <c r="L45" s="92">
        <f>COUNTIF(recipes!K:K,A45)</f>
        <v>2</v>
      </c>
      <c r="M45" s="3"/>
      <c r="N45" s="1"/>
    </row>
    <row r="46" spans="1:14" s="28" customFormat="1" x14ac:dyDescent="0.2">
      <c r="A46" s="18" t="s">
        <v>14</v>
      </c>
      <c r="B46" s="32"/>
      <c r="C46" s="4" t="s">
        <v>14</v>
      </c>
      <c r="D46" s="4">
        <v>1</v>
      </c>
      <c r="E46" s="4">
        <v>1.0999999999999999E-2</v>
      </c>
      <c r="F46" s="4">
        <v>2.2180100000000001E-2</v>
      </c>
      <c r="G46" s="3">
        <f t="shared" si="2"/>
        <v>1.0999999999999999E-2</v>
      </c>
      <c r="H46" s="3">
        <f t="shared" si="3"/>
        <v>2.2180100000000001E-2</v>
      </c>
      <c r="I46" s="3">
        <f>SUMIF(recipes!K:K,A46,recipes!R:R)</f>
        <v>2.5666721253651922E-2</v>
      </c>
      <c r="J46" s="3">
        <f>SUMIF(recipes!K:K,A46,recipes!S:S)</f>
        <v>0</v>
      </c>
      <c r="K46" s="3">
        <f>SUMIF(recipes!K:K,A46,recipes!T:T)</f>
        <v>0</v>
      </c>
      <c r="L46" s="92">
        <f>COUNTIF(recipes!K:K,A46)</f>
        <v>3</v>
      </c>
      <c r="M46" s="3"/>
    </row>
    <row r="47" spans="1:14" x14ac:dyDescent="0.2">
      <c r="A47" s="18" t="s">
        <v>305</v>
      </c>
      <c r="B47" s="32"/>
      <c r="C47" s="4" t="s">
        <v>305</v>
      </c>
      <c r="D47" s="4">
        <v>1</v>
      </c>
      <c r="E47" s="4">
        <v>1.4E-2</v>
      </c>
      <c r="F47" s="4">
        <v>2.2180100000000001E-2</v>
      </c>
      <c r="G47" s="3">
        <f t="shared" si="2"/>
        <v>1.4E-2</v>
      </c>
      <c r="H47" s="3">
        <f t="shared" si="3"/>
        <v>2.2180100000000001E-2</v>
      </c>
      <c r="I47" s="3">
        <f>SUMIF(recipes!K:K,A47,recipes!R:R)</f>
        <v>6.9222369441667306E-2</v>
      </c>
      <c r="J47" s="3">
        <f>SUMIF(recipes!K:K,A47,recipes!S:S)</f>
        <v>0</v>
      </c>
      <c r="K47" s="3">
        <f>SUMIF(recipes!K:K,A47,recipes!T:T)</f>
        <v>0</v>
      </c>
      <c r="L47" s="92">
        <f>COUNTIF(recipes!K:K,A47)</f>
        <v>6</v>
      </c>
      <c r="M47" s="3"/>
      <c r="N47" s="28"/>
    </row>
    <row r="48" spans="1:14" x14ac:dyDescent="0.2">
      <c r="A48" s="18" t="s">
        <v>151</v>
      </c>
      <c r="B48" s="32" t="s">
        <v>196</v>
      </c>
      <c r="C48" s="4" t="s">
        <v>3</v>
      </c>
      <c r="D48" s="3">
        <v>1</v>
      </c>
      <c r="E48" s="3">
        <v>0.34</v>
      </c>
      <c r="F48" s="6"/>
      <c r="G48" s="3">
        <f t="shared" si="2"/>
        <v>0.34</v>
      </c>
      <c r="H48" s="3">
        <f t="shared" si="3"/>
        <v>0</v>
      </c>
      <c r="I48" s="3">
        <f>SUMIF(recipes!K:K,A48,recipes!R:R)</f>
        <v>7.2249999999999996</v>
      </c>
      <c r="J48" s="3">
        <f>SUMIF(recipes!K:K,A48,recipes!S:S)</f>
        <v>0.70976470949999992</v>
      </c>
      <c r="K48" s="3">
        <f>SUMIF(recipes!K:K,A48,recipes!T:T)</f>
        <v>0</v>
      </c>
      <c r="L48" s="92">
        <f>COUNTIF(recipes!K:K,A48)</f>
        <v>4</v>
      </c>
      <c r="M48" s="3"/>
    </row>
    <row r="49" spans="1:14" x14ac:dyDescent="0.2">
      <c r="A49" s="18" t="s">
        <v>442</v>
      </c>
      <c r="B49" s="32"/>
      <c r="C49" s="4" t="s">
        <v>442</v>
      </c>
      <c r="D49" s="4"/>
      <c r="E49" s="4"/>
      <c r="F49" s="4"/>
      <c r="G49" s="3">
        <f t="shared" si="2"/>
        <v>0</v>
      </c>
      <c r="H49" s="3">
        <f t="shared" si="3"/>
        <v>0</v>
      </c>
      <c r="I49" s="3">
        <f>SUMIF(recipes!K:K,A49,recipes!R:R)</f>
        <v>0</v>
      </c>
      <c r="J49" s="3">
        <f>SUMIF(recipes!K:K,A49,recipes!S:S)</f>
        <v>0</v>
      </c>
      <c r="K49" s="3">
        <f>SUMIF(recipes!K:K,A49,recipes!T:T)</f>
        <v>1.925</v>
      </c>
      <c r="L49" s="92">
        <f>COUNTIF(recipes!K:K,A49)</f>
        <v>1</v>
      </c>
      <c r="M49" s="3"/>
    </row>
    <row r="50" spans="1:14" x14ac:dyDescent="0.2">
      <c r="A50" s="18" t="s">
        <v>383</v>
      </c>
      <c r="B50" s="32" t="s">
        <v>196</v>
      </c>
      <c r="C50" s="4" t="s">
        <v>154</v>
      </c>
      <c r="D50" s="4"/>
      <c r="E50" s="4"/>
      <c r="F50" s="4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4.25</v>
      </c>
      <c r="L50" s="92">
        <f>COUNTIF(recipes!K:K,A50)</f>
        <v>2</v>
      </c>
      <c r="M50" s="3"/>
    </row>
    <row r="51" spans="1:14" s="28" customFormat="1" x14ac:dyDescent="0.2">
      <c r="A51" s="18" t="s">
        <v>402</v>
      </c>
      <c r="B51" s="32" t="s">
        <v>196</v>
      </c>
      <c r="C51" s="4" t="s">
        <v>158</v>
      </c>
      <c r="D51" s="3">
        <v>1</v>
      </c>
      <c r="E51" s="3">
        <v>0.84399999999999997</v>
      </c>
      <c r="F51" s="3"/>
      <c r="G51" s="3">
        <f t="shared" si="2"/>
        <v>0.84399999999999997</v>
      </c>
      <c r="H51" s="3">
        <f t="shared" si="3"/>
        <v>0</v>
      </c>
      <c r="I51" s="3">
        <f>SUMIF(recipes!K:K,A51,recipes!R:R)</f>
        <v>5.5703999999999994</v>
      </c>
      <c r="J51" s="3">
        <f>SUMIF(recipes!K:K,A51,recipes!S:S)</f>
        <v>0</v>
      </c>
      <c r="K51" s="3">
        <f>SUMIF(recipes!K:K,A51,recipes!T:T)</f>
        <v>0</v>
      </c>
      <c r="L51" s="92">
        <f>COUNTIF(recipes!K:K,A51)</f>
        <v>1</v>
      </c>
      <c r="M51" s="3"/>
    </row>
    <row r="52" spans="1:14" s="28" customFormat="1" x14ac:dyDescent="0.2">
      <c r="A52" s="18" t="s">
        <v>57</v>
      </c>
      <c r="B52" s="32"/>
      <c r="C52" s="4" t="s">
        <v>57</v>
      </c>
      <c r="D52" s="4"/>
      <c r="E52" s="4"/>
      <c r="F52" s="4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4.8056985539062499E-2</v>
      </c>
      <c r="K52" s="3">
        <f>SUMIF(recipes!K:K,A52,recipes!T:T)</f>
        <v>0</v>
      </c>
      <c r="L52" s="92">
        <f>COUNTIF(recipes!K:K,A52)</f>
        <v>1</v>
      </c>
      <c r="M52" s="3"/>
    </row>
    <row r="53" spans="1:14" s="28" customFormat="1" x14ac:dyDescent="0.2">
      <c r="A53" s="18" t="s">
        <v>72</v>
      </c>
      <c r="B53" s="32"/>
      <c r="C53" s="4" t="s">
        <v>72</v>
      </c>
      <c r="D53" s="4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5.9147059124999998E-2</v>
      </c>
      <c r="K53" s="3">
        <f>SUMIF(recipes!K:K,A53,recipes!T:T)</f>
        <v>0</v>
      </c>
      <c r="L53" s="92">
        <f>COUNTIF(recipes!K:K,A53)</f>
        <v>1</v>
      </c>
      <c r="M53" s="3"/>
    </row>
    <row r="54" spans="1:14" x14ac:dyDescent="0.2">
      <c r="A54" s="18" t="s">
        <v>46</v>
      </c>
      <c r="B54" s="32"/>
      <c r="C54" s="4" t="s">
        <v>46</v>
      </c>
      <c r="D54" s="4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0.46578309060937501</v>
      </c>
      <c r="K54" s="3">
        <f>SUMIF(recipes!K:K,A54,recipes!T:T)</f>
        <v>0</v>
      </c>
      <c r="L54" s="92">
        <f>COUNTIF(recipes!K:K,A54)</f>
        <v>7</v>
      </c>
      <c r="M54" s="3"/>
      <c r="N54" s="28"/>
    </row>
    <row r="55" spans="1:14" s="28" customFormat="1" x14ac:dyDescent="0.2">
      <c r="A55" s="18" t="s">
        <v>73</v>
      </c>
      <c r="B55" s="32"/>
      <c r="C55" s="4" t="s">
        <v>73</v>
      </c>
      <c r="D55" s="4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2">
        <f>COUNTIF(recipes!K:K,A55)</f>
        <v>1</v>
      </c>
      <c r="M55" s="3"/>
    </row>
    <row r="56" spans="1:14" x14ac:dyDescent="0.2">
      <c r="A56" s="18" t="s">
        <v>6</v>
      </c>
      <c r="B56" s="32" t="s">
        <v>196</v>
      </c>
      <c r="C56" s="4" t="s">
        <v>63</v>
      </c>
      <c r="D56" s="3">
        <v>2</v>
      </c>
      <c r="E56" s="3">
        <v>0.37</v>
      </c>
      <c r="F56" s="3">
        <v>0.6</v>
      </c>
      <c r="G56" s="3">
        <f t="shared" si="2"/>
        <v>0.185</v>
      </c>
      <c r="H56" s="3">
        <f t="shared" si="3"/>
        <v>0.3</v>
      </c>
      <c r="I56" s="3">
        <f>SUMIF(recipes!K:K,A56,recipes!R:R)</f>
        <v>1.5725000000000002</v>
      </c>
      <c r="J56" s="3">
        <f>SUMIF(recipes!K:K,A56,recipes!S:S)</f>
        <v>0</v>
      </c>
      <c r="K56" s="3">
        <f>SUMIF(recipes!K:K,A56,recipes!T:T)</f>
        <v>0</v>
      </c>
      <c r="L56" s="92">
        <f>COUNTIF(recipes!K:K,A56)</f>
        <v>4</v>
      </c>
      <c r="M56" s="3"/>
    </row>
    <row r="57" spans="1:14" s="28" customFormat="1" x14ac:dyDescent="0.2">
      <c r="A57" s="18" t="s">
        <v>425</v>
      </c>
      <c r="B57" s="32" t="s">
        <v>196</v>
      </c>
      <c r="C57" s="4" t="s">
        <v>421</v>
      </c>
      <c r="D57" s="4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0</v>
      </c>
      <c r="K57" s="3">
        <f>SUMIF(recipes!K:K,A57,recipes!T:T)</f>
        <v>15.4</v>
      </c>
      <c r="L57" s="92">
        <f>COUNTIF(recipes!K:K,A57)</f>
        <v>1</v>
      </c>
      <c r="M57" s="3"/>
    </row>
    <row r="58" spans="1:14" s="28" customFormat="1" x14ac:dyDescent="0.2">
      <c r="A58" s="18" t="s">
        <v>99</v>
      </c>
      <c r="B58" s="32"/>
      <c r="C58" s="4" t="s">
        <v>99</v>
      </c>
      <c r="D58" s="4">
        <v>1</v>
      </c>
      <c r="E58" s="4">
        <v>1.2E-2</v>
      </c>
      <c r="F58" s="4">
        <v>2.2180100000000001E-2</v>
      </c>
      <c r="G58" s="3">
        <f t="shared" si="2"/>
        <v>1.2E-2</v>
      </c>
      <c r="H58" s="3">
        <f t="shared" si="3"/>
        <v>2.2180100000000001E-2</v>
      </c>
      <c r="I58" s="3">
        <f>SUMIF(recipes!K:K,A58,recipes!R:R)</f>
        <v>7.3333489296148356E-3</v>
      </c>
      <c r="J58" s="3">
        <f>SUMIF(recipes!K:K,A58,recipes!S:S)</f>
        <v>0</v>
      </c>
      <c r="K58" s="3">
        <f>SUMIF(recipes!K:K,A58,recipes!T:T)</f>
        <v>0</v>
      </c>
      <c r="L58" s="92">
        <f>COUNTIF(recipes!K:K,A58)</f>
        <v>1</v>
      </c>
      <c r="M58" s="3"/>
    </row>
    <row r="59" spans="1:14" s="28" customFormat="1" x14ac:dyDescent="0.2">
      <c r="A59" s="18" t="s">
        <v>104</v>
      </c>
      <c r="B59" s="32"/>
      <c r="C59" s="4" t="s">
        <v>104</v>
      </c>
      <c r="D59" s="4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0.70976470949999992</v>
      </c>
      <c r="K59" s="3">
        <f>SUMIF(recipes!K:K,A59,recipes!T:T)</f>
        <v>0</v>
      </c>
      <c r="L59" s="92">
        <f>COUNTIF(recipes!K:K,A59)</f>
        <v>2</v>
      </c>
      <c r="M59" s="3"/>
    </row>
    <row r="60" spans="1:14" s="28" customFormat="1" x14ac:dyDescent="0.2">
      <c r="A60" s="18" t="s">
        <v>115</v>
      </c>
      <c r="B60" s="32"/>
      <c r="C60" s="4" t="s">
        <v>115</v>
      </c>
      <c r="D60" s="4"/>
      <c r="E60" s="4"/>
      <c r="F60" s="4"/>
      <c r="G60" s="3">
        <f t="shared" si="2"/>
        <v>0</v>
      </c>
      <c r="H60" s="3">
        <f t="shared" si="3"/>
        <v>0</v>
      </c>
      <c r="I60" s="3">
        <f>SUMIF(recipes!K:K,A60,recipes!R:R)</f>
        <v>0</v>
      </c>
      <c r="J60" s="3">
        <f>SUMIF(recipes!K:K,A60,recipes!S:S)</f>
        <v>0.23658823649999999</v>
      </c>
      <c r="K60" s="3">
        <f>SUMIF(recipes!K:K,A60,recipes!T:T)</f>
        <v>0</v>
      </c>
      <c r="L60" s="92">
        <f>COUNTIF(recipes!K:K,A60)</f>
        <v>1</v>
      </c>
      <c r="M60" s="3"/>
    </row>
    <row r="61" spans="1:14" s="28" customFormat="1" x14ac:dyDescent="0.2">
      <c r="A61" s="18" t="s">
        <v>424</v>
      </c>
      <c r="B61" s="32" t="s">
        <v>196</v>
      </c>
      <c r="C61" s="4" t="s">
        <v>420</v>
      </c>
      <c r="D61" s="4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15.4</v>
      </c>
      <c r="L61" s="92">
        <f>COUNTIF(recipes!K:K,A61)</f>
        <v>1</v>
      </c>
      <c r="M61" s="3"/>
    </row>
    <row r="62" spans="1:14" x14ac:dyDescent="0.2">
      <c r="A62" s="18" t="s">
        <v>4</v>
      </c>
      <c r="B62" s="32" t="s">
        <v>196</v>
      </c>
      <c r="C62" s="4" t="s">
        <v>64</v>
      </c>
      <c r="D62" s="3">
        <v>4</v>
      </c>
      <c r="E62" s="3">
        <v>0.9</v>
      </c>
      <c r="F62" s="3">
        <v>1.35</v>
      </c>
      <c r="G62" s="3">
        <f t="shared" si="2"/>
        <v>0.22500000000000001</v>
      </c>
      <c r="H62" s="3">
        <f t="shared" si="3"/>
        <v>0.33750000000000002</v>
      </c>
      <c r="I62" s="3">
        <f>SUMIF(recipes!K:K,A62,recipes!R:R)</f>
        <v>4.6749999999999998</v>
      </c>
      <c r="J62" s="3">
        <f>SUMIF(recipes!K:K,A62,recipes!S:S)</f>
        <v>0</v>
      </c>
      <c r="K62" s="3">
        <f>SUMIF(recipes!K:K,A62,recipes!T:T)</f>
        <v>0</v>
      </c>
      <c r="L62" s="92">
        <f>COUNTIF(recipes!K:K,A62)</f>
        <v>3</v>
      </c>
      <c r="M62" s="3"/>
    </row>
    <row r="63" spans="1:14" x14ac:dyDescent="0.2">
      <c r="A63" s="18" t="s">
        <v>387</v>
      </c>
      <c r="B63" s="32" t="s">
        <v>196</v>
      </c>
      <c r="C63" s="4" t="s">
        <v>388</v>
      </c>
      <c r="D63" s="3">
        <v>2</v>
      </c>
      <c r="E63" s="3">
        <v>0.377</v>
      </c>
      <c r="F63" s="3">
        <v>0.5</v>
      </c>
      <c r="G63" s="3">
        <f t="shared" si="2"/>
        <v>0.1885</v>
      </c>
      <c r="H63" s="3">
        <f t="shared" si="3"/>
        <v>0.25</v>
      </c>
      <c r="I63" s="3">
        <f>SUMIF(recipes!K:K,A63,recipes!R:R)</f>
        <v>0.2675812954815</v>
      </c>
      <c r="J63" s="3">
        <f>SUMIF(recipes!K:K,A63,recipes!S:S)</f>
        <v>0</v>
      </c>
      <c r="K63" s="3">
        <f>SUMIF(recipes!K:K,A63,recipes!T:T)</f>
        <v>0</v>
      </c>
      <c r="L63" s="92">
        <f>COUNTIF(recipes!K:K,A63)</f>
        <v>1</v>
      </c>
      <c r="M63" s="3"/>
    </row>
    <row r="64" spans="1:14" x14ac:dyDescent="0.2">
      <c r="A64" s="18" t="s">
        <v>11</v>
      </c>
      <c r="B64" s="32"/>
      <c r="C64" s="4" t="s">
        <v>11</v>
      </c>
      <c r="D64" s="4">
        <v>1</v>
      </c>
      <c r="E64" s="4">
        <v>2.5000000000000001E-2</v>
      </c>
      <c r="F64" s="4">
        <v>2.2180100000000001E-2</v>
      </c>
      <c r="G64" s="3">
        <f t="shared" ref="G64:G94" si="4">IF(D64&lt;&gt;0, E64/D64, 0)</f>
        <v>2.5000000000000001E-2</v>
      </c>
      <c r="H64" s="3">
        <f t="shared" ref="H64:H94" si="5">IF(D64&lt;&gt;0, F64/D64, 0)</f>
        <v>2.2180100000000001E-2</v>
      </c>
      <c r="I64" s="3">
        <f>SUMIF(recipes!K:K,A64,recipes!R:R)</f>
        <v>5.6944565551933383E-2</v>
      </c>
      <c r="J64" s="3">
        <f>SUMIF(recipes!K:K,A64,recipes!S:S)</f>
        <v>0</v>
      </c>
      <c r="K64" s="3">
        <f>SUMIF(recipes!K:K,A64,recipes!T:T)</f>
        <v>0</v>
      </c>
      <c r="L64" s="92">
        <f>COUNTIF(recipes!K:K,A64)</f>
        <v>10</v>
      </c>
      <c r="M64" s="3"/>
    </row>
    <row r="65" spans="1:14" x14ac:dyDescent="0.2">
      <c r="A65" s="18" t="s">
        <v>165</v>
      </c>
      <c r="B65" s="32"/>
      <c r="C65" s="4" t="s">
        <v>165</v>
      </c>
      <c r="D65" s="4"/>
      <c r="E65" s="4"/>
      <c r="F65" s="4"/>
      <c r="G65" s="3">
        <f t="shared" si="4"/>
        <v>0</v>
      </c>
      <c r="H65" s="3">
        <f t="shared" si="5"/>
        <v>0</v>
      </c>
      <c r="I65" s="3">
        <f>SUMIF(recipes!K:K,A65,recipes!R:R)</f>
        <v>0</v>
      </c>
      <c r="J65" s="3">
        <f>SUMIF(recipes!K:K,A65,recipes!S:S)</f>
        <v>9.2417279882812495E-2</v>
      </c>
      <c r="K65" s="3">
        <f>SUMIF(recipes!K:K,A65,recipes!T:T)</f>
        <v>0</v>
      </c>
      <c r="L65" s="92">
        <f>COUNTIF(recipes!K:K,A65)</f>
        <v>1</v>
      </c>
      <c r="M65" s="3"/>
    </row>
    <row r="66" spans="1:14" s="28" customFormat="1" x14ac:dyDescent="0.2">
      <c r="A66" s="18" t="s">
        <v>181</v>
      </c>
      <c r="B66" s="32" t="s">
        <v>196</v>
      </c>
      <c r="C66" s="4" t="s">
        <v>88</v>
      </c>
      <c r="D66" s="4"/>
      <c r="E66" s="4"/>
      <c r="F66" s="4"/>
      <c r="G66" s="3">
        <f t="shared" si="4"/>
        <v>0</v>
      </c>
      <c r="H66" s="3">
        <f t="shared" si="5"/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7</v>
      </c>
      <c r="L66" s="92">
        <f>COUNTIF(recipes!K:K,A66)</f>
        <v>1</v>
      </c>
      <c r="M66" s="3"/>
    </row>
    <row r="67" spans="1:14" x14ac:dyDescent="0.2">
      <c r="A67" s="18" t="s">
        <v>106</v>
      </c>
      <c r="B67" s="32" t="s">
        <v>196</v>
      </c>
      <c r="C67" s="4" t="s">
        <v>88</v>
      </c>
      <c r="D67" s="4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0</v>
      </c>
      <c r="K67" s="3">
        <f>SUMIF(recipes!K:K,A67,recipes!T:T)</f>
        <v>7.25</v>
      </c>
      <c r="L67" s="92">
        <f>COUNTIF(recipes!K:K,A67)</f>
        <v>1</v>
      </c>
      <c r="M67" s="3"/>
    </row>
    <row r="68" spans="1:14" x14ac:dyDescent="0.2">
      <c r="A68" s="18" t="s">
        <v>89</v>
      </c>
      <c r="B68" s="32" t="s">
        <v>196</v>
      </c>
      <c r="C68" s="4" t="s">
        <v>88</v>
      </c>
      <c r="D68" s="4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0</v>
      </c>
      <c r="L68" s="92">
        <f>COUNTIF(recipes!K:K,A68)</f>
        <v>1</v>
      </c>
      <c r="M68" s="3"/>
    </row>
    <row r="69" spans="1:14" x14ac:dyDescent="0.2">
      <c r="A69" s="18" t="s">
        <v>113</v>
      </c>
      <c r="B69" s="32"/>
      <c r="C69" s="4" t="s">
        <v>113</v>
      </c>
      <c r="D69" s="4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5.9147059124999998E-2</v>
      </c>
      <c r="K69" s="3">
        <f>SUMIF(recipes!K:K,A69,recipes!T:T)</f>
        <v>0</v>
      </c>
      <c r="L69" s="92">
        <f>COUNTIF(recipes!K:K,A69)</f>
        <v>1</v>
      </c>
      <c r="M69" s="3"/>
    </row>
    <row r="70" spans="1:14" s="28" customFormat="1" x14ac:dyDescent="0.2">
      <c r="A70" s="18" t="s">
        <v>285</v>
      </c>
      <c r="B70" s="32"/>
      <c r="C70" s="4" t="s">
        <v>285</v>
      </c>
      <c r="D70" s="4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0.47317647299999999</v>
      </c>
      <c r="K70" s="3">
        <f>SUMIF(recipes!K:K,A70,recipes!T:T)</f>
        <v>0</v>
      </c>
      <c r="L70" s="92">
        <f>COUNTIF(recipes!K:K,A70)</f>
        <v>1</v>
      </c>
      <c r="M70" s="3"/>
      <c r="N70" s="1"/>
    </row>
    <row r="71" spans="1:14" x14ac:dyDescent="0.2">
      <c r="A71" s="18" t="s">
        <v>392</v>
      </c>
      <c r="B71" s="32" t="s">
        <v>196</v>
      </c>
      <c r="C71" s="4" t="s">
        <v>391</v>
      </c>
      <c r="D71" s="4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0.35488235474999996</v>
      </c>
      <c r="K71" s="3">
        <f>SUMIF(recipes!K:K,A71,recipes!T:T)</f>
        <v>0</v>
      </c>
      <c r="L71" s="92">
        <f>COUNTIF(recipes!K:K,A71)</f>
        <v>1</v>
      </c>
      <c r="M71" s="3"/>
      <c r="N71" s="28"/>
    </row>
    <row r="72" spans="1:14" x14ac:dyDescent="0.2">
      <c r="A72" s="18" t="s">
        <v>311</v>
      </c>
      <c r="B72" s="32"/>
      <c r="C72" s="4" t="s">
        <v>311</v>
      </c>
      <c r="D72" s="4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</v>
      </c>
      <c r="K72" s="3">
        <f>SUMIF(recipes!K:K,A72,recipes!T:T)</f>
        <v>0</v>
      </c>
      <c r="L72" s="92">
        <f>COUNTIF(recipes!K:K,A72)</f>
        <v>1</v>
      </c>
      <c r="M72" s="3"/>
    </row>
    <row r="73" spans="1:14" s="28" customFormat="1" x14ac:dyDescent="0.2">
      <c r="A73" s="18" t="s">
        <v>284</v>
      </c>
      <c r="B73" s="32"/>
      <c r="C73" s="4" t="s">
        <v>284</v>
      </c>
      <c r="D73" s="4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2.9573529562499999E-2</v>
      </c>
      <c r="K73" s="3">
        <f>SUMIF(recipes!K:K,A73,recipes!T:T)</f>
        <v>0</v>
      </c>
      <c r="L73" s="92">
        <f>COUNTIF(recipes!K:K,A73)</f>
        <v>1</v>
      </c>
      <c r="M73" s="3"/>
      <c r="N73" s="1"/>
    </row>
    <row r="74" spans="1:14" s="28" customFormat="1" x14ac:dyDescent="0.2">
      <c r="A74" s="18" t="s">
        <v>163</v>
      </c>
      <c r="B74" s="32"/>
      <c r="C74" s="4" t="s">
        <v>163</v>
      </c>
      <c r="D74" s="4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4.4360294343749995E-2</v>
      </c>
      <c r="K74" s="3">
        <f>SUMIF(recipes!K:K,A74,recipes!T:T)</f>
        <v>0</v>
      </c>
      <c r="L74" s="92">
        <f>COUNTIF(recipes!K:K,A74)</f>
        <v>1</v>
      </c>
      <c r="M74" s="3"/>
    </row>
    <row r="75" spans="1:14" x14ac:dyDescent="0.2">
      <c r="A75" s="18" t="s">
        <v>166</v>
      </c>
      <c r="B75" s="32"/>
      <c r="C75" s="4" t="s">
        <v>166</v>
      </c>
      <c r="D75" s="4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4.4360294343749995E-2</v>
      </c>
      <c r="K75" s="3">
        <f>SUMIF(recipes!K:K,A75,recipes!T:T)</f>
        <v>0</v>
      </c>
      <c r="L75" s="92">
        <f>COUNTIF(recipes!K:K,A75)</f>
        <v>2</v>
      </c>
      <c r="M75" s="3"/>
      <c r="N75" s="28"/>
    </row>
    <row r="76" spans="1:14" s="28" customFormat="1" x14ac:dyDescent="0.2">
      <c r="A76" s="18" t="s">
        <v>443</v>
      </c>
      <c r="B76" s="32"/>
      <c r="C76" s="4" t="s">
        <v>443</v>
      </c>
      <c r="D76" s="4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3.75</v>
      </c>
      <c r="L76" s="92">
        <f>COUNTIF(recipes!K:K,A76)</f>
        <v>1</v>
      </c>
      <c r="M76" s="3"/>
    </row>
    <row r="77" spans="1:14" s="28" customFormat="1" x14ac:dyDescent="0.2">
      <c r="A77" s="18" t="s">
        <v>444</v>
      </c>
      <c r="B77" s="32"/>
      <c r="C77" s="4" t="s">
        <v>444</v>
      </c>
      <c r="D77" s="4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0</v>
      </c>
      <c r="K77" s="3">
        <f>SUMIF(recipes!K:K,A77,recipes!T:T)</f>
        <v>2</v>
      </c>
      <c r="L77" s="92">
        <f>COUNTIF(recipes!K:K,A77)</f>
        <v>1</v>
      </c>
      <c r="M77" s="3"/>
      <c r="N77" s="1"/>
    </row>
    <row r="78" spans="1:14" s="28" customFormat="1" x14ac:dyDescent="0.2">
      <c r="A78" s="18" t="s">
        <v>445</v>
      </c>
      <c r="B78" s="32"/>
      <c r="C78" s="4" t="s">
        <v>445</v>
      </c>
      <c r="D78" s="4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4</v>
      </c>
      <c r="L78" s="92">
        <f>COUNTIF(recipes!K:K,A78)</f>
        <v>1</v>
      </c>
      <c r="M78" s="3"/>
    </row>
    <row r="79" spans="1:14" x14ac:dyDescent="0.2">
      <c r="A79" s="18" t="s">
        <v>446</v>
      </c>
      <c r="B79" s="32"/>
      <c r="C79" s="4" t="s">
        <v>446</v>
      </c>
      <c r="D79" s="4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4</v>
      </c>
      <c r="L79" s="92">
        <f>COUNTIF(recipes!K:K,A79)</f>
        <v>2</v>
      </c>
      <c r="M79" s="3"/>
      <c r="N79" s="28"/>
    </row>
    <row r="80" spans="1:14" s="28" customFormat="1" x14ac:dyDescent="0.2">
      <c r="A80" s="18" t="s">
        <v>447</v>
      </c>
      <c r="B80" s="32"/>
      <c r="C80" s="4" t="s">
        <v>447</v>
      </c>
      <c r="D80" s="4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4.75</v>
      </c>
      <c r="L80" s="92">
        <f>COUNTIF(recipes!K:K,A80)</f>
        <v>4</v>
      </c>
      <c r="M80" s="3"/>
      <c r="N80" s="1"/>
    </row>
    <row r="81" spans="1:14" x14ac:dyDescent="0.2">
      <c r="A81" s="18" t="s">
        <v>448</v>
      </c>
      <c r="B81" s="32"/>
      <c r="C81" s="4" t="s">
        <v>448</v>
      </c>
      <c r="D81" s="4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0.8872058868749999</v>
      </c>
      <c r="K81" s="3">
        <f>SUMIF(recipes!K:K,A81,recipes!T:T)</f>
        <v>0</v>
      </c>
      <c r="L81" s="92">
        <f>COUNTIF(recipes!K:K,A81)</f>
        <v>2</v>
      </c>
      <c r="M81" s="3"/>
      <c r="N81" s="28"/>
    </row>
    <row r="82" spans="1:14" x14ac:dyDescent="0.2">
      <c r="A82" s="18" t="s">
        <v>449</v>
      </c>
      <c r="B82" s="32"/>
      <c r="C82" s="4" t="s">
        <v>449</v>
      </c>
      <c r="D82" s="4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2</v>
      </c>
      <c r="L82" s="92">
        <f>COUNTIF(recipes!K:K,A82)</f>
        <v>1</v>
      </c>
      <c r="M82" s="3"/>
    </row>
    <row r="83" spans="1:14" s="28" customFormat="1" x14ac:dyDescent="0.2">
      <c r="A83" s="18" t="s">
        <v>450</v>
      </c>
      <c r="B83" s="32"/>
      <c r="C83" s="4" t="s">
        <v>450</v>
      </c>
      <c r="D83" s="4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0.94635294599999997</v>
      </c>
      <c r="K83" s="3">
        <f>SUMIF(recipes!K:K,A83,recipes!T:T)</f>
        <v>0</v>
      </c>
      <c r="L83" s="92">
        <f>COUNTIF(recipes!K:K,A83)</f>
        <v>1</v>
      </c>
      <c r="M83" s="3"/>
    </row>
    <row r="84" spans="1:14" x14ac:dyDescent="0.2">
      <c r="A84" s="18" t="s">
        <v>260</v>
      </c>
      <c r="B84" s="32" t="s">
        <v>196</v>
      </c>
      <c r="C84" s="4" t="s">
        <v>60</v>
      </c>
      <c r="D84" s="5"/>
      <c r="E84" s="5"/>
      <c r="F84" s="5"/>
      <c r="G84" s="3">
        <f t="shared" si="4"/>
        <v>0</v>
      </c>
      <c r="H84" s="3">
        <f t="shared" si="5"/>
        <v>0</v>
      </c>
      <c r="I84" s="3">
        <f>SUMIF(recipes!K:K,A84,recipes!R:R)</f>
        <v>0.5</v>
      </c>
      <c r="J84" s="3">
        <f>SUMIF(recipes!K:K,A84,recipes!S:S)</f>
        <v>1.0646470642499999</v>
      </c>
      <c r="K84" s="3">
        <f>SUMIF(recipes!K:K,A84,recipes!T:T)</f>
        <v>2.25</v>
      </c>
      <c r="L84" s="92">
        <f>COUNTIF(recipes!K:K,A84)</f>
        <v>3</v>
      </c>
      <c r="M84" s="3"/>
    </row>
    <row r="85" spans="1:14" x14ac:dyDescent="0.2">
      <c r="A85" s="18" t="s">
        <v>261</v>
      </c>
      <c r="B85" s="32" t="s">
        <v>196</v>
      </c>
      <c r="C85" s="4" t="s">
        <v>60</v>
      </c>
      <c r="D85" s="5"/>
      <c r="E85" s="5"/>
      <c r="F85" s="5"/>
      <c r="G85" s="3">
        <f t="shared" si="4"/>
        <v>0</v>
      </c>
      <c r="H85" s="3">
        <f t="shared" si="5"/>
        <v>0</v>
      </c>
      <c r="I85" s="3">
        <f>SUMIF(recipes!K:K,A85,recipes!R:R)</f>
        <v>0.75</v>
      </c>
      <c r="J85" s="3">
        <f>SUMIF(recipes!K:K,A85,recipes!S:S)</f>
        <v>0</v>
      </c>
      <c r="K85" s="3">
        <f>SUMIF(recipes!K:K,A85,recipes!T:T)</f>
        <v>0</v>
      </c>
      <c r="L85" s="92">
        <f>COUNTIF(recipes!K:K,A85)</f>
        <v>1</v>
      </c>
      <c r="M85" s="3"/>
    </row>
    <row r="86" spans="1:14" x14ac:dyDescent="0.2">
      <c r="A86" s="18" t="s">
        <v>304</v>
      </c>
      <c r="B86" s="32" t="s">
        <v>196</v>
      </c>
      <c r="C86" s="4" t="s">
        <v>68</v>
      </c>
      <c r="D86" s="3">
        <v>4</v>
      </c>
      <c r="E86" s="3">
        <v>0.53</v>
      </c>
      <c r="F86" s="3"/>
      <c r="G86" s="3">
        <f t="shared" si="4"/>
        <v>0.13250000000000001</v>
      </c>
      <c r="H86" s="3">
        <f t="shared" si="5"/>
        <v>0</v>
      </c>
      <c r="I86" s="3">
        <f>SUMIF(recipes!K:K,A86,recipes!R:R)</f>
        <v>1.7489999999999999</v>
      </c>
      <c r="J86" s="3">
        <f>SUMIF(recipes!K:K,A86,recipes!S:S)</f>
        <v>0</v>
      </c>
      <c r="K86" s="3">
        <f>SUMIF(recipes!K:K,A86,recipes!T:T)</f>
        <v>0</v>
      </c>
      <c r="L86" s="92">
        <f>COUNTIF(recipes!K:K,A86)</f>
        <v>1</v>
      </c>
      <c r="M86" s="3"/>
    </row>
    <row r="87" spans="1:14" x14ac:dyDescent="0.2">
      <c r="A87" s="18" t="s">
        <v>55</v>
      </c>
      <c r="B87" s="32"/>
      <c r="C87" s="4" t="s">
        <v>55</v>
      </c>
      <c r="D87" s="4"/>
      <c r="E87" s="4"/>
      <c r="F87" s="4"/>
      <c r="G87" s="3">
        <f t="shared" si="4"/>
        <v>0</v>
      </c>
      <c r="H87" s="3">
        <f t="shared" si="5"/>
        <v>0</v>
      </c>
      <c r="I87" s="3">
        <f>SUMIF(recipes!K:K,A87,recipes!R:R)</f>
        <v>0</v>
      </c>
      <c r="J87" s="3">
        <f>SUMIF(recipes!K:K,A87,recipes!S:S)</f>
        <v>9.9012941489999999</v>
      </c>
      <c r="K87" s="3">
        <f>SUMIF(recipes!K:K,A87,recipes!T:T)</f>
        <v>0</v>
      </c>
      <c r="L87" s="92">
        <f>COUNTIF(recipes!K:K,A87)</f>
        <v>5</v>
      </c>
      <c r="M87" s="3"/>
    </row>
    <row r="88" spans="1:14" x14ac:dyDescent="0.2">
      <c r="A88" s="18" t="s">
        <v>56</v>
      </c>
      <c r="B88" s="32"/>
      <c r="C88" s="4" t="s">
        <v>56</v>
      </c>
      <c r="D88" s="5"/>
      <c r="E88" s="5"/>
      <c r="F88" s="5"/>
      <c r="G88" s="3">
        <f t="shared" si="4"/>
        <v>0</v>
      </c>
      <c r="H88" s="3">
        <f t="shared" si="5"/>
        <v>0</v>
      </c>
      <c r="I88" s="3">
        <f>SUMIF(recipes!K:K,A88,recipes!R:R)</f>
        <v>4.675E-2</v>
      </c>
      <c r="J88" s="3">
        <f>SUMIF(recipes!K:K,A88,recipes!S:S)</f>
        <v>0</v>
      </c>
      <c r="K88" s="3">
        <f>SUMIF(recipes!K:K,A88,recipes!T:T)</f>
        <v>0</v>
      </c>
      <c r="L88" s="92">
        <f>COUNTIF(recipes!K:K,A88)</f>
        <v>1</v>
      </c>
      <c r="M88" s="3"/>
    </row>
    <row r="89" spans="1:14" x14ac:dyDescent="0.2">
      <c r="A89" s="18" t="s">
        <v>111</v>
      </c>
      <c r="B89" s="32"/>
      <c r="C89" s="4" t="s">
        <v>47</v>
      </c>
      <c r="D89" s="4">
        <v>1</v>
      </c>
      <c r="E89" s="4">
        <v>1</v>
      </c>
      <c r="F89" s="4">
        <v>1</v>
      </c>
      <c r="G89" s="3">
        <f t="shared" si="4"/>
        <v>1</v>
      </c>
      <c r="H89" s="3">
        <f t="shared" si="5"/>
        <v>1</v>
      </c>
      <c r="I89" s="3">
        <f>SUMIF(recipes!K:K,A89,recipes!R:R)</f>
        <v>0.65061765037499997</v>
      </c>
      <c r="J89" s="3">
        <f>SUMIF(recipes!K:K,A89,recipes!S:S)</f>
        <v>0</v>
      </c>
      <c r="K89" s="3">
        <f>SUMIF(recipes!K:K,A89,recipes!T:T)</f>
        <v>0</v>
      </c>
      <c r="L89" s="92">
        <f>COUNTIF(recipes!K:K,A89)</f>
        <v>1</v>
      </c>
      <c r="M89" s="3"/>
    </row>
    <row r="90" spans="1:14" x14ac:dyDescent="0.2">
      <c r="A90" s="18" t="s">
        <v>47</v>
      </c>
      <c r="B90" s="32"/>
      <c r="C90" s="4" t="s">
        <v>47</v>
      </c>
      <c r="D90" s="4">
        <v>1</v>
      </c>
      <c r="E90" s="4">
        <v>1</v>
      </c>
      <c r="F90" s="4">
        <v>1</v>
      </c>
      <c r="G90" s="3">
        <f t="shared" si="4"/>
        <v>1</v>
      </c>
      <c r="H90" s="3">
        <f t="shared" si="5"/>
        <v>1</v>
      </c>
      <c r="I90" s="3">
        <f>SUMIF(recipes!K:K,A90,recipes!R:R)</f>
        <v>5.5811470796249996</v>
      </c>
      <c r="J90" s="3">
        <f>SUMIF(recipes!K:K,A90,recipes!S:S)</f>
        <v>0</v>
      </c>
      <c r="K90" s="3">
        <f>SUMIF(recipes!K:K,A90,recipes!T:T)</f>
        <v>0</v>
      </c>
      <c r="L90" s="92">
        <f>COUNTIF(recipes!K:K,A90)</f>
        <v>8</v>
      </c>
      <c r="M90" s="3"/>
    </row>
    <row r="91" spans="1:14" x14ac:dyDescent="0.2">
      <c r="A91" s="18" t="s">
        <v>98</v>
      </c>
      <c r="B91" s="32" t="s">
        <v>196</v>
      </c>
      <c r="C91" s="4" t="s">
        <v>69</v>
      </c>
      <c r="D91" s="4"/>
      <c r="E91" s="4"/>
      <c r="F91" s="3"/>
      <c r="G91" s="3">
        <f t="shared" si="4"/>
        <v>0</v>
      </c>
      <c r="H91" s="3">
        <f t="shared" si="5"/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13.25</v>
      </c>
      <c r="L91" s="92">
        <f>COUNTIF(recipes!K:K,A91)</f>
        <v>1</v>
      </c>
      <c r="M91" s="3"/>
    </row>
    <row r="92" spans="1:14" x14ac:dyDescent="0.2">
      <c r="A92" s="18" t="s">
        <v>168</v>
      </c>
      <c r="B92" s="32" t="s">
        <v>196</v>
      </c>
      <c r="C92" s="4" t="s">
        <v>167</v>
      </c>
      <c r="D92" s="3">
        <v>2</v>
      </c>
      <c r="E92" s="3">
        <v>0.377</v>
      </c>
      <c r="F92" s="3">
        <v>0.5</v>
      </c>
      <c r="G92" s="3">
        <f t="shared" si="4"/>
        <v>0.1885</v>
      </c>
      <c r="H92" s="3">
        <f t="shared" si="5"/>
        <v>0.25</v>
      </c>
      <c r="I92" s="3">
        <f>SUMIF(recipes!K:K,A92,recipes!R:R)</f>
        <v>0.47125</v>
      </c>
      <c r="J92" s="3">
        <f>SUMIF(recipes!K:K,A92,recipes!S:S)</f>
        <v>0</v>
      </c>
      <c r="K92" s="3">
        <f>SUMIF(recipes!K:K,A92,recipes!T:T)</f>
        <v>0</v>
      </c>
      <c r="L92" s="92">
        <f>COUNTIF(recipes!K:K,A92)</f>
        <v>1</v>
      </c>
      <c r="M92" s="3"/>
    </row>
    <row r="93" spans="1:14" s="28" customFormat="1" x14ac:dyDescent="0.2">
      <c r="A93" s="18" t="s">
        <v>187</v>
      </c>
      <c r="B93" s="32" t="s">
        <v>196</v>
      </c>
      <c r="C93" s="4" t="s">
        <v>65</v>
      </c>
      <c r="D93" s="4"/>
      <c r="E93" s="4"/>
      <c r="F93" s="4"/>
      <c r="G93" s="3">
        <f t="shared" si="4"/>
        <v>0</v>
      </c>
      <c r="H93" s="3">
        <f t="shared" si="5"/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4.75</v>
      </c>
      <c r="L93" s="92">
        <f>COUNTIF(recipes!K:K,A93)</f>
        <v>1</v>
      </c>
      <c r="M93" s="3"/>
    </row>
    <row r="94" spans="1:14" ht="13.5" thickBot="1" x14ac:dyDescent="0.25">
      <c r="A94" s="19" t="s">
        <v>105</v>
      </c>
      <c r="B94" s="33" t="s">
        <v>196</v>
      </c>
      <c r="C94" s="16" t="s">
        <v>65</v>
      </c>
      <c r="D94" s="104"/>
      <c r="E94" s="104"/>
      <c r="F94" s="104"/>
      <c r="G94" s="7">
        <f t="shared" si="4"/>
        <v>0</v>
      </c>
      <c r="H94" s="7">
        <f t="shared" si="5"/>
        <v>0</v>
      </c>
      <c r="I94" s="7">
        <f>SUMIF(recipes!K:K,A94,recipes!R:R)</f>
        <v>0</v>
      </c>
      <c r="J94" s="7">
        <f>SUMIF(recipes!K:K,A94,recipes!S:S)</f>
        <v>0</v>
      </c>
      <c r="K94" s="7">
        <f>SUMIF(recipes!K:K,A94,recipes!T:T)</f>
        <v>5.25</v>
      </c>
      <c r="L94" s="93">
        <f>COUNTIF(recipes!K:K,A94)</f>
        <v>1</v>
      </c>
      <c r="M94" s="3"/>
    </row>
    <row r="95" spans="1:14" ht="14.25" thickTop="1" thickBot="1" x14ac:dyDescent="0.25">
      <c r="A95" s="8" t="s">
        <v>50</v>
      </c>
      <c r="B95" s="34"/>
      <c r="M95" s="3"/>
    </row>
  </sheetData>
  <sortState xmlns:xlrd2="http://schemas.microsoft.com/office/spreadsheetml/2017/richdata2" ref="A2:L94">
    <sortCondition ref="C2:C94"/>
    <sortCondition ref="A2:A94"/>
  </sortState>
  <conditionalFormatting sqref="G29:J31 G66:J81 G26:J27 G55:J55 G34:J39 G46:J50 M47:M50 M35:M39 M56 M27:M28 M67:M82 M30:M32 G2:M11 M84:M95 G83:L94 M62:M65 G61:L64 M18:M25 G17:L24 M16 G41:J42 M41:M45 G44:L44 M52:M54 G52:L53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5:J65 M66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2:J82 M83">
    <cfRule type="cellIs" dxfId="95" priority="77" operator="equal">
      <formula>0</formula>
    </cfRule>
  </conditionalFormatting>
  <conditionalFormatting sqref="G56:J56 M57">
    <cfRule type="cellIs" dxfId="94" priority="75" operator="equal">
      <formula>0</formula>
    </cfRule>
  </conditionalFormatting>
  <conditionalFormatting sqref="G59:J59 M60">
    <cfRule type="cellIs" dxfId="93" priority="74" operator="equal">
      <formula>0</formula>
    </cfRule>
  </conditionalFormatting>
  <conditionalFormatting sqref="G60:J60 M61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4:J54 M55">
    <cfRule type="cellIs" dxfId="89" priority="70" operator="equal">
      <formula>0</formula>
    </cfRule>
  </conditionalFormatting>
  <conditionalFormatting sqref="G57:J57 M58">
    <cfRule type="cellIs" dxfId="88" priority="69" operator="equal">
      <formula>0</formula>
    </cfRule>
  </conditionalFormatting>
  <conditionalFormatting sqref="G58:J58 M59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5:J45 M46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6:L81 L26:L27 L55 L34:L39 L46:L50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5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2">
    <cfRule type="cellIs" dxfId="78" priority="58" operator="equal">
      <formula>0</formula>
    </cfRule>
  </conditionalFormatting>
  <conditionalFormatting sqref="L56">
    <cfRule type="cellIs" dxfId="77" priority="57" operator="equal">
      <formula>0</formula>
    </cfRule>
  </conditionalFormatting>
  <conditionalFormatting sqref="L59">
    <cfRule type="cellIs" dxfId="76" priority="56" operator="equal">
      <formula>0</formula>
    </cfRule>
  </conditionalFormatting>
  <conditionalFormatting sqref="L60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4">
    <cfRule type="cellIs" dxfId="72" priority="52" operator="equal">
      <formula>0</formula>
    </cfRule>
  </conditionalFormatting>
  <conditionalFormatting sqref="L57">
    <cfRule type="cellIs" dxfId="71" priority="51" operator="equal">
      <formula>0</formula>
    </cfRule>
  </conditionalFormatting>
  <conditionalFormatting sqref="L58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5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6:K81 K26:K27 K55 K34:K39 K46:K50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5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2">
    <cfRule type="cellIs" dxfId="62" priority="41" operator="equal">
      <formula>0</formula>
    </cfRule>
  </conditionalFormatting>
  <conditionalFormatting sqref="K56">
    <cfRule type="cellIs" dxfId="61" priority="40" operator="equal">
      <formula>0</formula>
    </cfRule>
  </conditionalFormatting>
  <conditionalFormatting sqref="K59">
    <cfRule type="cellIs" dxfId="60" priority="39" operator="equal">
      <formula>0</formula>
    </cfRule>
  </conditionalFormatting>
  <conditionalFormatting sqref="K60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4">
    <cfRule type="cellIs" dxfId="56" priority="35" operator="equal">
      <formula>0</formula>
    </cfRule>
  </conditionalFormatting>
  <conditionalFormatting sqref="K57">
    <cfRule type="cellIs" dxfId="55" priority="34" operator="equal">
      <formula>0</formula>
    </cfRule>
  </conditionalFormatting>
  <conditionalFormatting sqref="K58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5">
    <cfRule type="cellIs" dxfId="52" priority="31" operator="equal">
      <formula>0</formula>
    </cfRule>
  </conditionalFormatting>
  <conditionalFormatting sqref="L2:L11 L16:L39 L41:L50 L52:L94">
    <cfRule type="cellIs" dxfId="51" priority="29" operator="equal">
      <formula>0</formula>
    </cfRule>
  </conditionalFormatting>
  <conditionalFormatting sqref="M51 G51:J51">
    <cfRule type="cellIs" dxfId="50" priority="28" operator="equal">
      <formula>0</formula>
    </cfRule>
  </conditionalFormatting>
  <conditionalFormatting sqref="L51">
    <cfRule type="cellIs" dxfId="49" priority="27" operator="equal">
      <formula>0</formula>
    </cfRule>
  </conditionalFormatting>
  <conditionalFormatting sqref="K51">
    <cfRule type="cellIs" dxfId="48" priority="26" operator="equal">
      <formula>0</formula>
    </cfRule>
  </conditionalFormatting>
  <conditionalFormatting sqref="L51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4" xr:uid="{124AB2BC-86CC-4B23-9BC2-BB9FD1721E5B}">
      <formula1>shoppingNames</formula1>
    </dataValidation>
    <dataValidation type="list" allowBlank="1" showInputMessage="1" showErrorMessage="1" sqref="B2:B94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O82"/>
  <sheetViews>
    <sheetView topLeftCell="A10" zoomScale="70" zoomScaleNormal="70" workbookViewId="0">
      <selection activeCell="S17" sqref="S17"/>
    </sheetView>
  </sheetViews>
  <sheetFormatPr defaultRowHeight="12.75" x14ac:dyDescent="0.2"/>
  <cols>
    <col min="1" max="1" width="14.85546875" style="28" bestFit="1" customWidth="1"/>
    <col min="2" max="2" width="19.140625" style="1" bestFit="1" customWidth="1"/>
    <col min="3" max="4" width="6" style="2" bestFit="1" customWidth="1"/>
    <col min="5" max="5" width="6.42578125" style="2" bestFit="1" customWidth="1"/>
    <col min="6" max="6" width="6.42578125" style="94" customWidth="1"/>
    <col min="7" max="7" width="33.85546875" style="2" bestFit="1" customWidth="1"/>
    <col min="8" max="8" width="8.28515625" style="94" bestFit="1" customWidth="1"/>
    <col min="9" max="14" width="9.140625" style="1"/>
    <col min="15" max="15" width="13.7109375" style="1" bestFit="1" customWidth="1"/>
    <col min="16" max="16384" width="9.140625" style="1"/>
  </cols>
  <sheetData>
    <row r="1" spans="1:15" ht="26.25" thickBot="1" x14ac:dyDescent="0.25">
      <c r="A1" s="75" t="s">
        <v>459</v>
      </c>
      <c r="B1" s="12" t="s">
        <v>70</v>
      </c>
      <c r="C1" s="13" t="s">
        <v>109</v>
      </c>
      <c r="D1" s="13" t="s">
        <v>110</v>
      </c>
      <c r="E1" s="13" t="s">
        <v>108</v>
      </c>
      <c r="F1" s="90" t="s">
        <v>411</v>
      </c>
      <c r="G1" s="13" t="s">
        <v>170</v>
      </c>
      <c r="H1" s="90" t="s">
        <v>412</v>
      </c>
    </row>
    <row r="2" spans="1:15" ht="13.5" thickBot="1" x14ac:dyDescent="0.25">
      <c r="A2" s="112" t="s">
        <v>453</v>
      </c>
      <c r="B2" s="110" t="s">
        <v>309</v>
      </c>
      <c r="C2" s="20">
        <f>SUMIF(support!C:C,B2,support!I:I)</f>
        <v>0</v>
      </c>
      <c r="D2" s="21">
        <f>SUMIF(support!C:C,B2,support!J:J)</f>
        <v>0</v>
      </c>
      <c r="E2" s="21">
        <f>SUMIF(support!C:C,B2,support!K:K)</f>
        <v>0</v>
      </c>
      <c r="F2" s="95">
        <f>SUMIF(support!C:C,B2,support!L:L)</f>
        <v>1</v>
      </c>
      <c r="G2" s="21"/>
      <c r="H2" s="22" t="b">
        <f t="shared" ref="H2:H33" si="0">OR(COUNTIF(C2:E2, "&lt;&gt;0") &gt; 1, F2 = 0)</f>
        <v>0</v>
      </c>
      <c r="K2" s="1" t="s">
        <v>395</v>
      </c>
    </row>
    <row r="3" spans="1:15" x14ac:dyDescent="0.2">
      <c r="A3" s="113" t="s">
        <v>453</v>
      </c>
      <c r="B3" s="107" t="s">
        <v>60</v>
      </c>
      <c r="C3" s="23">
        <f>SUMIF(support!C:C,B3,support!I:I)</f>
        <v>1.25</v>
      </c>
      <c r="D3" s="3">
        <f>SUMIF(support!C:C,B3,support!J:J)</f>
        <v>1.0646470642499999</v>
      </c>
      <c r="E3" s="3">
        <f>SUMIF(support!C:C,B3,support!K:K)</f>
        <v>2.25</v>
      </c>
      <c r="F3" s="96">
        <f>SUMIF(support!C:C,B3,support!L:L)</f>
        <v>4</v>
      </c>
      <c r="G3" s="3"/>
      <c r="H3" s="24" t="b">
        <f t="shared" si="0"/>
        <v>1</v>
      </c>
      <c r="K3" s="1" t="s">
        <v>397</v>
      </c>
      <c r="O3" s="108" t="s">
        <v>451</v>
      </c>
    </row>
    <row r="4" spans="1:15" x14ac:dyDescent="0.2">
      <c r="A4" s="113" t="s">
        <v>453</v>
      </c>
      <c r="B4" s="107" t="s">
        <v>56</v>
      </c>
      <c r="C4" s="23">
        <f>SUMIF(support!C:C,B4,support!I:I)</f>
        <v>4.675E-2</v>
      </c>
      <c r="D4" s="3">
        <f>SUMIF(support!C:C,B4,support!J:J)</f>
        <v>0</v>
      </c>
      <c r="E4" s="3">
        <f>SUMIF(support!C:C,B4,support!K:K)</f>
        <v>0</v>
      </c>
      <c r="F4" s="96">
        <f>SUMIF(support!C:C,B4,support!L:L)</f>
        <v>1</v>
      </c>
      <c r="G4" s="3" t="s">
        <v>462</v>
      </c>
      <c r="H4" s="24" t="b">
        <f t="shared" si="0"/>
        <v>0</v>
      </c>
      <c r="K4" s="1" t="s">
        <v>398</v>
      </c>
      <c r="O4" s="109" t="s">
        <v>452</v>
      </c>
    </row>
    <row r="5" spans="1:15" x14ac:dyDescent="0.2">
      <c r="A5" s="113" t="s">
        <v>451</v>
      </c>
      <c r="B5" s="107" t="s">
        <v>310</v>
      </c>
      <c r="C5" s="23">
        <f>SUMIF(support!C:C,B5,support!I:I)</f>
        <v>0</v>
      </c>
      <c r="D5" s="3">
        <f>SUMIF(support!C:C,B5,support!J:J)</f>
        <v>0</v>
      </c>
      <c r="E5" s="3">
        <f>SUMIF(support!C:C,B5,support!K:K)</f>
        <v>0</v>
      </c>
      <c r="F5" s="96">
        <f>SUMIF(support!C:C,B5,support!L:L)</f>
        <v>1</v>
      </c>
      <c r="G5" s="3"/>
      <c r="H5" s="24" t="b">
        <f t="shared" si="0"/>
        <v>0</v>
      </c>
      <c r="K5" s="1" t="s">
        <v>399</v>
      </c>
      <c r="O5" s="109" t="s">
        <v>453</v>
      </c>
    </row>
    <row r="6" spans="1:15" x14ac:dyDescent="0.2">
      <c r="A6" s="113" t="s">
        <v>451</v>
      </c>
      <c r="B6" s="107" t="s">
        <v>86</v>
      </c>
      <c r="C6" s="23">
        <f>SUMIF(support!C:C,B6,support!I:I)</f>
        <v>0</v>
      </c>
      <c r="D6" s="3">
        <f>SUMIF(support!C:C,B6,support!J:J)</f>
        <v>0</v>
      </c>
      <c r="E6" s="3">
        <f>SUMIF(support!C:C,B6,support!K:K)</f>
        <v>2.5</v>
      </c>
      <c r="F6" s="96">
        <f>SUMIF(support!C:C,B6,support!L:L)</f>
        <v>1</v>
      </c>
      <c r="G6" s="3"/>
      <c r="H6" s="24" t="b">
        <f t="shared" si="0"/>
        <v>0</v>
      </c>
      <c r="K6" s="28" t="s">
        <v>396</v>
      </c>
      <c r="O6" s="109" t="s">
        <v>458</v>
      </c>
    </row>
    <row r="7" spans="1:15" s="28" customFormat="1" x14ac:dyDescent="0.2">
      <c r="A7" s="113" t="s">
        <v>451</v>
      </c>
      <c r="B7" s="107" t="s">
        <v>87</v>
      </c>
      <c r="C7" s="23">
        <f>SUMIF(support!C:C,B7,support!I:I)</f>
        <v>0</v>
      </c>
      <c r="D7" s="3">
        <f>SUMIF(support!C:C,B7,support!J:J)</f>
        <v>0</v>
      </c>
      <c r="E7" s="3">
        <f>SUMIF(support!C:C,B7,support!K:K)</f>
        <v>2.5</v>
      </c>
      <c r="F7" s="96">
        <f>SUMIF(support!C:C,B7,support!L:L)</f>
        <v>1</v>
      </c>
      <c r="G7" s="3"/>
      <c r="H7" s="24" t="b">
        <f t="shared" si="0"/>
        <v>0</v>
      </c>
      <c r="O7" s="109" t="s">
        <v>457</v>
      </c>
    </row>
    <row r="8" spans="1:15" x14ac:dyDescent="0.2">
      <c r="A8" s="113" t="s">
        <v>451</v>
      </c>
      <c r="B8" s="107" t="s">
        <v>47</v>
      </c>
      <c r="C8" s="23">
        <f>SUMIF(support!C:C,B8,support!I:I)</f>
        <v>6.2317647299999992</v>
      </c>
      <c r="D8" s="3">
        <f>SUMIF(support!C:C,B8,support!J:J)</f>
        <v>0</v>
      </c>
      <c r="E8" s="3">
        <f>SUMIF(support!C:C,B8,support!K:K)</f>
        <v>0</v>
      </c>
      <c r="F8" s="96">
        <f>SUMIF(support!C:C,B8,support!L:L)</f>
        <v>9</v>
      </c>
      <c r="G8" s="3"/>
      <c r="H8" s="24" t="b">
        <f t="shared" si="0"/>
        <v>0</v>
      </c>
      <c r="O8" s="109" t="s">
        <v>454</v>
      </c>
    </row>
    <row r="9" spans="1:15" s="28" customFormat="1" x14ac:dyDescent="0.2">
      <c r="A9" s="113" t="s">
        <v>452</v>
      </c>
      <c r="B9" s="107" t="s">
        <v>85</v>
      </c>
      <c r="C9" s="23">
        <f>SUMIF(support!C:C,B9,support!I:I)</f>
        <v>0</v>
      </c>
      <c r="D9" s="3">
        <f>SUMIF(support!C:C,B9,support!J:J)</f>
        <v>0</v>
      </c>
      <c r="E9" s="3">
        <f>SUMIF(support!C:C,B9,support!K:K)</f>
        <v>4.25</v>
      </c>
      <c r="F9" s="96">
        <f>SUMIF(support!C:C,B9,support!L:L)</f>
        <v>2</v>
      </c>
      <c r="G9" s="3"/>
      <c r="H9" s="24" t="b">
        <f t="shared" si="0"/>
        <v>0</v>
      </c>
      <c r="O9" s="109" t="s">
        <v>455</v>
      </c>
    </row>
    <row r="10" spans="1:15" s="28" customFormat="1" ht="13.5" thickBot="1" x14ac:dyDescent="0.25">
      <c r="A10" s="113" t="s">
        <v>452</v>
      </c>
      <c r="B10" s="107" t="s">
        <v>48</v>
      </c>
      <c r="C10" s="23">
        <f>SUMIF(support!C:C,B10,support!I:I)</f>
        <v>3.7333412732584614E-2</v>
      </c>
      <c r="D10" s="3">
        <f>SUMIF(support!C:C,B10,support!J:J)</f>
        <v>0</v>
      </c>
      <c r="E10" s="3">
        <f>SUMIF(support!C:C,B10,support!K:K)</f>
        <v>0</v>
      </c>
      <c r="F10" s="96">
        <f>SUMIF(support!C:C,B10,support!L:L)</f>
        <v>1</v>
      </c>
      <c r="G10" s="3"/>
      <c r="H10" s="24" t="b">
        <f t="shared" si="0"/>
        <v>0</v>
      </c>
      <c r="O10" s="8" t="s">
        <v>456</v>
      </c>
    </row>
    <row r="11" spans="1:15" s="28" customFormat="1" x14ac:dyDescent="0.2">
      <c r="A11" s="113" t="s">
        <v>452</v>
      </c>
      <c r="B11" s="107" t="s">
        <v>101</v>
      </c>
      <c r="C11" s="23">
        <f>SUMIF(support!C:C,B11,support!I:I)</f>
        <v>1.0388910983621014E-2</v>
      </c>
      <c r="D11" s="3">
        <f>SUMIF(support!C:C,B11,support!J:J)</f>
        <v>0</v>
      </c>
      <c r="E11" s="3">
        <f>SUMIF(support!C:C,B11,support!K:K)</f>
        <v>0</v>
      </c>
      <c r="F11" s="96">
        <f>SUMIF(support!C:C,B11,support!L:L)</f>
        <v>3</v>
      </c>
      <c r="G11" s="3"/>
      <c r="H11" s="24" t="b">
        <f t="shared" si="0"/>
        <v>0</v>
      </c>
    </row>
    <row r="12" spans="1:15" s="28" customFormat="1" x14ac:dyDescent="0.2">
      <c r="A12" s="113" t="s">
        <v>452</v>
      </c>
      <c r="B12" s="107" t="s">
        <v>49</v>
      </c>
      <c r="C12" s="23">
        <f>SUMIF(support!C:C,B12,support!I:I)</f>
        <v>2.5666721253651919E-2</v>
      </c>
      <c r="D12" s="3">
        <f>SUMIF(support!C:C,B12,support!J:J)</f>
        <v>0</v>
      </c>
      <c r="E12" s="3">
        <f>SUMIF(support!C:C,B12,support!K:K)</f>
        <v>0</v>
      </c>
      <c r="F12" s="96">
        <f>SUMIF(support!C:C,B12,support!L:L)</f>
        <v>1</v>
      </c>
      <c r="G12" s="3"/>
      <c r="H12" s="24" t="b">
        <f t="shared" si="0"/>
        <v>0</v>
      </c>
    </row>
    <row r="13" spans="1:15" s="28" customFormat="1" x14ac:dyDescent="0.2">
      <c r="A13" s="113" t="s">
        <v>452</v>
      </c>
      <c r="B13" s="107" t="s">
        <v>9</v>
      </c>
      <c r="C13" s="23">
        <f>SUMIF(support!C:C,B13,support!I:I)</f>
        <v>4.2000089324157684E-2</v>
      </c>
      <c r="D13" s="3">
        <f>SUMIF(support!C:C,B13,support!J:J)</f>
        <v>0</v>
      </c>
      <c r="E13" s="3">
        <f>SUMIF(support!C:C,B13,support!K:K)</f>
        <v>0</v>
      </c>
      <c r="F13" s="96">
        <f>SUMIF(support!C:C,B13,support!L:L)</f>
        <v>2</v>
      </c>
      <c r="G13" s="3"/>
      <c r="H13" s="24" t="b">
        <f t="shared" si="0"/>
        <v>0</v>
      </c>
    </row>
    <row r="14" spans="1:15" x14ac:dyDescent="0.2">
      <c r="A14" s="113" t="s">
        <v>452</v>
      </c>
      <c r="B14" s="107" t="s">
        <v>100</v>
      </c>
      <c r="C14" s="23">
        <f>SUMIF(support!C:C,B14,support!I:I)</f>
        <v>1.1666691478932692E-3</v>
      </c>
      <c r="D14" s="3">
        <f>SUMIF(support!C:C,B14,support!J:J)</f>
        <v>0</v>
      </c>
      <c r="E14" s="3">
        <f>SUMIF(support!C:C,B14,support!K:K)</f>
        <v>0</v>
      </c>
      <c r="F14" s="96">
        <f>SUMIF(support!C:C,B14,support!L:L)</f>
        <v>1</v>
      </c>
      <c r="G14" s="3"/>
      <c r="H14" s="24" t="b">
        <f t="shared" si="0"/>
        <v>0</v>
      </c>
      <c r="O14" s="28"/>
    </row>
    <row r="15" spans="1:15" x14ac:dyDescent="0.2">
      <c r="A15" s="113" t="s">
        <v>452</v>
      </c>
      <c r="B15" s="107" t="s">
        <v>277</v>
      </c>
      <c r="C15" s="23">
        <f>SUMIF(support!C:C,B15,support!I:I)</f>
        <v>0</v>
      </c>
      <c r="D15" s="3">
        <f>SUMIF(support!C:C,B15,support!J:J)</f>
        <v>0.47317647299999999</v>
      </c>
      <c r="E15" s="3">
        <f>SUMIF(support!C:C,B15,support!K:K)</f>
        <v>0</v>
      </c>
      <c r="F15" s="96">
        <f>SUMIF(support!C:C,B15,support!L:L)</f>
        <v>1</v>
      </c>
      <c r="G15" s="3"/>
      <c r="H15" s="24" t="b">
        <f t="shared" si="0"/>
        <v>0</v>
      </c>
      <c r="O15" s="28"/>
    </row>
    <row r="16" spans="1:15" x14ac:dyDescent="0.2">
      <c r="A16" s="113" t="s">
        <v>452</v>
      </c>
      <c r="B16" s="107" t="s">
        <v>94</v>
      </c>
      <c r="C16" s="23">
        <f>SUMIF(support!C:C,B16,support!I:I)</f>
        <v>0.28612498367337558</v>
      </c>
      <c r="D16" s="3">
        <f>SUMIF(support!C:C,B16,support!J:J)</f>
        <v>0</v>
      </c>
      <c r="E16" s="3">
        <f>SUMIF(support!C:C,B16,support!K:K)</f>
        <v>0</v>
      </c>
      <c r="F16" s="96">
        <f>SUMIF(support!C:C,B16,support!L:L)</f>
        <v>1</v>
      </c>
      <c r="G16" s="3"/>
      <c r="H16" s="24" t="b">
        <f t="shared" si="0"/>
        <v>0</v>
      </c>
    </row>
    <row r="17" spans="1:15" x14ac:dyDescent="0.2">
      <c r="A17" s="113" t="s">
        <v>452</v>
      </c>
      <c r="B17" s="107" t="s">
        <v>95</v>
      </c>
      <c r="C17" s="23">
        <f>SUMIF(support!C:C,B17,support!I:I)</f>
        <v>0.70699995965775986</v>
      </c>
      <c r="D17" s="3">
        <f>SUMIF(support!C:C,B17,support!J:J)</f>
        <v>0</v>
      </c>
      <c r="E17" s="3">
        <f>SUMIF(support!C:C,B17,support!K:K)</f>
        <v>0</v>
      </c>
      <c r="F17" s="96">
        <f>SUMIF(support!C:C,B17,support!L:L)</f>
        <v>1</v>
      </c>
      <c r="G17" s="3"/>
      <c r="H17" s="24" t="b">
        <f t="shared" si="0"/>
        <v>0</v>
      </c>
    </row>
    <row r="18" spans="1:15" x14ac:dyDescent="0.2">
      <c r="A18" s="113" t="s">
        <v>452</v>
      </c>
      <c r="B18" s="107" t="s">
        <v>279</v>
      </c>
      <c r="C18" s="23">
        <f>SUMIF(support!C:C,B18,support!I:I)</f>
        <v>0</v>
      </c>
      <c r="D18" s="3">
        <f>SUMIF(support!C:C,B18,support!J:J)</f>
        <v>1.478676478125E-2</v>
      </c>
      <c r="E18" s="3">
        <f>SUMIF(support!C:C,B18,support!K:K)</f>
        <v>0</v>
      </c>
      <c r="F18" s="96">
        <f>SUMIF(support!C:C,B18,support!L:L)</f>
        <v>1</v>
      </c>
      <c r="G18" s="3"/>
      <c r="H18" s="24" t="b">
        <f t="shared" si="0"/>
        <v>0</v>
      </c>
    </row>
    <row r="19" spans="1:15" s="28" customFormat="1" x14ac:dyDescent="0.2">
      <c r="A19" s="113" t="s">
        <v>452</v>
      </c>
      <c r="B19" s="107" t="s">
        <v>193</v>
      </c>
      <c r="C19" s="23">
        <f>SUMIF(support!C:C,B19,support!I:I)</f>
        <v>1.0587499395864968</v>
      </c>
      <c r="D19" s="3">
        <f>SUMIF(support!C:C,B19,support!J:J)</f>
        <v>0</v>
      </c>
      <c r="E19" s="3">
        <f>SUMIF(support!C:C,B19,support!K:K)</f>
        <v>0</v>
      </c>
      <c r="F19" s="96">
        <f>SUMIF(support!C:C,B19,support!L:L)</f>
        <v>2</v>
      </c>
      <c r="G19" s="3"/>
      <c r="H19" s="24" t="b">
        <f t="shared" si="0"/>
        <v>0</v>
      </c>
      <c r="O19" s="1"/>
    </row>
    <row r="20" spans="1:15" s="28" customFormat="1" x14ac:dyDescent="0.2">
      <c r="A20" s="113" t="s">
        <v>452</v>
      </c>
      <c r="B20" s="107" t="s">
        <v>10</v>
      </c>
      <c r="C20" s="23">
        <f>SUMIF(support!C:C,B20,support!I:I)</f>
        <v>2.5000053169141483E-2</v>
      </c>
      <c r="D20" s="3">
        <f>SUMIF(support!C:C,B20,support!J:J)</f>
        <v>0</v>
      </c>
      <c r="E20" s="3">
        <f>SUMIF(support!C:C,B20,support!K:K)</f>
        <v>0</v>
      </c>
      <c r="F20" s="96">
        <f>SUMIF(support!C:C,B20,support!L:L)</f>
        <v>1</v>
      </c>
      <c r="G20" s="3"/>
      <c r="H20" s="24" t="b">
        <f t="shared" si="0"/>
        <v>0</v>
      </c>
      <c r="O20" s="1"/>
    </row>
    <row r="21" spans="1:15" x14ac:dyDescent="0.2">
      <c r="A21" s="113" t="s">
        <v>452</v>
      </c>
      <c r="B21" s="107" t="s">
        <v>149</v>
      </c>
      <c r="C21" s="23">
        <f>SUMIF(support!C:C,B21,support!I:I)</f>
        <v>0</v>
      </c>
      <c r="D21" s="3">
        <f>SUMIF(support!C:C,B21,support!J:J)</f>
        <v>3.3270220757812496E-2</v>
      </c>
      <c r="E21" s="3">
        <f>SUMIF(support!C:C,B21,support!K:K)</f>
        <v>0</v>
      </c>
      <c r="F21" s="96">
        <f>SUMIF(support!C:C,B21,support!L:L)</f>
        <v>2</v>
      </c>
      <c r="G21" s="3"/>
      <c r="H21" s="24" t="b">
        <f t="shared" si="0"/>
        <v>0</v>
      </c>
      <c r="O21" s="28"/>
    </row>
    <row r="22" spans="1:15" s="28" customFormat="1" x14ac:dyDescent="0.2">
      <c r="A22" s="113" t="s">
        <v>452</v>
      </c>
      <c r="B22" s="107" t="s">
        <v>14</v>
      </c>
      <c r="C22" s="23">
        <f>SUMIF(support!C:C,B22,support!I:I)</f>
        <v>2.5666721253651922E-2</v>
      </c>
      <c r="D22" s="3">
        <f>SUMIF(support!C:C,B22,support!J:J)</f>
        <v>0</v>
      </c>
      <c r="E22" s="3">
        <f>SUMIF(support!C:C,B22,support!K:K)</f>
        <v>0</v>
      </c>
      <c r="F22" s="96">
        <f>SUMIF(support!C:C,B22,support!L:L)</f>
        <v>3</v>
      </c>
      <c r="G22" s="3"/>
      <c r="H22" s="24" t="b">
        <f t="shared" si="0"/>
        <v>0</v>
      </c>
    </row>
    <row r="23" spans="1:15" x14ac:dyDescent="0.2">
      <c r="A23" s="113" t="s">
        <v>452</v>
      </c>
      <c r="B23" s="107" t="s">
        <v>305</v>
      </c>
      <c r="C23" s="23">
        <f>SUMIF(support!C:C,B23,support!I:I)</f>
        <v>6.9222369441667306E-2</v>
      </c>
      <c r="D23" s="3">
        <f>SUMIF(support!C:C,B23,support!J:J)</f>
        <v>0</v>
      </c>
      <c r="E23" s="3">
        <f>SUMIF(support!C:C,B23,support!K:K)</f>
        <v>0</v>
      </c>
      <c r="F23" s="96">
        <f>SUMIF(support!C:C,B23,support!L:L)</f>
        <v>6</v>
      </c>
      <c r="G23" s="3"/>
      <c r="H23" s="24" t="b">
        <f t="shared" si="0"/>
        <v>0</v>
      </c>
    </row>
    <row r="24" spans="1:15" x14ac:dyDescent="0.2">
      <c r="A24" s="113" t="s">
        <v>452</v>
      </c>
      <c r="B24" s="107" t="s">
        <v>99</v>
      </c>
      <c r="C24" s="23">
        <f>SUMIF(support!C:C,B24,support!I:I)</f>
        <v>7.3333489296148356E-3</v>
      </c>
      <c r="D24" s="3">
        <f>SUMIF(support!C:C,B24,support!J:J)</f>
        <v>0</v>
      </c>
      <c r="E24" s="3">
        <f>SUMIF(support!C:C,B24,support!K:K)</f>
        <v>0</v>
      </c>
      <c r="F24" s="96">
        <f>SUMIF(support!C:C,B24,support!L:L)</f>
        <v>1</v>
      </c>
      <c r="G24" s="3"/>
      <c r="H24" s="24" t="b">
        <f t="shared" si="0"/>
        <v>0</v>
      </c>
      <c r="O24" s="28"/>
    </row>
    <row r="25" spans="1:15" x14ac:dyDescent="0.2">
      <c r="A25" s="113" t="s">
        <v>457</v>
      </c>
      <c r="B25" s="107" t="s">
        <v>442</v>
      </c>
      <c r="C25" s="23">
        <f>SUMIF(support!C:C,B25,support!I:I)</f>
        <v>0</v>
      </c>
      <c r="D25" s="3">
        <f>SUMIF(support!C:C,B25,support!J:J)</f>
        <v>0</v>
      </c>
      <c r="E25" s="3">
        <f>SUMIF(support!C:C,B25,support!K:K)</f>
        <v>1.925</v>
      </c>
      <c r="F25" s="96">
        <f>SUMIF(support!C:C,B25,support!L:L)</f>
        <v>1</v>
      </c>
      <c r="G25" s="3"/>
      <c r="H25" s="24" t="b">
        <f t="shared" si="0"/>
        <v>0</v>
      </c>
    </row>
    <row r="26" spans="1:15" x14ac:dyDescent="0.2">
      <c r="A26" s="113" t="s">
        <v>454</v>
      </c>
      <c r="B26" s="107" t="s">
        <v>177</v>
      </c>
      <c r="C26" s="23">
        <f>SUMIF(support!C:C,B26,support!I:I)</f>
        <v>0</v>
      </c>
      <c r="D26" s="3">
        <f>SUMIF(support!C:C,B26,support!J:J)</f>
        <v>0.47317647299999999</v>
      </c>
      <c r="E26" s="3">
        <f>SUMIF(support!C:C,B26,support!K:K)</f>
        <v>0</v>
      </c>
      <c r="F26" s="96">
        <f>SUMIF(support!C:C,B26,support!L:L)</f>
        <v>1</v>
      </c>
      <c r="G26" s="3"/>
      <c r="H26" s="24" t="b">
        <f t="shared" si="0"/>
        <v>0</v>
      </c>
    </row>
    <row r="27" spans="1:15" x14ac:dyDescent="0.2">
      <c r="A27" s="113" t="s">
        <v>454</v>
      </c>
      <c r="B27" s="107" t="s">
        <v>112</v>
      </c>
      <c r="C27" s="23">
        <f>SUMIF(support!C:C,B27,support!I:I)</f>
        <v>0</v>
      </c>
      <c r="D27" s="3">
        <f>SUMIF(support!C:C,B27,support!J:J)</f>
        <v>5.9147059124999998E-2</v>
      </c>
      <c r="E27" s="3">
        <f>SUMIF(support!C:C,B27,support!K:K)</f>
        <v>0</v>
      </c>
      <c r="F27" s="96">
        <f>SUMIF(support!C:C,B27,support!L:L)</f>
        <v>1</v>
      </c>
      <c r="G27" s="3"/>
      <c r="H27" s="24" t="b">
        <f t="shared" si="0"/>
        <v>0</v>
      </c>
    </row>
    <row r="28" spans="1:15" x14ac:dyDescent="0.2">
      <c r="A28" s="113" t="s">
        <v>454</v>
      </c>
      <c r="B28" s="107" t="s">
        <v>71</v>
      </c>
      <c r="C28" s="23">
        <f>SUMIF(support!C:C,B28,support!I:I)</f>
        <v>0</v>
      </c>
      <c r="D28" s="3">
        <f>SUMIF(support!C:C,B28,support!J:J)</f>
        <v>8.7488358289062484E-2</v>
      </c>
      <c r="E28" s="3">
        <f>SUMIF(support!C:C,B28,support!K:K)</f>
        <v>0</v>
      </c>
      <c r="F28" s="96">
        <f>SUMIF(support!C:C,B28,support!L:L)</f>
        <v>2</v>
      </c>
      <c r="G28" s="3"/>
      <c r="H28" s="24" t="b">
        <f t="shared" si="0"/>
        <v>0</v>
      </c>
    </row>
    <row r="29" spans="1:15" x14ac:dyDescent="0.2">
      <c r="A29" s="113" t="s">
        <v>454</v>
      </c>
      <c r="B29" s="107" t="s">
        <v>186</v>
      </c>
      <c r="C29" s="23">
        <f>SUMIF(support!C:C,B29,support!I:I)</f>
        <v>0</v>
      </c>
      <c r="D29" s="3">
        <f>SUMIF(support!C:C,B29,support!J:J)</f>
        <v>0.17744117737499998</v>
      </c>
      <c r="E29" s="3">
        <f>SUMIF(support!C:C,B29,support!K:K)</f>
        <v>0</v>
      </c>
      <c r="F29" s="96">
        <f>SUMIF(support!C:C,B29,support!L:L)</f>
        <v>1</v>
      </c>
      <c r="G29" s="98" t="s">
        <v>180</v>
      </c>
      <c r="H29" s="29" t="b">
        <f t="shared" si="0"/>
        <v>0</v>
      </c>
    </row>
    <row r="30" spans="1:15" x14ac:dyDescent="0.2">
      <c r="A30" s="113" t="s">
        <v>454</v>
      </c>
      <c r="B30" s="107" t="s">
        <v>76</v>
      </c>
      <c r="C30" s="23">
        <f>SUMIF(support!C:C,B30,support!I:I)</f>
        <v>0</v>
      </c>
      <c r="D30" s="3">
        <f>SUMIF(support!C:C,B30,support!J:J)</f>
        <v>0</v>
      </c>
      <c r="E30" s="3">
        <f>SUMIF(support!C:C,B30,support!K:K)</f>
        <v>0</v>
      </c>
      <c r="F30" s="96">
        <f>SUMIF(support!C:C,B30,support!L:L)</f>
        <v>4</v>
      </c>
      <c r="G30" s="3"/>
      <c r="H30" s="24" t="b">
        <f t="shared" si="0"/>
        <v>0</v>
      </c>
    </row>
    <row r="31" spans="1:15" x14ac:dyDescent="0.2">
      <c r="A31" s="113" t="s">
        <v>454</v>
      </c>
      <c r="B31" s="107" t="s">
        <v>57</v>
      </c>
      <c r="C31" s="23">
        <f>SUMIF(support!C:C,B31,support!I:I)</f>
        <v>0</v>
      </c>
      <c r="D31" s="3">
        <f>SUMIF(support!C:C,B31,support!J:J)</f>
        <v>4.8056985539062499E-2</v>
      </c>
      <c r="E31" s="3">
        <f>SUMIF(support!C:C,B31,support!K:K)</f>
        <v>0</v>
      </c>
      <c r="F31" s="96">
        <f>SUMIF(support!C:C,B31,support!L:L)</f>
        <v>1</v>
      </c>
      <c r="G31" s="3"/>
      <c r="H31" s="24" t="b">
        <f t="shared" si="0"/>
        <v>0</v>
      </c>
    </row>
    <row r="32" spans="1:15" x14ac:dyDescent="0.2">
      <c r="A32" s="113" t="s">
        <v>454</v>
      </c>
      <c r="B32" s="107" t="s">
        <v>46</v>
      </c>
      <c r="C32" s="23">
        <f>SUMIF(support!C:C,B32,support!I:I)</f>
        <v>0</v>
      </c>
      <c r="D32" s="3">
        <f>SUMIF(support!C:C,B32,support!J:J)</f>
        <v>0.46578309060937501</v>
      </c>
      <c r="E32" s="3">
        <f>SUMIF(support!C:C,B32,support!K:K)</f>
        <v>0</v>
      </c>
      <c r="F32" s="96">
        <f>SUMIF(support!C:C,B32,support!L:L)</f>
        <v>7</v>
      </c>
      <c r="G32" s="3"/>
      <c r="H32" s="24" t="b">
        <f t="shared" si="0"/>
        <v>0</v>
      </c>
    </row>
    <row r="33" spans="1:15" s="28" customFormat="1" x14ac:dyDescent="0.2">
      <c r="A33" s="113" t="s">
        <v>454</v>
      </c>
      <c r="B33" s="107" t="s">
        <v>73</v>
      </c>
      <c r="C33" s="23">
        <f>SUMIF(support!C:C,B33,support!I:I)</f>
        <v>0</v>
      </c>
      <c r="D33" s="3">
        <f>SUMIF(support!C:C,B33,support!J:J)</f>
        <v>5.9147059124999998E-2</v>
      </c>
      <c r="E33" s="3">
        <f>SUMIF(support!C:C,B33,support!K:K)</f>
        <v>0</v>
      </c>
      <c r="F33" s="96">
        <f>SUMIF(support!C:C,B33,support!L:L)</f>
        <v>1</v>
      </c>
      <c r="G33" s="3"/>
      <c r="H33" s="24" t="b">
        <f t="shared" si="0"/>
        <v>0</v>
      </c>
      <c r="O33" s="1"/>
    </row>
    <row r="34" spans="1:15" x14ac:dyDescent="0.2">
      <c r="A34" s="113" t="s">
        <v>454</v>
      </c>
      <c r="B34" s="107" t="s">
        <v>104</v>
      </c>
      <c r="C34" s="23">
        <f>SUMIF(support!C:C,B34,support!I:I)</f>
        <v>0</v>
      </c>
      <c r="D34" s="3">
        <f>SUMIF(support!C:C,B34,support!J:J)</f>
        <v>0.70976470949999992</v>
      </c>
      <c r="E34" s="3">
        <f>SUMIF(support!C:C,B34,support!K:K)</f>
        <v>0</v>
      </c>
      <c r="F34" s="96">
        <f>SUMIF(support!C:C,B34,support!L:L)</f>
        <v>2</v>
      </c>
      <c r="G34" s="3"/>
      <c r="H34" s="24" t="b">
        <f t="shared" ref="H34:H65" si="1">OR(COUNTIF(C34:E34, "&lt;&gt;0") &gt; 1, F34 = 0)</f>
        <v>0</v>
      </c>
    </row>
    <row r="35" spans="1:15" x14ac:dyDescent="0.2">
      <c r="A35" s="113" t="s">
        <v>454</v>
      </c>
      <c r="B35" s="107" t="s">
        <v>115</v>
      </c>
      <c r="C35" s="23">
        <f>SUMIF(support!C:C,B35,support!I:I)</f>
        <v>0</v>
      </c>
      <c r="D35" s="3">
        <f>SUMIF(support!C:C,B35,support!J:J)</f>
        <v>0.23658823649999999</v>
      </c>
      <c r="E35" s="3">
        <f>SUMIF(support!C:C,B35,support!K:K)</f>
        <v>0</v>
      </c>
      <c r="F35" s="96">
        <f>SUMIF(support!C:C,B35,support!L:L)</f>
        <v>1</v>
      </c>
      <c r="G35" s="3"/>
      <c r="H35" s="24" t="b">
        <f t="shared" si="1"/>
        <v>0</v>
      </c>
      <c r="O35" s="28"/>
    </row>
    <row r="36" spans="1:15" x14ac:dyDescent="0.2">
      <c r="A36" s="113" t="s">
        <v>454</v>
      </c>
      <c r="B36" s="107" t="s">
        <v>11</v>
      </c>
      <c r="C36" s="23">
        <f>SUMIF(support!C:C,B36,support!I:I)</f>
        <v>5.6944565551933383E-2</v>
      </c>
      <c r="D36" s="3">
        <f>SUMIF(support!C:C,B36,support!J:J)</f>
        <v>0</v>
      </c>
      <c r="E36" s="3">
        <f>SUMIF(support!C:C,B36,support!K:K)</f>
        <v>0</v>
      </c>
      <c r="F36" s="96">
        <f>SUMIF(support!C:C,B36,support!L:L)</f>
        <v>10</v>
      </c>
      <c r="G36" s="3"/>
      <c r="H36" s="24" t="b">
        <f t="shared" si="1"/>
        <v>0</v>
      </c>
    </row>
    <row r="37" spans="1:15" s="28" customFormat="1" x14ac:dyDescent="0.2">
      <c r="A37" s="113" t="s">
        <v>454</v>
      </c>
      <c r="B37" s="107" t="s">
        <v>165</v>
      </c>
      <c r="C37" s="23">
        <f>SUMIF(support!C:C,B37,support!I:I)</f>
        <v>0</v>
      </c>
      <c r="D37" s="3">
        <f>SUMIF(support!C:C,B37,support!J:J)</f>
        <v>9.2417279882812495E-2</v>
      </c>
      <c r="E37" s="3">
        <f>SUMIF(support!C:C,B37,support!K:K)</f>
        <v>0</v>
      </c>
      <c r="F37" s="96">
        <f>SUMIF(support!C:C,B37,support!L:L)</f>
        <v>1</v>
      </c>
      <c r="G37" s="3"/>
      <c r="H37" s="24" t="b">
        <f t="shared" si="1"/>
        <v>0</v>
      </c>
      <c r="O37" s="1"/>
    </row>
    <row r="38" spans="1:15" s="28" customFormat="1" x14ac:dyDescent="0.2">
      <c r="A38" s="113" t="s">
        <v>454</v>
      </c>
      <c r="B38" s="107" t="s">
        <v>113</v>
      </c>
      <c r="C38" s="23">
        <f>SUMIF(support!C:C,B38,support!I:I)</f>
        <v>0</v>
      </c>
      <c r="D38" s="3">
        <f>SUMIF(support!C:C,B38,support!J:J)</f>
        <v>5.9147059124999998E-2</v>
      </c>
      <c r="E38" s="3">
        <f>SUMIF(support!C:C,B38,support!K:K)</f>
        <v>0</v>
      </c>
      <c r="F38" s="96">
        <f>SUMIF(support!C:C,B38,support!L:L)</f>
        <v>1</v>
      </c>
      <c r="G38" s="98" t="s">
        <v>180</v>
      </c>
      <c r="H38" s="29" t="b">
        <f t="shared" si="1"/>
        <v>0</v>
      </c>
      <c r="O38" s="1"/>
    </row>
    <row r="39" spans="1:15" x14ac:dyDescent="0.2">
      <c r="A39" s="113" t="s">
        <v>454</v>
      </c>
      <c r="B39" s="107" t="s">
        <v>285</v>
      </c>
      <c r="C39" s="23">
        <f>SUMIF(support!C:C,B39,support!I:I)</f>
        <v>0</v>
      </c>
      <c r="D39" s="3">
        <f>SUMIF(support!C:C,B39,support!J:J)</f>
        <v>0.47317647299999999</v>
      </c>
      <c r="E39" s="3">
        <f>SUMIF(support!C:C,B39,support!K:K)</f>
        <v>0</v>
      </c>
      <c r="F39" s="96">
        <f>SUMIF(support!C:C,B39,support!L:L)</f>
        <v>1</v>
      </c>
      <c r="G39" s="3"/>
      <c r="H39" s="24" t="b">
        <f t="shared" si="1"/>
        <v>0</v>
      </c>
      <c r="O39" s="28"/>
    </row>
    <row r="40" spans="1:15" x14ac:dyDescent="0.2">
      <c r="A40" s="113" t="s">
        <v>454</v>
      </c>
      <c r="B40" s="107" t="s">
        <v>311</v>
      </c>
      <c r="C40" s="23">
        <f>SUMIF(support!C:C,B40,support!I:I)</f>
        <v>0</v>
      </c>
      <c r="D40" s="3">
        <f>SUMIF(support!C:C,B40,support!J:J)</f>
        <v>0</v>
      </c>
      <c r="E40" s="3">
        <f>SUMIF(support!C:C,B40,support!K:K)</f>
        <v>0</v>
      </c>
      <c r="F40" s="96">
        <f>SUMIF(support!C:C,B40,support!L:L)</f>
        <v>1</v>
      </c>
      <c r="G40" s="3"/>
      <c r="H40" s="24" t="b">
        <f t="shared" si="1"/>
        <v>0</v>
      </c>
      <c r="O40" s="28"/>
    </row>
    <row r="41" spans="1:15" s="28" customFormat="1" x14ac:dyDescent="0.2">
      <c r="A41" s="113" t="s">
        <v>454</v>
      </c>
      <c r="B41" s="107" t="s">
        <v>284</v>
      </c>
      <c r="C41" s="23">
        <f>SUMIF(support!C:C,B41,support!I:I)</f>
        <v>0</v>
      </c>
      <c r="D41" s="3">
        <f>SUMIF(support!C:C,B41,support!J:J)</f>
        <v>2.9573529562499999E-2</v>
      </c>
      <c r="E41" s="3">
        <f>SUMIF(support!C:C,B41,support!K:K)</f>
        <v>0</v>
      </c>
      <c r="F41" s="96">
        <f>SUMIF(support!C:C,B41,support!L:L)</f>
        <v>1</v>
      </c>
      <c r="G41" s="3"/>
      <c r="H41" s="24" t="b">
        <f t="shared" si="1"/>
        <v>0</v>
      </c>
      <c r="O41" s="1"/>
    </row>
    <row r="42" spans="1:15" x14ac:dyDescent="0.2">
      <c r="A42" s="113" t="s">
        <v>454</v>
      </c>
      <c r="B42" s="107" t="s">
        <v>163</v>
      </c>
      <c r="C42" s="23">
        <f>SUMIF(support!C:C,B42,support!I:I)</f>
        <v>0</v>
      </c>
      <c r="D42" s="3">
        <f>SUMIF(support!C:C,B42,support!J:J)</f>
        <v>4.4360294343749995E-2</v>
      </c>
      <c r="E42" s="3">
        <f>SUMIF(support!C:C,B42,support!K:K)</f>
        <v>0</v>
      </c>
      <c r="F42" s="96">
        <f>SUMIF(support!C:C,B42,support!L:L)</f>
        <v>1</v>
      </c>
      <c r="G42" s="3"/>
      <c r="H42" s="24" t="b">
        <f t="shared" si="1"/>
        <v>0</v>
      </c>
    </row>
    <row r="43" spans="1:15" x14ac:dyDescent="0.2">
      <c r="A43" s="113" t="s">
        <v>454</v>
      </c>
      <c r="B43" s="107" t="s">
        <v>166</v>
      </c>
      <c r="C43" s="23">
        <f>SUMIF(support!C:C,B43,support!I:I)</f>
        <v>0</v>
      </c>
      <c r="D43" s="3">
        <f>SUMIF(support!C:C,B43,support!J:J)</f>
        <v>4.4360294343749995E-2</v>
      </c>
      <c r="E43" s="3">
        <f>SUMIF(support!C:C,B43,support!K:K)</f>
        <v>0</v>
      </c>
      <c r="F43" s="96">
        <f>SUMIF(support!C:C,B43,support!L:L)</f>
        <v>2</v>
      </c>
      <c r="G43" s="3"/>
      <c r="H43" s="24" t="b">
        <f t="shared" si="1"/>
        <v>0</v>
      </c>
      <c r="O43" s="28"/>
    </row>
    <row r="44" spans="1:15" s="28" customFormat="1" x14ac:dyDescent="0.2">
      <c r="A44" s="113" t="s">
        <v>454</v>
      </c>
      <c r="B44" s="107" t="s">
        <v>443</v>
      </c>
      <c r="C44" s="23">
        <f>SUMIF(support!C:C,B44,support!I:I)</f>
        <v>0</v>
      </c>
      <c r="D44" s="3">
        <f>SUMIF(support!C:C,B44,support!J:J)</f>
        <v>0</v>
      </c>
      <c r="E44" s="3">
        <f>SUMIF(support!C:C,B44,support!K:K)</f>
        <v>3.75</v>
      </c>
      <c r="F44" s="96">
        <f>SUMIF(support!C:C,B44,support!L:L)</f>
        <v>1</v>
      </c>
      <c r="G44" s="3" t="s">
        <v>171</v>
      </c>
      <c r="H44" s="24" t="b">
        <f t="shared" si="1"/>
        <v>0</v>
      </c>
      <c r="O44" s="1"/>
    </row>
    <row r="45" spans="1:15" x14ac:dyDescent="0.2">
      <c r="A45" s="113" t="s">
        <v>454</v>
      </c>
      <c r="B45" s="107" t="s">
        <v>444</v>
      </c>
      <c r="C45" s="23">
        <f>SUMIF(support!C:C,B45,support!I:I)</f>
        <v>0</v>
      </c>
      <c r="D45" s="3">
        <f>SUMIF(support!C:C,B45,support!J:J)</f>
        <v>0</v>
      </c>
      <c r="E45" s="3">
        <f>SUMIF(support!C:C,B45,support!K:K)</f>
        <v>2</v>
      </c>
      <c r="F45" s="96">
        <f>SUMIF(support!C:C,B45,support!L:L)</f>
        <v>1</v>
      </c>
      <c r="G45" s="3"/>
      <c r="H45" s="24" t="b">
        <f t="shared" si="1"/>
        <v>0</v>
      </c>
    </row>
    <row r="46" spans="1:15" x14ac:dyDescent="0.2">
      <c r="A46" s="113" t="s">
        <v>454</v>
      </c>
      <c r="B46" s="107" t="s">
        <v>445</v>
      </c>
      <c r="C46" s="23">
        <f>SUMIF(support!C:C,B46,support!I:I)</f>
        <v>0</v>
      </c>
      <c r="D46" s="3">
        <f>SUMIF(support!C:C,B46,support!J:J)</f>
        <v>0</v>
      </c>
      <c r="E46" s="3">
        <f>SUMIF(support!C:C,B46,support!K:K)</f>
        <v>4</v>
      </c>
      <c r="F46" s="96">
        <f>SUMIF(support!C:C,B46,support!L:L)</f>
        <v>1</v>
      </c>
      <c r="G46" s="3" t="s">
        <v>461</v>
      </c>
      <c r="H46" s="24" t="b">
        <f t="shared" si="1"/>
        <v>0</v>
      </c>
      <c r="O46" s="28"/>
    </row>
    <row r="47" spans="1:15" s="28" customFormat="1" x14ac:dyDescent="0.2">
      <c r="A47" s="113" t="s">
        <v>454</v>
      </c>
      <c r="B47" s="107" t="s">
        <v>446</v>
      </c>
      <c r="C47" s="23">
        <f>SUMIF(support!C:C,B47,support!I:I)</f>
        <v>0</v>
      </c>
      <c r="D47" s="3">
        <f>SUMIF(support!C:C,B47,support!J:J)</f>
        <v>0</v>
      </c>
      <c r="E47" s="3">
        <f>SUMIF(support!C:C,B47,support!K:K)</f>
        <v>4</v>
      </c>
      <c r="F47" s="96">
        <f>SUMIF(support!C:C,B47,support!L:L)</f>
        <v>2</v>
      </c>
      <c r="G47" s="3" t="s">
        <v>460</v>
      </c>
      <c r="H47" s="24" t="b">
        <f t="shared" si="1"/>
        <v>0</v>
      </c>
      <c r="O47" s="1"/>
    </row>
    <row r="48" spans="1:15" s="28" customFormat="1" x14ac:dyDescent="0.2">
      <c r="A48" s="113" t="s">
        <v>454</v>
      </c>
      <c r="B48" s="107" t="s">
        <v>447</v>
      </c>
      <c r="C48" s="23">
        <f>SUMIF(support!C:C,B48,support!I:I)</f>
        <v>0</v>
      </c>
      <c r="D48" s="3">
        <f>SUMIF(support!C:C,B48,support!J:J)</f>
        <v>0</v>
      </c>
      <c r="E48" s="3">
        <f>SUMIF(support!C:C,B48,support!K:K)</f>
        <v>4.75</v>
      </c>
      <c r="F48" s="96">
        <f>SUMIF(support!C:C,B48,support!L:L)</f>
        <v>4</v>
      </c>
      <c r="G48" s="3" t="s">
        <v>393</v>
      </c>
      <c r="H48" s="24" t="b">
        <f t="shared" si="1"/>
        <v>0</v>
      </c>
      <c r="O48" s="1"/>
    </row>
    <row r="49" spans="1:15" x14ac:dyDescent="0.2">
      <c r="A49" s="113" t="s">
        <v>454</v>
      </c>
      <c r="B49" s="107" t="s">
        <v>448</v>
      </c>
      <c r="C49" s="23">
        <f>SUMIF(support!C:C,B49,support!I:I)</f>
        <v>0</v>
      </c>
      <c r="D49" s="3">
        <f>SUMIF(support!C:C,B49,support!J:J)</f>
        <v>0.8872058868749999</v>
      </c>
      <c r="E49" s="3">
        <f>SUMIF(support!C:C,B49,support!K:K)</f>
        <v>0</v>
      </c>
      <c r="F49" s="96">
        <f>SUMIF(support!C:C,B49,support!L:L)</f>
        <v>2</v>
      </c>
      <c r="G49" s="3" t="s">
        <v>393</v>
      </c>
      <c r="H49" s="24" t="b">
        <f t="shared" si="1"/>
        <v>0</v>
      </c>
      <c r="O49" s="28"/>
    </row>
    <row r="50" spans="1:15" x14ac:dyDescent="0.2">
      <c r="A50" s="113" t="s">
        <v>454</v>
      </c>
      <c r="B50" s="107" t="s">
        <v>449</v>
      </c>
      <c r="C50" s="23">
        <f>SUMIF(support!C:C,B50,support!I:I)</f>
        <v>0</v>
      </c>
      <c r="D50" s="3">
        <f>SUMIF(support!C:C,B50,support!J:J)</f>
        <v>0</v>
      </c>
      <c r="E50" s="3">
        <f>SUMIF(support!C:C,B50,support!K:K)</f>
        <v>2</v>
      </c>
      <c r="F50" s="96">
        <f>SUMIF(support!C:C,B50,support!L:L)</f>
        <v>1</v>
      </c>
      <c r="G50" s="3"/>
      <c r="H50" s="24" t="b">
        <f t="shared" si="1"/>
        <v>0</v>
      </c>
      <c r="O50" s="28"/>
    </row>
    <row r="51" spans="1:15" x14ac:dyDescent="0.2">
      <c r="A51" s="113" t="s">
        <v>454</v>
      </c>
      <c r="B51" s="107" t="s">
        <v>450</v>
      </c>
      <c r="C51" s="23">
        <f>SUMIF(support!C:C,B51,support!I:I)</f>
        <v>0</v>
      </c>
      <c r="D51" s="3">
        <f>SUMIF(support!C:C,B51,support!J:J)</f>
        <v>0.94635294599999997</v>
      </c>
      <c r="E51" s="3">
        <f>SUMIF(support!C:C,B51,support!K:K)</f>
        <v>0</v>
      </c>
      <c r="F51" s="96">
        <f>SUMIF(support!C:C,B51,support!L:L)</f>
        <v>1</v>
      </c>
      <c r="G51" s="6" t="s">
        <v>295</v>
      </c>
      <c r="H51" s="24" t="b">
        <f t="shared" si="1"/>
        <v>0</v>
      </c>
    </row>
    <row r="52" spans="1:15" x14ac:dyDescent="0.2">
      <c r="A52" s="113" t="s">
        <v>458</v>
      </c>
      <c r="B52" s="107" t="s">
        <v>72</v>
      </c>
      <c r="C52" s="23">
        <f>SUMIF(support!C:C,B52,support!I:I)</f>
        <v>0</v>
      </c>
      <c r="D52" s="3">
        <f>SUMIF(support!C:C,B52,support!J:J)</f>
        <v>5.9147059124999998E-2</v>
      </c>
      <c r="E52" s="3">
        <f>SUMIF(support!C:C,B52,support!K:K)</f>
        <v>0</v>
      </c>
      <c r="F52" s="96">
        <f>SUMIF(support!C:C,B52,support!L:L)</f>
        <v>1</v>
      </c>
      <c r="G52" s="3"/>
      <c r="H52" s="24" t="b">
        <f t="shared" si="1"/>
        <v>0</v>
      </c>
    </row>
    <row r="53" spans="1:15" x14ac:dyDescent="0.2">
      <c r="A53" s="113" t="s">
        <v>458</v>
      </c>
      <c r="B53" s="107" t="s">
        <v>55</v>
      </c>
      <c r="C53" s="23">
        <f>SUMIF(support!C:C,B53,support!I:I)</f>
        <v>0</v>
      </c>
      <c r="D53" s="3">
        <f>SUMIF(support!C:C,B53,support!J:J)</f>
        <v>9.9012941489999999</v>
      </c>
      <c r="E53" s="3">
        <f>SUMIF(support!C:C,B53,support!K:K)</f>
        <v>0</v>
      </c>
      <c r="F53" s="96">
        <f>SUMIF(support!C:C,B53,support!L:L)</f>
        <v>5</v>
      </c>
      <c r="G53" s="6" t="s">
        <v>293</v>
      </c>
      <c r="H53" s="24" t="b">
        <f t="shared" si="1"/>
        <v>0</v>
      </c>
    </row>
    <row r="54" spans="1:15" x14ac:dyDescent="0.2">
      <c r="A54" s="113" t="s">
        <v>455</v>
      </c>
      <c r="B54" s="107" t="s">
        <v>418</v>
      </c>
      <c r="C54" s="23">
        <f>SUMIF(support!C:C,B54,support!I:I)</f>
        <v>0</v>
      </c>
      <c r="D54" s="3">
        <f>SUMIF(support!C:C,B54,support!J:J)</f>
        <v>0</v>
      </c>
      <c r="E54" s="3">
        <f>SUMIF(support!C:C,B54,support!K:K)</f>
        <v>15.4</v>
      </c>
      <c r="F54" s="96">
        <f>SUMIF(support!C:C,B54,support!L:L)</f>
        <v>1</v>
      </c>
      <c r="G54" s="98" t="s">
        <v>433</v>
      </c>
      <c r="H54" s="24" t="b">
        <f t="shared" si="1"/>
        <v>0</v>
      </c>
    </row>
    <row r="55" spans="1:15" x14ac:dyDescent="0.2">
      <c r="A55" s="113" t="s">
        <v>455</v>
      </c>
      <c r="B55" s="107" t="s">
        <v>419</v>
      </c>
      <c r="C55" s="23">
        <f>SUMIF(support!C:C,B55,support!I:I)</f>
        <v>0</v>
      </c>
      <c r="D55" s="3">
        <f>SUMIF(support!C:C,B55,support!J:J)</f>
        <v>0</v>
      </c>
      <c r="E55" s="3">
        <f>SUMIF(support!C:C,B55,support!K:K)</f>
        <v>15.4</v>
      </c>
      <c r="F55" s="96">
        <f>SUMIF(support!C:C,B55,support!L:L)</f>
        <v>1</v>
      </c>
      <c r="G55" s="3"/>
      <c r="H55" s="24" t="b">
        <f t="shared" si="1"/>
        <v>0</v>
      </c>
    </row>
    <row r="56" spans="1:15" s="28" customFormat="1" x14ac:dyDescent="0.2">
      <c r="A56" s="113" t="s">
        <v>455</v>
      </c>
      <c r="B56" s="107" t="s">
        <v>2</v>
      </c>
      <c r="C56" s="23">
        <f>SUMIF(support!C:C,B56,support!I:I)</f>
        <v>1.0954999999999999</v>
      </c>
      <c r="D56" s="3">
        <f>SUMIF(support!C:C,B56,support!J:J)</f>
        <v>0.53232353212499994</v>
      </c>
      <c r="E56" s="3">
        <f>SUMIF(support!C:C,B56,support!K:K)</f>
        <v>0</v>
      </c>
      <c r="F56" s="96">
        <f>SUMIF(support!C:C,B56,support!L:L)</f>
        <v>3</v>
      </c>
      <c r="G56" s="3"/>
      <c r="H56" s="24" t="b">
        <f t="shared" si="1"/>
        <v>1</v>
      </c>
      <c r="O56" s="1"/>
    </row>
    <row r="57" spans="1:15" s="28" customFormat="1" x14ac:dyDescent="0.2">
      <c r="A57" s="113" t="s">
        <v>455</v>
      </c>
      <c r="B57" s="107" t="s">
        <v>62</v>
      </c>
      <c r="C57" s="23">
        <f>SUMIF(support!C:C,B57,support!I:I)</f>
        <v>3.1186210797729168</v>
      </c>
      <c r="D57" s="3">
        <f>SUMIF(support!C:C,B57,support!J:J)</f>
        <v>0</v>
      </c>
      <c r="E57" s="3">
        <f>SUMIF(support!C:C,B57,support!K:K)</f>
        <v>28.55</v>
      </c>
      <c r="F57" s="96">
        <f>SUMIF(support!C:C,B57,support!L:L)</f>
        <v>9</v>
      </c>
      <c r="G57" s="3"/>
      <c r="H57" s="24" t="b">
        <f t="shared" si="1"/>
        <v>1</v>
      </c>
      <c r="O57" s="1"/>
    </row>
    <row r="58" spans="1:15" s="28" customFormat="1" x14ac:dyDescent="0.2">
      <c r="A58" s="113" t="s">
        <v>455</v>
      </c>
      <c r="B58" s="107" t="s">
        <v>156</v>
      </c>
      <c r="C58" s="23">
        <f>SUMIF(support!C:C,B58,support!I:I)</f>
        <v>0</v>
      </c>
      <c r="D58" s="3">
        <f>SUMIF(support!C:C,B58,support!J:J)</f>
        <v>0</v>
      </c>
      <c r="E58" s="3">
        <f>SUMIF(support!C:C,B58,support!K:K)</f>
        <v>3</v>
      </c>
      <c r="F58" s="96">
        <f>SUMIF(support!C:C,B58,support!L:L)</f>
        <v>3</v>
      </c>
      <c r="G58" s="3"/>
      <c r="H58" s="24" t="b">
        <f t="shared" si="1"/>
        <v>0</v>
      </c>
    </row>
    <row r="59" spans="1:15" s="28" customFormat="1" x14ac:dyDescent="0.2">
      <c r="A59" s="113" t="s">
        <v>455</v>
      </c>
      <c r="B59" s="107" t="s">
        <v>61</v>
      </c>
      <c r="C59" s="23">
        <f>SUMIF(support!C:C,B59,support!I:I)</f>
        <v>0</v>
      </c>
      <c r="D59" s="3">
        <f>SUMIF(support!C:C,B59,support!J:J)</f>
        <v>0</v>
      </c>
      <c r="E59" s="3">
        <f>SUMIF(support!C:C,B59,support!K:K)</f>
        <v>43.15</v>
      </c>
      <c r="F59" s="96">
        <f>SUMIF(support!C:C,B59,support!L:L)</f>
        <v>8</v>
      </c>
      <c r="G59" s="3"/>
      <c r="H59" s="24" t="b">
        <f t="shared" si="1"/>
        <v>0</v>
      </c>
    </row>
    <row r="60" spans="1:15" s="28" customFormat="1" x14ac:dyDescent="0.2">
      <c r="A60" s="113" t="s">
        <v>455</v>
      </c>
      <c r="B60" s="107" t="s">
        <v>155</v>
      </c>
      <c r="C60" s="23">
        <f>SUMIF(support!C:C,B60,support!I:I)</f>
        <v>1.0098</v>
      </c>
      <c r="D60" s="3">
        <f>SUMIF(support!C:C,B60,support!J:J)</f>
        <v>0</v>
      </c>
      <c r="E60" s="3">
        <f>SUMIF(support!C:C,B60,support!K:K)</f>
        <v>0</v>
      </c>
      <c r="F60" s="96">
        <f>SUMIF(support!C:C,B60,support!L:L)</f>
        <v>1</v>
      </c>
      <c r="G60" s="3"/>
      <c r="H60" s="24" t="b">
        <f t="shared" si="1"/>
        <v>0</v>
      </c>
    </row>
    <row r="61" spans="1:15" s="28" customFormat="1" x14ac:dyDescent="0.2">
      <c r="A61" s="113" t="s">
        <v>455</v>
      </c>
      <c r="B61" s="107" t="s">
        <v>80</v>
      </c>
      <c r="C61" s="23">
        <f>SUMIF(support!C:C,B61,support!I:I)</f>
        <v>0</v>
      </c>
      <c r="D61" s="3">
        <f>SUMIF(support!C:C,B61,support!J:J)</f>
        <v>0</v>
      </c>
      <c r="E61" s="3">
        <f>SUMIF(support!C:C,B61,support!K:K)</f>
        <v>0</v>
      </c>
      <c r="F61" s="96">
        <f>SUMIF(support!C:C,B61,support!L:L)</f>
        <v>1</v>
      </c>
      <c r="G61" s="3"/>
      <c r="H61" s="24" t="b">
        <f t="shared" si="1"/>
        <v>0</v>
      </c>
    </row>
    <row r="62" spans="1:15" x14ac:dyDescent="0.2">
      <c r="A62" s="113" t="s">
        <v>455</v>
      </c>
      <c r="B62" s="107" t="s">
        <v>75</v>
      </c>
      <c r="C62" s="23">
        <f>SUMIF(support!C:C,B62,support!I:I)</f>
        <v>0</v>
      </c>
      <c r="D62" s="3">
        <f>SUMIF(support!C:C,B62,support!J:J)</f>
        <v>2.2180147171874998E-2</v>
      </c>
      <c r="E62" s="3">
        <f>SUMIF(support!C:C,B62,support!K:K)</f>
        <v>0</v>
      </c>
      <c r="F62" s="96">
        <f>SUMIF(support!C:C,B62,support!L:L)</f>
        <v>3</v>
      </c>
      <c r="G62" s="3"/>
      <c r="H62" s="24" t="b">
        <f t="shared" si="1"/>
        <v>0</v>
      </c>
      <c r="O62" s="28"/>
    </row>
    <row r="63" spans="1:15" s="28" customFormat="1" x14ac:dyDescent="0.2">
      <c r="A63" s="113" t="s">
        <v>455</v>
      </c>
      <c r="B63" s="107" t="s">
        <v>66</v>
      </c>
      <c r="C63" s="23">
        <f>SUMIF(support!C:C,B63,support!I:I)</f>
        <v>0</v>
      </c>
      <c r="D63" s="3">
        <f>SUMIF(support!C:C,B63,support!J:J)</f>
        <v>0</v>
      </c>
      <c r="E63" s="3">
        <f>SUMIF(support!C:C,B63,support!K:K)</f>
        <v>26</v>
      </c>
      <c r="F63" s="96">
        <f>SUMIF(support!C:C,B63,support!L:L)</f>
        <v>5</v>
      </c>
      <c r="G63" s="3"/>
      <c r="H63" s="24" t="b">
        <f t="shared" si="1"/>
        <v>0</v>
      </c>
    </row>
    <row r="64" spans="1:15" x14ac:dyDescent="0.2">
      <c r="A64" s="113" t="s">
        <v>455</v>
      </c>
      <c r="B64" s="107" t="s">
        <v>67</v>
      </c>
      <c r="C64" s="23">
        <f>SUMIF(support!C:C,B64,support!I:I)</f>
        <v>0</v>
      </c>
      <c r="D64" s="3">
        <f>SUMIF(support!C:C,B64,support!J:J)</f>
        <v>0.37706250192187496</v>
      </c>
      <c r="E64" s="3">
        <f>SUMIF(support!C:C,B64,support!K:K)</f>
        <v>0</v>
      </c>
      <c r="F64" s="96">
        <f>SUMIF(support!C:C,B64,support!L:L)</f>
        <v>8</v>
      </c>
      <c r="G64" s="3"/>
      <c r="H64" s="24" t="b">
        <f t="shared" si="1"/>
        <v>0</v>
      </c>
    </row>
    <row r="65" spans="1:15" x14ac:dyDescent="0.2">
      <c r="A65" s="113" t="s">
        <v>455</v>
      </c>
      <c r="B65" s="107" t="s">
        <v>427</v>
      </c>
      <c r="C65" s="23">
        <f>SUMIF(support!C:C,B65,support!I:I)</f>
        <v>0</v>
      </c>
      <c r="D65" s="3">
        <f>SUMIF(support!C:C,B65,support!J:J)</f>
        <v>0</v>
      </c>
      <c r="E65" s="3">
        <f>SUMIF(support!C:C,B65,support!K:K)</f>
        <v>0</v>
      </c>
      <c r="F65" s="96">
        <f>SUMIF(support!C:C,B65,support!L:L)</f>
        <v>1</v>
      </c>
      <c r="G65" s="3" t="s">
        <v>426</v>
      </c>
      <c r="H65" s="24" t="b">
        <f t="shared" si="1"/>
        <v>0</v>
      </c>
      <c r="O65" s="28"/>
    </row>
    <row r="66" spans="1:15" x14ac:dyDescent="0.2">
      <c r="A66" s="113" t="s">
        <v>455</v>
      </c>
      <c r="B66" s="107" t="s">
        <v>172</v>
      </c>
      <c r="C66" s="23">
        <f>SUMIF(support!C:C,B66,support!I:I)</f>
        <v>0.75</v>
      </c>
      <c r="D66" s="3">
        <f>SUMIF(support!C:C,B66,support!J:J)</f>
        <v>0</v>
      </c>
      <c r="E66" s="3">
        <f>SUMIF(support!C:C,B66,support!K:K)</f>
        <v>0</v>
      </c>
      <c r="F66" s="96">
        <f>SUMIF(support!C:C,B66,support!L:L)</f>
        <v>1</v>
      </c>
      <c r="G66" s="6" t="s">
        <v>173</v>
      </c>
      <c r="H66" s="24" t="b">
        <f t="shared" ref="H66:H81" si="2">OR(COUNTIF(C66:E66, "&lt;&gt;0") &gt; 1, F66 = 0)</f>
        <v>0</v>
      </c>
    </row>
    <row r="67" spans="1:15" s="28" customFormat="1" x14ac:dyDescent="0.2">
      <c r="A67" s="113" t="s">
        <v>455</v>
      </c>
      <c r="B67" s="107" t="s">
        <v>157</v>
      </c>
      <c r="C67" s="23">
        <f>SUMIF(support!C:C,B67,support!I:I)</f>
        <v>0</v>
      </c>
      <c r="D67" s="3">
        <f>SUMIF(support!C:C,B67,support!J:J)</f>
        <v>0</v>
      </c>
      <c r="E67" s="3">
        <f>SUMIF(support!C:C,B67,support!K:K)</f>
        <v>3.3</v>
      </c>
      <c r="F67" s="96">
        <f>SUMIF(support!C:C,B67,support!L:L)</f>
        <v>2</v>
      </c>
      <c r="G67" s="3"/>
      <c r="H67" s="24" t="b">
        <f t="shared" si="2"/>
        <v>0</v>
      </c>
      <c r="O67" s="1"/>
    </row>
    <row r="68" spans="1:15" s="28" customFormat="1" x14ac:dyDescent="0.2">
      <c r="A68" s="113" t="s">
        <v>455</v>
      </c>
      <c r="B68" s="107" t="s">
        <v>3</v>
      </c>
      <c r="C68" s="23">
        <f>SUMIF(support!C:C,B68,support!I:I)</f>
        <v>7.2249999999999996</v>
      </c>
      <c r="D68" s="3">
        <f>SUMIF(support!C:C,B68,support!J:J)</f>
        <v>0.70976470949999992</v>
      </c>
      <c r="E68" s="3">
        <f>SUMIF(support!C:C,B68,support!K:K)</f>
        <v>0</v>
      </c>
      <c r="F68" s="96">
        <f>SUMIF(support!C:C,B68,support!L:L)</f>
        <v>4</v>
      </c>
      <c r="G68" s="3"/>
      <c r="H68" s="24" t="b">
        <f t="shared" si="2"/>
        <v>1</v>
      </c>
    </row>
    <row r="69" spans="1:15" x14ac:dyDescent="0.2">
      <c r="A69" s="113" t="s">
        <v>455</v>
      </c>
      <c r="B69" s="107" t="s">
        <v>154</v>
      </c>
      <c r="C69" s="23">
        <f>SUMIF(support!C:C,B69,support!I:I)</f>
        <v>0</v>
      </c>
      <c r="D69" s="3">
        <f>SUMIF(support!C:C,B69,support!J:J)</f>
        <v>0</v>
      </c>
      <c r="E69" s="3">
        <f>SUMIF(support!C:C,B69,support!K:K)</f>
        <v>4.25</v>
      </c>
      <c r="F69" s="96">
        <f>SUMIF(support!C:C,B69,support!L:L)</f>
        <v>2</v>
      </c>
      <c r="G69" s="3"/>
      <c r="H69" s="24" t="b">
        <f t="shared" si="2"/>
        <v>0</v>
      </c>
    </row>
    <row r="70" spans="1:15" s="28" customFormat="1" x14ac:dyDescent="0.2">
      <c r="A70" s="113" t="s">
        <v>455</v>
      </c>
      <c r="B70" s="107" t="s">
        <v>158</v>
      </c>
      <c r="C70" s="23">
        <f>SUMIF(support!C:C,B70,support!I:I)</f>
        <v>5.5703999999999994</v>
      </c>
      <c r="D70" s="3">
        <f>SUMIF(support!C:C,B70,support!J:J)</f>
        <v>0</v>
      </c>
      <c r="E70" s="3">
        <f>SUMIF(support!C:C,B70,support!K:K)</f>
        <v>0</v>
      </c>
      <c r="F70" s="96">
        <f>SUMIF(support!C:C,B70,support!L:L)</f>
        <v>1</v>
      </c>
      <c r="G70" s="3"/>
      <c r="H70" s="24" t="b">
        <f t="shared" si="2"/>
        <v>0</v>
      </c>
    </row>
    <row r="71" spans="1:15" x14ac:dyDescent="0.2">
      <c r="A71" s="113" t="s">
        <v>455</v>
      </c>
      <c r="B71" s="107" t="s">
        <v>63</v>
      </c>
      <c r="C71" s="23">
        <f>SUMIF(support!C:C,B71,support!I:I)</f>
        <v>1.5725000000000002</v>
      </c>
      <c r="D71" s="3">
        <f>SUMIF(support!C:C,B71,support!J:J)</f>
        <v>0</v>
      </c>
      <c r="E71" s="3">
        <f>SUMIF(support!C:C,B71,support!K:K)</f>
        <v>0</v>
      </c>
      <c r="F71" s="96">
        <f>SUMIF(support!C:C,B71,support!L:L)</f>
        <v>4</v>
      </c>
      <c r="G71" s="3"/>
      <c r="H71" s="24" t="b">
        <f t="shared" si="2"/>
        <v>0</v>
      </c>
      <c r="O71" s="28"/>
    </row>
    <row r="72" spans="1:15" s="28" customFormat="1" x14ac:dyDescent="0.2">
      <c r="A72" s="113" t="s">
        <v>455</v>
      </c>
      <c r="B72" s="107" t="s">
        <v>421</v>
      </c>
      <c r="C72" s="23">
        <f>SUMIF(support!C:C,B72,support!I:I)</f>
        <v>0</v>
      </c>
      <c r="D72" s="3">
        <f>SUMIF(support!C:C,B72,support!J:J)</f>
        <v>0</v>
      </c>
      <c r="E72" s="3">
        <f>SUMIF(support!C:C,B72,support!K:K)</f>
        <v>15.4</v>
      </c>
      <c r="F72" s="96">
        <f>SUMIF(support!C:C,B72,support!L:L)</f>
        <v>1</v>
      </c>
      <c r="G72" s="3"/>
      <c r="H72" s="24" t="b">
        <f t="shared" si="2"/>
        <v>0</v>
      </c>
      <c r="O72" s="1"/>
    </row>
    <row r="73" spans="1:15" x14ac:dyDescent="0.2">
      <c r="A73" s="113" t="s">
        <v>455</v>
      </c>
      <c r="B73" s="107" t="s">
        <v>420</v>
      </c>
      <c r="C73" s="23">
        <f>SUMIF(support!C:C,B73,support!I:I)</f>
        <v>0</v>
      </c>
      <c r="D73" s="3">
        <f>SUMIF(support!C:C,B73,support!J:J)</f>
        <v>0</v>
      </c>
      <c r="E73" s="3">
        <f>SUMIF(support!C:C,B73,support!K:K)</f>
        <v>15.4</v>
      </c>
      <c r="F73" s="96">
        <f>SUMIF(support!C:C,B73,support!L:L)</f>
        <v>1</v>
      </c>
      <c r="G73" s="3"/>
      <c r="H73" s="24" t="b">
        <f t="shared" si="2"/>
        <v>0</v>
      </c>
    </row>
    <row r="74" spans="1:15" x14ac:dyDescent="0.2">
      <c r="A74" s="113" t="s">
        <v>455</v>
      </c>
      <c r="B74" s="107" t="s">
        <v>64</v>
      </c>
      <c r="C74" s="23">
        <f>SUMIF(support!C:C,B74,support!I:I)</f>
        <v>4.6749999999999998</v>
      </c>
      <c r="D74" s="3">
        <f>SUMIF(support!C:C,B74,support!J:J)</f>
        <v>0</v>
      </c>
      <c r="E74" s="3">
        <f>SUMIF(support!C:C,B74,support!K:K)</f>
        <v>0</v>
      </c>
      <c r="F74" s="96">
        <f>SUMIF(support!C:C,B74,support!L:L)</f>
        <v>3</v>
      </c>
      <c r="G74" s="3"/>
      <c r="H74" s="24" t="b">
        <f t="shared" si="2"/>
        <v>0</v>
      </c>
      <c r="O74" s="28"/>
    </row>
    <row r="75" spans="1:15" x14ac:dyDescent="0.2">
      <c r="A75" s="113" t="s">
        <v>455</v>
      </c>
      <c r="B75" s="107" t="s">
        <v>388</v>
      </c>
      <c r="C75" s="23">
        <f>SUMIF(support!C:C,B75,support!I:I)</f>
        <v>0.2675812954815</v>
      </c>
      <c r="D75" s="3">
        <f>SUMIF(support!C:C,B75,support!J:J)</f>
        <v>0</v>
      </c>
      <c r="E75" s="3">
        <f>SUMIF(support!C:C,B75,support!K:K)</f>
        <v>0</v>
      </c>
      <c r="F75" s="96">
        <f>SUMIF(support!C:C,B75,support!L:L)</f>
        <v>1</v>
      </c>
      <c r="G75" s="3"/>
      <c r="H75" s="24" t="b">
        <f t="shared" si="2"/>
        <v>0</v>
      </c>
    </row>
    <row r="76" spans="1:15" x14ac:dyDescent="0.2">
      <c r="A76" s="113" t="s">
        <v>455</v>
      </c>
      <c r="B76" s="107" t="s">
        <v>88</v>
      </c>
      <c r="C76" s="23">
        <f>SUMIF(support!C:C,B76,support!I:I)</f>
        <v>0</v>
      </c>
      <c r="D76" s="3">
        <f>SUMIF(support!C:C,B76,support!J:J)</f>
        <v>0</v>
      </c>
      <c r="E76" s="3">
        <f>SUMIF(support!C:C,B76,support!K:K)</f>
        <v>14.25</v>
      </c>
      <c r="F76" s="96">
        <f>SUMIF(support!C:C,B76,support!L:L)</f>
        <v>3</v>
      </c>
      <c r="G76" s="3"/>
      <c r="H76" s="24" t="b">
        <f t="shared" si="2"/>
        <v>0</v>
      </c>
    </row>
    <row r="77" spans="1:15" x14ac:dyDescent="0.2">
      <c r="A77" s="113" t="s">
        <v>455</v>
      </c>
      <c r="B77" s="107" t="s">
        <v>391</v>
      </c>
      <c r="C77" s="23">
        <f>SUMIF(support!C:C,B77,support!I:I)</f>
        <v>0</v>
      </c>
      <c r="D77" s="3">
        <f>SUMIF(support!C:C,B77,support!J:J)</f>
        <v>0.35488235474999996</v>
      </c>
      <c r="E77" s="3">
        <f>SUMIF(support!C:C,B77,support!K:K)</f>
        <v>0</v>
      </c>
      <c r="F77" s="96">
        <f>SUMIF(support!C:C,B77,support!L:L)</f>
        <v>1</v>
      </c>
      <c r="G77" s="3"/>
      <c r="H77" s="24" t="b">
        <f t="shared" si="2"/>
        <v>0</v>
      </c>
    </row>
    <row r="78" spans="1:15" x14ac:dyDescent="0.2">
      <c r="A78" s="113" t="s">
        <v>455</v>
      </c>
      <c r="B78" s="107" t="s">
        <v>68</v>
      </c>
      <c r="C78" s="23">
        <f>SUMIF(support!C:C,B78,support!I:I)</f>
        <v>1.7489999999999999</v>
      </c>
      <c r="D78" s="3">
        <f>SUMIF(support!C:C,B78,support!J:J)</f>
        <v>0</v>
      </c>
      <c r="E78" s="3">
        <f>SUMIF(support!C:C,B78,support!K:K)</f>
        <v>0</v>
      </c>
      <c r="F78" s="96">
        <f>SUMIF(support!C:C,B78,support!L:L)</f>
        <v>1</v>
      </c>
      <c r="G78" s="3"/>
      <c r="H78" s="24" t="b">
        <f t="shared" si="2"/>
        <v>0</v>
      </c>
    </row>
    <row r="79" spans="1:15" x14ac:dyDescent="0.2">
      <c r="A79" s="113" t="s">
        <v>455</v>
      </c>
      <c r="B79" s="107" t="s">
        <v>69</v>
      </c>
      <c r="C79" s="23">
        <f>SUMIF(support!C:C,B79,support!I:I)</f>
        <v>0</v>
      </c>
      <c r="D79" s="3">
        <f>SUMIF(support!C:C,B79,support!J:J)</f>
        <v>0</v>
      </c>
      <c r="E79" s="3">
        <f>SUMIF(support!C:C,B79,support!K:K)</f>
        <v>13.25</v>
      </c>
      <c r="F79" s="96">
        <f>SUMIF(support!C:C,B79,support!L:L)</f>
        <v>1</v>
      </c>
      <c r="G79" s="3"/>
      <c r="H79" s="24" t="b">
        <f t="shared" si="2"/>
        <v>0</v>
      </c>
    </row>
    <row r="80" spans="1:15" x14ac:dyDescent="0.2">
      <c r="A80" s="113" t="s">
        <v>455</v>
      </c>
      <c r="B80" s="107" t="s">
        <v>167</v>
      </c>
      <c r="C80" s="23">
        <f>SUMIF(support!C:C,B80,support!I:I)</f>
        <v>0.47125</v>
      </c>
      <c r="D80" s="3">
        <f>SUMIF(support!C:C,B80,support!J:J)</f>
        <v>0</v>
      </c>
      <c r="E80" s="3">
        <f>SUMIF(support!C:C,B80,support!K:K)</f>
        <v>0</v>
      </c>
      <c r="F80" s="96">
        <f>SUMIF(support!C:C,B80,support!L:L)</f>
        <v>1</v>
      </c>
      <c r="G80" s="3"/>
      <c r="H80" s="24" t="b">
        <f t="shared" si="2"/>
        <v>0</v>
      </c>
    </row>
    <row r="81" spans="1:8" ht="13.5" thickBot="1" x14ac:dyDescent="0.25">
      <c r="A81" s="114" t="s">
        <v>455</v>
      </c>
      <c r="B81" s="111" t="s">
        <v>65</v>
      </c>
      <c r="C81" s="25">
        <f>SUMIF(support!C:C,B81,support!I:I)</f>
        <v>0</v>
      </c>
      <c r="D81" s="26">
        <f>SUMIF(support!C:C,B81,support!J:J)</f>
        <v>0</v>
      </c>
      <c r="E81" s="26">
        <f>SUMIF(support!C:C,B81,support!K:K)</f>
        <v>10</v>
      </c>
      <c r="F81" s="97">
        <f>SUMIF(support!C:C,B81,support!L:L)</f>
        <v>2</v>
      </c>
      <c r="G81" s="26"/>
      <c r="H81" s="27" t="b">
        <f t="shared" si="2"/>
        <v>0</v>
      </c>
    </row>
    <row r="82" spans="1:8" ht="13.5" thickBot="1" x14ac:dyDescent="0.25">
      <c r="B82" s="8" t="s">
        <v>107</v>
      </c>
    </row>
  </sheetData>
  <sortState xmlns:xlrd2="http://schemas.microsoft.com/office/spreadsheetml/2017/richdata2" ref="A2:H81">
    <sortCondition ref="A2:A81"/>
    <sortCondition ref="B2:B81"/>
  </sortState>
  <conditionalFormatting sqref="C20:E32 C38:E43 C82:F1048576 H1 H82:H1048576 C73:E81 C1:F8 C45:E55 F13:F32 C13:E18 F34:F43 C34:E36 C62:E71 F45:F81">
    <cfRule type="cellIs" dxfId="22" priority="39" operator="equal">
      <formula>0</formula>
    </cfRule>
  </conditionalFormatting>
  <conditionalFormatting sqref="C19:E19">
    <cfRule type="cellIs" dxfId="21" priority="38" operator="equal">
      <formula>0</formula>
    </cfRule>
  </conditionalFormatting>
  <conditionalFormatting sqref="C72:E72">
    <cfRule type="cellIs" dxfId="20" priority="37" operator="equal">
      <formula>0</formula>
    </cfRule>
  </conditionalFormatting>
  <conditionalFormatting sqref="C58:E58">
    <cfRule type="cellIs" dxfId="19" priority="36" operator="equal">
      <formula>0</formula>
    </cfRule>
  </conditionalFormatting>
  <conditionalFormatting sqref="C59:E59">
    <cfRule type="cellIs" dxfId="18" priority="35" operator="equal">
      <formula>0</formula>
    </cfRule>
  </conditionalFormatting>
  <conditionalFormatting sqref="C61:E61">
    <cfRule type="cellIs" dxfId="17" priority="34" operator="equal">
      <formula>0</formula>
    </cfRule>
  </conditionalFormatting>
  <conditionalFormatting sqref="C57:E57">
    <cfRule type="cellIs" dxfId="16" priority="33" operator="equal">
      <formula>0</formula>
    </cfRule>
  </conditionalFormatting>
  <conditionalFormatting sqref="C56:E56">
    <cfRule type="cellIs" dxfId="15" priority="31" operator="equal">
      <formula>0</formula>
    </cfRule>
  </conditionalFormatting>
  <conditionalFormatting sqref="C37:E37">
    <cfRule type="cellIs" dxfId="14" priority="30" operator="equal">
      <formula>0</formula>
    </cfRule>
  </conditionalFormatting>
  <conditionalFormatting sqref="C60:E60">
    <cfRule type="cellIs" dxfId="13" priority="29" operator="equal">
      <formula>0</formula>
    </cfRule>
  </conditionalFormatting>
  <conditionalFormatting sqref="H2:H8 H13:H32 H34:H43 H45:H81">
    <cfRule type="cellIs" dxfId="12" priority="13" operator="equal">
      <formula>TRUE</formula>
    </cfRule>
  </conditionalFormatting>
  <conditionalFormatting sqref="C44:F44">
    <cfRule type="cellIs" dxfId="11" priority="12" operator="equal">
      <formula>0</formula>
    </cfRule>
  </conditionalFormatting>
  <conditionalFormatting sqref="H44">
    <cfRule type="cellIs" dxfId="10" priority="11" operator="equal">
      <formula>TRUE</formula>
    </cfRule>
  </conditionalFormatting>
  <conditionalFormatting sqref="C11:F11">
    <cfRule type="cellIs" dxfId="9" priority="10" operator="equal">
      <formula>0</formula>
    </cfRule>
  </conditionalFormatting>
  <conditionalFormatting sqref="H11">
    <cfRule type="cellIs" dxfId="8" priority="9" operator="equal">
      <formula>TRUE</formula>
    </cfRule>
  </conditionalFormatting>
  <conditionalFormatting sqref="H12">
    <cfRule type="cellIs" dxfId="7" priority="7" operator="equal">
      <formula>TRUE</formula>
    </cfRule>
  </conditionalFormatting>
  <conditionalFormatting sqref="C12:F12">
    <cfRule type="cellIs" dxfId="6" priority="8" operator="equal">
      <formula>0</formula>
    </cfRule>
  </conditionalFormatting>
  <conditionalFormatting sqref="H9">
    <cfRule type="cellIs" dxfId="5" priority="5" operator="equal">
      <formula>TRUE</formula>
    </cfRule>
  </conditionalFormatting>
  <conditionalFormatting sqref="H10">
    <cfRule type="cellIs" dxfId="4" priority="3" operator="equal">
      <formula>TRUE</formula>
    </cfRule>
  </conditionalFormatting>
  <conditionalFormatting sqref="C9:F9">
    <cfRule type="cellIs" dxfId="3" priority="6" operator="equal">
      <formula>0</formula>
    </cfRule>
  </conditionalFormatting>
  <conditionalFormatting sqref="C10:F10">
    <cfRule type="cellIs" dxfId="2" priority="4" operator="equal">
      <formula>0</formula>
    </cfRule>
  </conditionalFormatting>
  <conditionalFormatting sqref="H33">
    <cfRule type="cellIs" dxfId="1" priority="1" operator="equal">
      <formula>TRUE</formula>
    </cfRule>
  </conditionalFormatting>
  <conditionalFormatting sqref="C33:F33">
    <cfRule type="cellIs" dxfId="0" priority="2" operator="equal">
      <formula>0</formula>
    </cfRule>
  </conditionalFormatting>
  <dataValidations count="1">
    <dataValidation type="list" showInputMessage="1" showErrorMessage="1" sqref="A2:A81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83</vt:i4>
      </vt:variant>
    </vt:vector>
  </HeadingPairs>
  <TitlesOfParts>
    <vt:vector size="88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sources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2018-11-14T04:30:34Z</dcterms:modified>
</cp:coreProperties>
</file>