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DB79C7BC-91A2-44D1-8469-4F41CF462012}" xr6:coauthVersionLast="38" xr6:coauthVersionMax="38" xr10:uidLastSave="{00000000-0000-0000-0000-000000000000}"/>
  <bookViews>
    <workbookView xWindow="0" yWindow="0" windowWidth="28770" windowHeight="11520" activeTab="3" xr2:uid="{222B344E-0651-4EE9-BCB8-5C41E8873491}"/>
  </bookViews>
  <sheets>
    <sheet name="numbers" sheetId="5" r:id="rId1"/>
    <sheet name="recipes" sheetId="2" r:id="rId2"/>
    <sheet name="support" sheetId="1" r:id="rId3"/>
    <sheet name="shopping" sheetId="3" r:id="rId4"/>
  </sheets>
  <definedNames>
    <definedName name="buyScale">shopping!#REF!</definedName>
    <definedName name="itemGPerQty">support!$G$2:$G$101</definedName>
    <definedName name="itemMlPerQty">support!$H$2:$H$101</definedName>
    <definedName name="itemNames">support!$A$2:$A$101</definedName>
    <definedName name="itemPrepMethods">support!$B$2:$B$101</definedName>
    <definedName name="prepMethods">support!$R$2:$R$3</definedName>
    <definedName name="recipe01DayScale">recipes!$F$56</definedName>
    <definedName name="recipe01TotScale">recipes!$F$59</definedName>
    <definedName name="recipe02DayScale">recipes!$F$79</definedName>
    <definedName name="recipe02TotScale">recipes!$F$82</definedName>
    <definedName name="recipe03DayScale">recipes!$F$143</definedName>
    <definedName name="recipe03TotScale">recipes!$F$146</definedName>
    <definedName name="recipe04DayScale">recipes!$F$357</definedName>
    <definedName name="recipe04TotScale">recipes!$F$360</definedName>
    <definedName name="recipe05DayScale">recipes!$F$201</definedName>
    <definedName name="recipe05TotScale">recipes!$F$204</definedName>
    <definedName name="recipe06DayScale">recipes!$F$234</definedName>
    <definedName name="recipe06TotScale">recipes!$F$237</definedName>
    <definedName name="recipe07DayScale">recipes!$F$261</definedName>
    <definedName name="recipe07TotScale">recipes!$F$264</definedName>
    <definedName name="recipe08DayScale">recipes!$F$106</definedName>
    <definedName name="recipe08TotScale">recipes!$F$109</definedName>
    <definedName name="recipe09DayScale">recipes!$F$322</definedName>
    <definedName name="recipe09TotScale">recipes!$F$325</definedName>
    <definedName name="recipe10DayScale">recipes!$F$167</definedName>
    <definedName name="recipe10TotScale">recipes!$F$170</definedName>
    <definedName name="recipe11DayScale">recipes!$F$390</definedName>
    <definedName name="recipe11TotScale">recipes!$F$393</definedName>
    <definedName name="recipe12DayScale">recipes!$F$288</definedName>
    <definedName name="recipe12TotScale">recipes!$F$291</definedName>
    <definedName name="recipe13DayScale">recipes!$F$34</definedName>
    <definedName name="recipe13TotScale">recipes!$F$37</definedName>
    <definedName name="recipe14DayScale">recipes!$F$16</definedName>
    <definedName name="recipe14TotScale">recipes!$F$19</definedName>
    <definedName name="recipe15DayScale">recipes!$F$4</definedName>
    <definedName name="recipe15TotScale">recipes!$F$7</definedName>
    <definedName name="roundTo">support!$P$2</definedName>
    <definedName name="shoppers">shopping!$Q$2:$Q$5</definedName>
    <definedName name="shoppingNames">shopping!$C$2:$C$113</definedName>
    <definedName name="sources">shopping!$O$2:$O$8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3" l="1"/>
  <c r="N14" i="3"/>
  <c r="L67" i="1" l="1"/>
  <c r="H67" i="1"/>
  <c r="N44" i="2"/>
  <c r="G67" i="1"/>
  <c r="M44" i="2"/>
  <c r="O44" i="2"/>
  <c r="P44" i="2"/>
  <c r="F34" i="2"/>
  <c r="Q44" i="2"/>
  <c r="F36" i="2"/>
  <c r="F37" i="2"/>
  <c r="R44" i="2"/>
  <c r="S44" i="2"/>
  <c r="T44" i="2"/>
  <c r="K67" i="1"/>
  <c r="J67" i="1"/>
  <c r="I67" i="1"/>
  <c r="F3" i="2"/>
  <c r="F15" i="2"/>
  <c r="AD27" i="2"/>
  <c r="AC27" i="2"/>
  <c r="AB27" i="2"/>
  <c r="AD26" i="2"/>
  <c r="AC26" i="2"/>
  <c r="AB26" i="2"/>
  <c r="Y27" i="2"/>
  <c r="X27" i="2"/>
  <c r="W27" i="2"/>
  <c r="Y26" i="2"/>
  <c r="X26" i="2"/>
  <c r="W26" i="2"/>
  <c r="AB393" i="2"/>
  <c r="W393" i="2"/>
  <c r="AB392" i="2"/>
  <c r="W392" i="2"/>
  <c r="AB358" i="2"/>
  <c r="W358" i="2"/>
  <c r="AB357" i="2"/>
  <c r="W357" i="2"/>
  <c r="AB325" i="2"/>
  <c r="W325" i="2"/>
  <c r="AB324" i="2"/>
  <c r="W324" i="2"/>
  <c r="AB291" i="2"/>
  <c r="AB290" i="2"/>
  <c r="W291" i="2"/>
  <c r="W290" i="2"/>
  <c r="AB262" i="2"/>
  <c r="W262" i="2"/>
  <c r="AB261" i="2"/>
  <c r="W261" i="2"/>
  <c r="AB235" i="2"/>
  <c r="W235" i="2"/>
  <c r="AB234" i="2"/>
  <c r="W234" i="2"/>
  <c r="AB202" i="2"/>
  <c r="W202" i="2"/>
  <c r="AB201" i="2"/>
  <c r="W201" i="2"/>
  <c r="AB168" i="2"/>
  <c r="W168" i="2"/>
  <c r="AB167" i="2"/>
  <c r="W167" i="2"/>
  <c r="AB144" i="2"/>
  <c r="W144" i="2"/>
  <c r="AB143" i="2"/>
  <c r="W143" i="2"/>
  <c r="AB107" i="2"/>
  <c r="W107" i="2"/>
  <c r="AB106" i="2"/>
  <c r="W106" i="2"/>
  <c r="AB80" i="2"/>
  <c r="W80" i="2"/>
  <c r="AB79" i="2"/>
  <c r="W79" i="2"/>
  <c r="AB57" i="2"/>
  <c r="W57" i="2"/>
  <c r="AB56" i="2"/>
  <c r="W56" i="2"/>
  <c r="AB35" i="2"/>
  <c r="W35" i="2"/>
  <c r="AB34" i="2"/>
  <c r="W34" i="2"/>
  <c r="AB17" i="2"/>
  <c r="W17" i="2"/>
  <c r="AB16" i="2"/>
  <c r="W16" i="2"/>
  <c r="AB5" i="2"/>
  <c r="AB4" i="2"/>
  <c r="W5" i="2"/>
  <c r="W4" i="2"/>
  <c r="D34" i="3"/>
  <c r="D18" i="3"/>
  <c r="H8" i="1"/>
  <c r="N429" i="2"/>
  <c r="G8" i="1"/>
  <c r="M429" i="2"/>
  <c r="O429" i="2"/>
  <c r="P429" i="2"/>
  <c r="Q429" i="2"/>
  <c r="Q428" i="2"/>
  <c r="O427" i="2"/>
  <c r="Q427" i="2"/>
  <c r="O426" i="2"/>
  <c r="Q426" i="2"/>
  <c r="H77" i="1"/>
  <c r="N425" i="2"/>
  <c r="O425" i="2"/>
  <c r="P425" i="2"/>
  <c r="Q425" i="2"/>
  <c r="H54" i="1"/>
  <c r="N424" i="2"/>
  <c r="O424" i="2"/>
  <c r="P424" i="2"/>
  <c r="Q424" i="2"/>
  <c r="O423" i="2"/>
  <c r="Q423" i="2"/>
  <c r="H50" i="1"/>
  <c r="N422" i="2"/>
  <c r="O422" i="2"/>
  <c r="P422" i="2"/>
  <c r="Q422" i="2"/>
  <c r="H69" i="1"/>
  <c r="N421" i="2"/>
  <c r="O421" i="2"/>
  <c r="P421" i="2"/>
  <c r="Q421" i="2"/>
  <c r="Q420" i="2"/>
  <c r="Q419" i="2"/>
  <c r="F389" i="2"/>
  <c r="F390" i="2"/>
  <c r="Q410" i="2"/>
  <c r="G72" i="1"/>
  <c r="M407" i="2"/>
  <c r="O407" i="2"/>
  <c r="H72" i="1"/>
  <c r="N407" i="2"/>
  <c r="P407" i="2"/>
  <c r="Q407" i="2"/>
  <c r="G16" i="1"/>
  <c r="M406" i="2"/>
  <c r="O406" i="2"/>
  <c r="H16" i="1"/>
  <c r="N406" i="2"/>
  <c r="P406" i="2"/>
  <c r="Q406" i="2"/>
  <c r="G66" i="1"/>
  <c r="M405" i="2"/>
  <c r="O405" i="2"/>
  <c r="H66" i="1"/>
  <c r="N405" i="2"/>
  <c r="P405" i="2"/>
  <c r="Q405" i="2"/>
  <c r="H97" i="1"/>
  <c r="N404" i="2"/>
  <c r="G97" i="1"/>
  <c r="M404" i="2"/>
  <c r="O404" i="2"/>
  <c r="P404" i="2"/>
  <c r="Q404" i="2"/>
  <c r="H42" i="1"/>
  <c r="N401" i="2"/>
  <c r="G42" i="1"/>
  <c r="M401" i="2"/>
  <c r="O401" i="2"/>
  <c r="P401" i="2"/>
  <c r="Q401" i="2"/>
  <c r="H21" i="1"/>
  <c r="N400" i="2"/>
  <c r="G21" i="1"/>
  <c r="M400" i="2"/>
  <c r="O400" i="2"/>
  <c r="P400" i="2"/>
  <c r="Q400" i="2"/>
  <c r="H49" i="1"/>
  <c r="N399" i="2"/>
  <c r="G49" i="1"/>
  <c r="M399" i="2"/>
  <c r="O399" i="2"/>
  <c r="P399" i="2"/>
  <c r="Q399" i="2"/>
  <c r="Q398" i="2"/>
  <c r="H57" i="1"/>
  <c r="N397" i="2"/>
  <c r="O397" i="2"/>
  <c r="P397" i="2"/>
  <c r="Q397" i="2"/>
  <c r="H31" i="1"/>
  <c r="N394" i="2"/>
  <c r="G31" i="1"/>
  <c r="M394" i="2"/>
  <c r="O394" i="2"/>
  <c r="P394" i="2"/>
  <c r="Q394" i="2"/>
  <c r="F356" i="2"/>
  <c r="F357" i="2"/>
  <c r="Q381" i="2"/>
  <c r="Q380" i="2"/>
  <c r="H70" i="1"/>
  <c r="N377" i="2"/>
  <c r="G70" i="1"/>
  <c r="M377" i="2"/>
  <c r="O377" i="2"/>
  <c r="P377" i="2"/>
  <c r="Q377" i="2"/>
  <c r="G73" i="1"/>
  <c r="M376" i="2"/>
  <c r="O376" i="2"/>
  <c r="H73" i="1"/>
  <c r="N376" i="2"/>
  <c r="P376" i="2"/>
  <c r="Q376" i="2"/>
  <c r="G101" i="1"/>
  <c r="M375" i="2"/>
  <c r="O375" i="2"/>
  <c r="H101" i="1"/>
  <c r="N375" i="2"/>
  <c r="P375" i="2"/>
  <c r="Q375" i="2"/>
  <c r="G15" i="1"/>
  <c r="M374" i="2"/>
  <c r="O374" i="2"/>
  <c r="H15" i="1"/>
  <c r="N374" i="2"/>
  <c r="P374" i="2"/>
  <c r="Q374" i="2"/>
  <c r="G10" i="1"/>
  <c r="M371" i="2"/>
  <c r="O371" i="2"/>
  <c r="H10" i="1"/>
  <c r="N371" i="2"/>
  <c r="P371" i="2"/>
  <c r="Q371" i="2"/>
  <c r="G51" i="1"/>
  <c r="M370" i="2"/>
  <c r="O370" i="2"/>
  <c r="H51" i="1"/>
  <c r="N370" i="2"/>
  <c r="P370" i="2"/>
  <c r="Q370" i="2"/>
  <c r="H95" i="1"/>
  <c r="N367" i="2"/>
  <c r="O367" i="2"/>
  <c r="P367" i="2"/>
  <c r="Q367" i="2"/>
  <c r="H63" i="1"/>
  <c r="N366" i="2"/>
  <c r="O366" i="2"/>
  <c r="P366" i="2"/>
  <c r="Q366" i="2"/>
  <c r="H82" i="1"/>
  <c r="N363" i="2"/>
  <c r="O363" i="2"/>
  <c r="P363" i="2"/>
  <c r="Q363" i="2"/>
  <c r="N362" i="2"/>
  <c r="M362" i="2"/>
  <c r="O362" i="2"/>
  <c r="P362" i="2"/>
  <c r="Q362" i="2"/>
  <c r="G60" i="1"/>
  <c r="M361" i="2"/>
  <c r="O361" i="2"/>
  <c r="H60" i="1"/>
  <c r="N361" i="2"/>
  <c r="P361" i="2"/>
  <c r="Q361" i="2"/>
  <c r="Q360" i="2"/>
  <c r="N359" i="2"/>
  <c r="O359" i="2"/>
  <c r="P359" i="2"/>
  <c r="Q359" i="2"/>
  <c r="F321" i="2"/>
  <c r="F322" i="2"/>
  <c r="Q348" i="2"/>
  <c r="Q347" i="2"/>
  <c r="Q342" i="2"/>
  <c r="M341" i="2"/>
  <c r="O341" i="2"/>
  <c r="N341" i="2"/>
  <c r="P341" i="2"/>
  <c r="Q341" i="2"/>
  <c r="M340" i="2"/>
  <c r="O340" i="2"/>
  <c r="N340" i="2"/>
  <c r="P340" i="2"/>
  <c r="Q340" i="2"/>
  <c r="N339" i="2"/>
  <c r="O339" i="2"/>
  <c r="P339" i="2"/>
  <c r="Q339" i="2"/>
  <c r="N336" i="2"/>
  <c r="M336" i="2"/>
  <c r="O336" i="2"/>
  <c r="P336" i="2"/>
  <c r="Q336" i="2"/>
  <c r="N335" i="2"/>
  <c r="M335" i="2"/>
  <c r="O335" i="2"/>
  <c r="P335" i="2"/>
  <c r="Q335" i="2"/>
  <c r="H47" i="1"/>
  <c r="N334" i="2"/>
  <c r="G47" i="1"/>
  <c r="M334" i="2"/>
  <c r="O334" i="2"/>
  <c r="P334" i="2"/>
  <c r="Q334" i="2"/>
  <c r="H48" i="1"/>
  <c r="N333" i="2"/>
  <c r="G48" i="1"/>
  <c r="M333" i="2"/>
  <c r="O333" i="2"/>
  <c r="P333" i="2"/>
  <c r="Q333" i="2"/>
  <c r="H24" i="1"/>
  <c r="N332" i="2"/>
  <c r="G24" i="1"/>
  <c r="M332" i="2"/>
  <c r="O332" i="2"/>
  <c r="P332" i="2"/>
  <c r="Q332" i="2"/>
  <c r="M331" i="2"/>
  <c r="O331" i="2"/>
  <c r="N331" i="2"/>
  <c r="P331" i="2"/>
  <c r="Q331" i="2"/>
  <c r="N330" i="2"/>
  <c r="M330" i="2"/>
  <c r="O330" i="2"/>
  <c r="P330" i="2"/>
  <c r="Q330" i="2"/>
  <c r="N329" i="2"/>
  <c r="O329" i="2"/>
  <c r="P329" i="2"/>
  <c r="Q329" i="2"/>
  <c r="Q326" i="2"/>
  <c r="N314" i="2"/>
  <c r="O314" i="2"/>
  <c r="P314" i="2"/>
  <c r="F287" i="2"/>
  <c r="F288" i="2"/>
  <c r="Q314" i="2"/>
  <c r="N313" i="2"/>
  <c r="M313" i="2"/>
  <c r="O313" i="2"/>
  <c r="P313" i="2"/>
  <c r="Q313" i="2"/>
  <c r="N312" i="2"/>
  <c r="M312" i="2"/>
  <c r="O312" i="2"/>
  <c r="P312" i="2"/>
  <c r="Q312" i="2"/>
  <c r="H25" i="1"/>
  <c r="N311" i="2"/>
  <c r="O311" i="2"/>
  <c r="P311" i="2"/>
  <c r="Q311" i="2"/>
  <c r="H80" i="1"/>
  <c r="N310" i="2"/>
  <c r="O310" i="2"/>
  <c r="P310" i="2"/>
  <c r="Q310" i="2"/>
  <c r="H91" i="1"/>
  <c r="N301" i="2"/>
  <c r="O301" i="2"/>
  <c r="P301" i="2"/>
  <c r="Q301" i="2"/>
  <c r="H30" i="1"/>
  <c r="N298" i="2"/>
  <c r="G30" i="1"/>
  <c r="M298" i="2"/>
  <c r="O298" i="2"/>
  <c r="P298" i="2"/>
  <c r="Q298" i="2"/>
  <c r="G17" i="1"/>
  <c r="M297" i="2"/>
  <c r="O297" i="2"/>
  <c r="H17" i="1"/>
  <c r="N297" i="2"/>
  <c r="P297" i="2"/>
  <c r="Q297" i="2"/>
  <c r="G11" i="1"/>
  <c r="M296" i="2"/>
  <c r="O296" i="2"/>
  <c r="H11" i="1"/>
  <c r="N296" i="2"/>
  <c r="P296" i="2"/>
  <c r="Q296" i="2"/>
  <c r="M293" i="2"/>
  <c r="O293" i="2"/>
  <c r="N293" i="2"/>
  <c r="P293" i="2"/>
  <c r="Q293" i="2"/>
  <c r="H27" i="1"/>
  <c r="N292" i="2"/>
  <c r="G27" i="1"/>
  <c r="M292" i="2"/>
  <c r="O292" i="2"/>
  <c r="P292" i="2"/>
  <c r="Q292" i="2"/>
  <c r="H55" i="1"/>
  <c r="N280" i="2"/>
  <c r="O280" i="2"/>
  <c r="P280" i="2"/>
  <c r="F260" i="2"/>
  <c r="F261" i="2"/>
  <c r="Q280" i="2"/>
  <c r="Q277" i="2"/>
  <c r="G93" i="1"/>
  <c r="M274" i="2"/>
  <c r="O274" i="2"/>
  <c r="Q274" i="2"/>
  <c r="N269" i="2"/>
  <c r="O269" i="2"/>
  <c r="P269" i="2"/>
  <c r="Q269" i="2"/>
  <c r="G98" i="1"/>
  <c r="M266" i="2"/>
  <c r="O266" i="2"/>
  <c r="H98" i="1"/>
  <c r="N266" i="2"/>
  <c r="P266" i="2"/>
  <c r="Q266" i="2"/>
  <c r="G18" i="1"/>
  <c r="M265" i="2"/>
  <c r="O265" i="2"/>
  <c r="H18" i="1"/>
  <c r="N265" i="2"/>
  <c r="P265" i="2"/>
  <c r="Q265" i="2"/>
  <c r="G13" i="1"/>
  <c r="M264" i="2"/>
  <c r="O264" i="2"/>
  <c r="H13" i="1"/>
  <c r="N264" i="2"/>
  <c r="P264" i="2"/>
  <c r="Q264" i="2"/>
  <c r="N263" i="2"/>
  <c r="M263" i="2"/>
  <c r="O263" i="2"/>
  <c r="P263" i="2"/>
  <c r="Q263" i="2"/>
  <c r="H88" i="1"/>
  <c r="N255" i="2"/>
  <c r="O255" i="2"/>
  <c r="P255" i="2"/>
  <c r="F233" i="2"/>
  <c r="F234" i="2"/>
  <c r="Q255" i="2"/>
  <c r="H64" i="1"/>
  <c r="N254" i="2"/>
  <c r="O254" i="2"/>
  <c r="P254" i="2"/>
  <c r="Q254" i="2"/>
  <c r="M253" i="2"/>
  <c r="O253" i="2"/>
  <c r="N253" i="2"/>
  <c r="P253" i="2"/>
  <c r="Q253" i="2"/>
  <c r="G7" i="1"/>
  <c r="M252" i="2"/>
  <c r="O252" i="2"/>
  <c r="H7" i="1"/>
  <c r="N252" i="2"/>
  <c r="P252" i="2"/>
  <c r="Q252" i="2"/>
  <c r="N249" i="2"/>
  <c r="M249" i="2"/>
  <c r="O249" i="2"/>
  <c r="P249" i="2"/>
  <c r="Q249" i="2"/>
  <c r="M248" i="2"/>
  <c r="O248" i="2"/>
  <c r="N248" i="2"/>
  <c r="P248" i="2"/>
  <c r="Q248" i="2"/>
  <c r="Q247" i="2"/>
  <c r="Q244" i="2"/>
  <c r="H76" i="1"/>
  <c r="N241" i="2"/>
  <c r="O241" i="2"/>
  <c r="P241" i="2"/>
  <c r="Q241" i="2"/>
  <c r="H20" i="1"/>
  <c r="N240" i="2"/>
  <c r="O240" i="2"/>
  <c r="P240" i="2"/>
  <c r="Q240" i="2"/>
  <c r="H96" i="1"/>
  <c r="N237" i="2"/>
  <c r="G96" i="1"/>
  <c r="M237" i="2"/>
  <c r="O237" i="2"/>
  <c r="P237" i="2"/>
  <c r="Q237" i="2"/>
  <c r="N236" i="2"/>
  <c r="O236" i="2"/>
  <c r="P236" i="2"/>
  <c r="Q236" i="2"/>
  <c r="H56" i="1"/>
  <c r="N221" i="2"/>
  <c r="O221" i="2"/>
  <c r="P221" i="2"/>
  <c r="F200" i="2"/>
  <c r="F201" i="2"/>
  <c r="Q221" i="2"/>
  <c r="N220" i="2"/>
  <c r="M220" i="2"/>
  <c r="O220" i="2"/>
  <c r="P220" i="2"/>
  <c r="Q220" i="2"/>
  <c r="H59" i="1"/>
  <c r="N217" i="2"/>
  <c r="O217" i="2"/>
  <c r="P217" i="2"/>
  <c r="Q217" i="2"/>
  <c r="N216" i="2"/>
  <c r="O216" i="2"/>
  <c r="P216" i="2"/>
  <c r="Q216" i="2"/>
  <c r="Q215" i="2"/>
  <c r="M207" i="2"/>
  <c r="O207" i="2"/>
  <c r="N207" i="2"/>
  <c r="P207" i="2"/>
  <c r="Q207" i="2"/>
  <c r="M206" i="2"/>
  <c r="O206" i="2"/>
  <c r="N206" i="2"/>
  <c r="P206" i="2"/>
  <c r="Q206" i="2"/>
  <c r="N203" i="2"/>
  <c r="O203" i="2"/>
  <c r="P203" i="2"/>
  <c r="Q203" i="2"/>
  <c r="H14" i="1"/>
  <c r="N195" i="2"/>
  <c r="O195" i="2"/>
  <c r="P195" i="2"/>
  <c r="F166" i="2"/>
  <c r="F167" i="2"/>
  <c r="Q195" i="2"/>
  <c r="Q190" i="2"/>
  <c r="O189" i="2"/>
  <c r="Q189" i="2"/>
  <c r="Q188" i="2"/>
  <c r="Q185" i="2"/>
  <c r="M184" i="2"/>
  <c r="O184" i="2"/>
  <c r="N184" i="2"/>
  <c r="P184" i="2"/>
  <c r="Q184" i="2"/>
  <c r="G99" i="1"/>
  <c r="M183" i="2"/>
  <c r="O183" i="2"/>
  <c r="H99" i="1"/>
  <c r="N183" i="2"/>
  <c r="P183" i="2"/>
  <c r="Q183" i="2"/>
  <c r="M182" i="2"/>
  <c r="O182" i="2"/>
  <c r="N182" i="2"/>
  <c r="P182" i="2"/>
  <c r="Q182" i="2"/>
  <c r="N181" i="2"/>
  <c r="M181" i="2"/>
  <c r="O181" i="2"/>
  <c r="P181" i="2"/>
  <c r="Q181" i="2"/>
  <c r="M178" i="2"/>
  <c r="O178" i="2"/>
  <c r="N178" i="2"/>
  <c r="P178" i="2"/>
  <c r="Q178" i="2"/>
  <c r="N177" i="2"/>
  <c r="M177" i="2"/>
  <c r="O177" i="2"/>
  <c r="P177" i="2"/>
  <c r="Q177" i="2"/>
  <c r="M176" i="2"/>
  <c r="O176" i="2"/>
  <c r="N176" i="2"/>
  <c r="P176" i="2"/>
  <c r="Q176" i="2"/>
  <c r="N175" i="2"/>
  <c r="O175" i="2"/>
  <c r="P175" i="2"/>
  <c r="Q175" i="2"/>
  <c r="H71" i="1"/>
  <c r="N174" i="2"/>
  <c r="O174" i="2"/>
  <c r="P174" i="2"/>
  <c r="Q174" i="2"/>
  <c r="H81" i="1"/>
  <c r="N171" i="2"/>
  <c r="O171" i="2"/>
  <c r="P171" i="2"/>
  <c r="Q171" i="2"/>
  <c r="G92" i="1"/>
  <c r="M170" i="2"/>
  <c r="O170" i="2"/>
  <c r="Q170" i="2"/>
  <c r="M157" i="2"/>
  <c r="O157" i="2"/>
  <c r="N157" i="2"/>
  <c r="P157" i="2"/>
  <c r="F142" i="2"/>
  <c r="F143" i="2"/>
  <c r="Q157" i="2"/>
  <c r="Q154" i="2"/>
  <c r="Q153" i="2"/>
  <c r="Q152" i="2"/>
  <c r="N151" i="2"/>
  <c r="O151" i="2"/>
  <c r="P151" i="2"/>
  <c r="Q151" i="2"/>
  <c r="Q150" i="2"/>
  <c r="M147" i="2"/>
  <c r="O147" i="2"/>
  <c r="N147" i="2"/>
  <c r="P147" i="2"/>
  <c r="Q147" i="2"/>
  <c r="M146" i="2"/>
  <c r="O146" i="2"/>
  <c r="N146" i="2"/>
  <c r="P146" i="2"/>
  <c r="Q146" i="2"/>
  <c r="N145" i="2"/>
  <c r="O145" i="2"/>
  <c r="P145" i="2"/>
  <c r="Q145" i="2"/>
  <c r="H6" i="1"/>
  <c r="N134" i="2"/>
  <c r="G6" i="1"/>
  <c r="M134" i="2"/>
  <c r="O134" i="2"/>
  <c r="P134" i="2"/>
  <c r="F105" i="2"/>
  <c r="F106" i="2"/>
  <c r="Q134" i="2"/>
  <c r="H23" i="1"/>
  <c r="N133" i="2"/>
  <c r="G23" i="1"/>
  <c r="M133" i="2"/>
  <c r="O133" i="2"/>
  <c r="P133" i="2"/>
  <c r="Q133" i="2"/>
  <c r="N130" i="2"/>
  <c r="O130" i="2"/>
  <c r="P130" i="2"/>
  <c r="Q130" i="2"/>
  <c r="N122" i="2"/>
  <c r="M122" i="2"/>
  <c r="O122" i="2"/>
  <c r="P122" i="2"/>
  <c r="Q122" i="2"/>
  <c r="N121" i="2"/>
  <c r="M121" i="2"/>
  <c r="O121" i="2"/>
  <c r="P121" i="2"/>
  <c r="Q121" i="2"/>
  <c r="N120" i="2"/>
  <c r="M120" i="2"/>
  <c r="O120" i="2"/>
  <c r="P120" i="2"/>
  <c r="Q120" i="2"/>
  <c r="G100" i="1"/>
  <c r="M117" i="2"/>
  <c r="O117" i="2"/>
  <c r="H100" i="1"/>
  <c r="N117" i="2"/>
  <c r="P117" i="2"/>
  <c r="Q117" i="2"/>
  <c r="Q116" i="2"/>
  <c r="N113" i="2"/>
  <c r="O113" i="2"/>
  <c r="P113" i="2"/>
  <c r="Q113" i="2"/>
  <c r="N112" i="2"/>
  <c r="M112" i="2"/>
  <c r="O112" i="2"/>
  <c r="P112" i="2"/>
  <c r="Q112" i="2"/>
  <c r="H29" i="1"/>
  <c r="N108" i="2"/>
  <c r="G29" i="1"/>
  <c r="M108" i="2"/>
  <c r="O108" i="2"/>
  <c r="P108" i="2"/>
  <c r="Q108" i="2"/>
  <c r="G45" i="1"/>
  <c r="M99" i="2"/>
  <c r="O99" i="2"/>
  <c r="H45" i="1"/>
  <c r="N99" i="2"/>
  <c r="P99" i="2"/>
  <c r="F78" i="2"/>
  <c r="F79" i="2"/>
  <c r="Q99" i="2"/>
  <c r="N94" i="2"/>
  <c r="M94" i="2"/>
  <c r="O94" i="2"/>
  <c r="P94" i="2"/>
  <c r="Q94" i="2"/>
  <c r="Q93" i="2"/>
  <c r="N92" i="2"/>
  <c r="M92" i="2"/>
  <c r="O92" i="2"/>
  <c r="P92" i="2"/>
  <c r="Q92" i="2"/>
  <c r="H26" i="1"/>
  <c r="N91" i="2"/>
  <c r="G26" i="1"/>
  <c r="M91" i="2"/>
  <c r="O91" i="2"/>
  <c r="P91" i="2"/>
  <c r="Q91" i="2"/>
  <c r="N90" i="2"/>
  <c r="M90" i="2"/>
  <c r="O90" i="2"/>
  <c r="P90" i="2"/>
  <c r="Q90" i="2"/>
  <c r="H62" i="1"/>
  <c r="N89" i="2"/>
  <c r="G62" i="1"/>
  <c r="M89" i="2"/>
  <c r="O89" i="2"/>
  <c r="P89" i="2"/>
  <c r="Q89" i="2"/>
  <c r="N86" i="2"/>
  <c r="M86" i="2"/>
  <c r="O86" i="2"/>
  <c r="P86" i="2"/>
  <c r="Q86" i="2"/>
  <c r="M85" i="2"/>
  <c r="O85" i="2"/>
  <c r="N85" i="2"/>
  <c r="P85" i="2"/>
  <c r="Q85" i="2"/>
  <c r="M84" i="2"/>
  <c r="O84" i="2"/>
  <c r="N84" i="2"/>
  <c r="P84" i="2"/>
  <c r="Q84" i="2"/>
  <c r="H28" i="1"/>
  <c r="N81" i="2"/>
  <c r="G28" i="1"/>
  <c r="M81" i="2"/>
  <c r="O81" i="2"/>
  <c r="P81" i="2"/>
  <c r="Q81" i="2"/>
  <c r="N70" i="2"/>
  <c r="M70" i="2"/>
  <c r="O70" i="2"/>
  <c r="P70" i="2"/>
  <c r="F55" i="2"/>
  <c r="F56" i="2"/>
  <c r="Q70" i="2"/>
  <c r="N69" i="2"/>
  <c r="M69" i="2"/>
  <c r="O69" i="2"/>
  <c r="P69" i="2"/>
  <c r="Q69" i="2"/>
  <c r="N68" i="2"/>
  <c r="M68" i="2"/>
  <c r="O68" i="2"/>
  <c r="P68" i="2"/>
  <c r="Q68" i="2"/>
  <c r="H40" i="1"/>
  <c r="N67" i="2"/>
  <c r="G40" i="1"/>
  <c r="M67" i="2"/>
  <c r="O67" i="2"/>
  <c r="P67" i="2"/>
  <c r="Q67" i="2"/>
  <c r="N66" i="2"/>
  <c r="M66" i="2"/>
  <c r="O66" i="2"/>
  <c r="P66" i="2"/>
  <c r="Q66" i="2"/>
  <c r="M63" i="2"/>
  <c r="O63" i="2"/>
  <c r="N63" i="2"/>
  <c r="P63" i="2"/>
  <c r="Q63" i="2"/>
  <c r="Q62" i="2"/>
  <c r="N59" i="2"/>
  <c r="M59" i="2"/>
  <c r="O59" i="2"/>
  <c r="P59" i="2"/>
  <c r="Q59" i="2"/>
  <c r="O58" i="2"/>
  <c r="M58" i="2"/>
  <c r="N58" i="2"/>
  <c r="P58" i="2"/>
  <c r="Q58" i="2"/>
  <c r="N52" i="2"/>
  <c r="M52" i="2"/>
  <c r="O52" i="2"/>
  <c r="P52" i="2"/>
  <c r="Q52" i="2"/>
  <c r="H78" i="1"/>
  <c r="N51" i="2"/>
  <c r="G78" i="1"/>
  <c r="M51" i="2"/>
  <c r="O51" i="2"/>
  <c r="P51" i="2"/>
  <c r="Q51" i="2"/>
  <c r="H43" i="1"/>
  <c r="N50" i="2"/>
  <c r="O50" i="2"/>
  <c r="P50" i="2"/>
  <c r="Q50" i="2"/>
  <c r="N47" i="2"/>
  <c r="O47" i="2"/>
  <c r="P47" i="2"/>
  <c r="Q47" i="2"/>
  <c r="N42" i="2"/>
  <c r="M42" i="2"/>
  <c r="O42" i="2"/>
  <c r="P42" i="2"/>
  <c r="Q42" i="2"/>
  <c r="H68" i="1"/>
  <c r="G68" i="1"/>
  <c r="N43" i="2"/>
  <c r="M43" i="2"/>
  <c r="O43" i="2"/>
  <c r="P43" i="2"/>
  <c r="Q43" i="2"/>
  <c r="N41" i="2"/>
  <c r="M41" i="2"/>
  <c r="O41" i="2"/>
  <c r="P41" i="2"/>
  <c r="Q41" i="2"/>
  <c r="M38" i="2"/>
  <c r="H92" i="1"/>
  <c r="N38" i="2"/>
  <c r="O38" i="2"/>
  <c r="Q38" i="2"/>
  <c r="H33" i="1"/>
  <c r="N37" i="2"/>
  <c r="O37" i="2"/>
  <c r="P37" i="2"/>
  <c r="Q37" i="2"/>
  <c r="N36" i="2"/>
  <c r="M36" i="2"/>
  <c r="O36" i="2"/>
  <c r="P36" i="2"/>
  <c r="Q36" i="2"/>
  <c r="G94" i="1"/>
  <c r="M28" i="2"/>
  <c r="O28" i="2"/>
  <c r="H94" i="1"/>
  <c r="N28" i="2"/>
  <c r="P28" i="2"/>
  <c r="F16" i="2"/>
  <c r="Q28" i="2"/>
  <c r="G53" i="1"/>
  <c r="M22" i="2"/>
  <c r="O22" i="2"/>
  <c r="H53" i="1"/>
  <c r="N22" i="2"/>
  <c r="P22" i="2"/>
  <c r="Q22" i="2"/>
  <c r="M21" i="2"/>
  <c r="O21" i="2"/>
  <c r="N21" i="2"/>
  <c r="P21" i="2"/>
  <c r="Q21" i="2"/>
  <c r="M20" i="2"/>
  <c r="O20" i="2"/>
  <c r="N20" i="2"/>
  <c r="P20" i="2"/>
  <c r="Q20" i="2"/>
  <c r="G12" i="1"/>
  <c r="M19" i="2"/>
  <c r="O19" i="2"/>
  <c r="H12" i="1"/>
  <c r="N19" i="2"/>
  <c r="P19" i="2"/>
  <c r="Q19" i="2"/>
  <c r="G22" i="1"/>
  <c r="M18" i="2"/>
  <c r="O18" i="2"/>
  <c r="H22" i="1"/>
  <c r="N18" i="2"/>
  <c r="P18" i="2"/>
  <c r="Q18" i="2"/>
  <c r="F4" i="2"/>
  <c r="Q9" i="2"/>
  <c r="Q8" i="2"/>
  <c r="Q7" i="2"/>
  <c r="Q6" i="2"/>
  <c r="L2" i="1"/>
  <c r="G2" i="1"/>
  <c r="F324" i="2"/>
  <c r="F325" i="2"/>
  <c r="R331" i="2"/>
  <c r="S331" i="2"/>
  <c r="T331" i="2"/>
  <c r="F392" i="2"/>
  <c r="F393" i="2"/>
  <c r="R406" i="2"/>
  <c r="S406" i="2"/>
  <c r="T406" i="2"/>
  <c r="M428" i="2"/>
  <c r="G428" i="2"/>
  <c r="R428" i="2"/>
  <c r="H2" i="1"/>
  <c r="N428" i="2"/>
  <c r="S428" i="2"/>
  <c r="T428" i="2"/>
  <c r="K2" i="1"/>
  <c r="J2" i="1"/>
  <c r="I2" i="1"/>
  <c r="O428" i="2"/>
  <c r="P428" i="2"/>
  <c r="D428" i="2"/>
  <c r="C428" i="2"/>
  <c r="B428" i="2"/>
  <c r="H18" i="5"/>
  <c r="H19" i="5"/>
  <c r="H24" i="5"/>
  <c r="G427" i="2"/>
  <c r="G426" i="2"/>
  <c r="H9" i="1"/>
  <c r="N426" i="2"/>
  <c r="G9" i="1"/>
  <c r="M426" i="2"/>
  <c r="P426" i="2"/>
  <c r="R426" i="2"/>
  <c r="S426" i="2"/>
  <c r="T426" i="2"/>
  <c r="G50" i="1"/>
  <c r="D426" i="2"/>
  <c r="C426" i="2"/>
  <c r="B426" i="2"/>
  <c r="G422" i="2"/>
  <c r="R422" i="2"/>
  <c r="S422" i="2"/>
  <c r="T422" i="2"/>
  <c r="M422" i="2"/>
  <c r="D422" i="2"/>
  <c r="C422" i="2"/>
  <c r="B422" i="2"/>
  <c r="L59" i="1"/>
  <c r="M18" i="5"/>
  <c r="M19" i="5"/>
  <c r="F203" i="2"/>
  <c r="F204" i="2"/>
  <c r="R217" i="2"/>
  <c r="S217" i="2"/>
  <c r="T217" i="2"/>
  <c r="K59" i="1"/>
  <c r="J59" i="1"/>
  <c r="I59" i="1"/>
  <c r="G59" i="1"/>
  <c r="L58" i="1"/>
  <c r="H58" i="1"/>
  <c r="G58" i="1"/>
  <c r="M427" i="2"/>
  <c r="P427" i="2"/>
  <c r="N427" i="2"/>
  <c r="R427" i="2"/>
  <c r="S427" i="2"/>
  <c r="T427" i="2"/>
  <c r="K58" i="1"/>
  <c r="J58" i="1"/>
  <c r="I58" i="1"/>
  <c r="I9" i="1"/>
  <c r="E4" i="3"/>
  <c r="F4" i="3" s="1"/>
  <c r="J9" i="1"/>
  <c r="G4" i="3"/>
  <c r="K9" i="1"/>
  <c r="H4" i="3"/>
  <c r="L9" i="1"/>
  <c r="J4" i="3"/>
  <c r="E8" i="3"/>
  <c r="F8" i="3" s="1"/>
  <c r="G8" i="3"/>
  <c r="H8" i="3"/>
  <c r="J8" i="3"/>
  <c r="G74" i="1"/>
  <c r="M420" i="2"/>
  <c r="G420" i="2"/>
  <c r="R420" i="2"/>
  <c r="H74" i="1"/>
  <c r="N420" i="2"/>
  <c r="S420" i="2"/>
  <c r="T420" i="2"/>
  <c r="G75" i="1"/>
  <c r="M419" i="2"/>
  <c r="E18" i="5"/>
  <c r="E19" i="5"/>
  <c r="E24" i="5"/>
  <c r="G419" i="2"/>
  <c r="R419" i="2"/>
  <c r="H75" i="1"/>
  <c r="N419" i="2"/>
  <c r="S419" i="2"/>
  <c r="T419" i="2"/>
  <c r="B423" i="2"/>
  <c r="J44" i="5"/>
  <c r="D427" i="2"/>
  <c r="C427" i="2"/>
  <c r="B427" i="2"/>
  <c r="D421" i="2"/>
  <c r="C421" i="2"/>
  <c r="B421" i="2"/>
  <c r="D429" i="2"/>
  <c r="C429" i="2"/>
  <c r="B429" i="2"/>
  <c r="D423" i="2"/>
  <c r="C423" i="2"/>
  <c r="D425" i="2"/>
  <c r="C425" i="2"/>
  <c r="B425" i="2"/>
  <c r="D424" i="2"/>
  <c r="C424" i="2"/>
  <c r="B424" i="2"/>
  <c r="D420" i="2"/>
  <c r="C420" i="2"/>
  <c r="B420" i="2"/>
  <c r="D419" i="2"/>
  <c r="C419" i="2"/>
  <c r="B419" i="2"/>
  <c r="G421" i="2"/>
  <c r="R421" i="2"/>
  <c r="S421" i="2"/>
  <c r="T421" i="2"/>
  <c r="G429" i="2"/>
  <c r="R429" i="2"/>
  <c r="S429" i="2"/>
  <c r="T429" i="2"/>
  <c r="G423" i="2"/>
  <c r="R423" i="2"/>
  <c r="S423" i="2"/>
  <c r="T423" i="2"/>
  <c r="G425" i="2"/>
  <c r="R425" i="2"/>
  <c r="S425" i="2"/>
  <c r="T425" i="2"/>
  <c r="G424" i="2"/>
  <c r="R424" i="2"/>
  <c r="S424" i="2"/>
  <c r="T424" i="2"/>
  <c r="G69" i="1"/>
  <c r="M421" i="2"/>
  <c r="G19" i="1"/>
  <c r="M423" i="2"/>
  <c r="P423" i="2"/>
  <c r="H19" i="1"/>
  <c r="N423" i="2"/>
  <c r="G77" i="1"/>
  <c r="M425" i="2"/>
  <c r="G54" i="1"/>
  <c r="M424" i="2"/>
  <c r="P420" i="2"/>
  <c r="O420" i="2"/>
  <c r="P419" i="2"/>
  <c r="O419" i="2"/>
  <c r="L50" i="1"/>
  <c r="K50" i="1"/>
  <c r="J50" i="1"/>
  <c r="I50" i="1"/>
  <c r="L69" i="1"/>
  <c r="K69" i="1"/>
  <c r="J69" i="1"/>
  <c r="I69" i="1"/>
  <c r="L74" i="1"/>
  <c r="K74" i="1"/>
  <c r="J74" i="1"/>
  <c r="I74" i="1"/>
  <c r="L75" i="1"/>
  <c r="K75" i="1"/>
  <c r="J75" i="1"/>
  <c r="I75" i="1"/>
  <c r="L54" i="1"/>
  <c r="K54" i="1"/>
  <c r="J54" i="1"/>
  <c r="I54" i="1"/>
  <c r="L19" i="1"/>
  <c r="K19" i="1"/>
  <c r="J19" i="1"/>
  <c r="I19" i="1"/>
  <c r="L8" i="1"/>
  <c r="K8" i="1"/>
  <c r="J8" i="1"/>
  <c r="I8" i="1"/>
  <c r="E60" i="3"/>
  <c r="F60" i="3" s="1"/>
  <c r="G60" i="3"/>
  <c r="H60" i="3"/>
  <c r="J60" i="3"/>
  <c r="E74" i="3"/>
  <c r="F74" i="3" s="1"/>
  <c r="G74" i="3"/>
  <c r="H74" i="3"/>
  <c r="J74" i="3"/>
  <c r="E85" i="3"/>
  <c r="F85" i="3" s="1"/>
  <c r="G85" i="3"/>
  <c r="H85" i="3"/>
  <c r="J85" i="3"/>
  <c r="E9" i="3"/>
  <c r="F9" i="3" s="1"/>
  <c r="G9" i="3"/>
  <c r="H9" i="3"/>
  <c r="J9" i="3"/>
  <c r="E7" i="3"/>
  <c r="F7" i="3" s="1"/>
  <c r="G7" i="3"/>
  <c r="H7" i="3"/>
  <c r="J7" i="3"/>
  <c r="E5" i="3"/>
  <c r="F5" i="3" s="1"/>
  <c r="G5" i="3"/>
  <c r="H5" i="3"/>
  <c r="J5" i="3"/>
  <c r="E10" i="3"/>
  <c r="F10" i="3" s="1"/>
  <c r="G10" i="3"/>
  <c r="H10" i="3"/>
  <c r="J10" i="3"/>
  <c r="D37" i="3"/>
  <c r="D32" i="3"/>
  <c r="D25" i="3"/>
  <c r="J18" i="5"/>
  <c r="F108" i="2"/>
  <c r="F109" i="2"/>
  <c r="R117" i="2"/>
  <c r="I100" i="1"/>
  <c r="J19" i="5"/>
  <c r="F359" i="2"/>
  <c r="F360" i="2"/>
  <c r="R375" i="2"/>
  <c r="I101" i="1"/>
  <c r="E38" i="3"/>
  <c r="F38" i="3" s="1"/>
  <c r="O38" i="3" s="1"/>
  <c r="F169" i="2"/>
  <c r="F170" i="2"/>
  <c r="R183" i="2"/>
  <c r="I99" i="1"/>
  <c r="E37" i="3"/>
  <c r="F263" i="2"/>
  <c r="F264" i="2"/>
  <c r="R266" i="2"/>
  <c r="I98" i="1"/>
  <c r="E36" i="3"/>
  <c r="F36" i="3" s="1"/>
  <c r="O36" i="3" s="1"/>
  <c r="F18" i="2"/>
  <c r="F19" i="2"/>
  <c r="R28" i="2"/>
  <c r="I94" i="1"/>
  <c r="E35" i="3"/>
  <c r="F35" i="3" s="1"/>
  <c r="K18" i="5"/>
  <c r="K19" i="5"/>
  <c r="K24" i="5"/>
  <c r="N18" i="5"/>
  <c r="N19" i="5"/>
  <c r="N24" i="5"/>
  <c r="R51" i="2"/>
  <c r="I78" i="1"/>
  <c r="E34" i="3"/>
  <c r="F34" i="3" s="1"/>
  <c r="O34" i="3" s="1"/>
  <c r="R407" i="2"/>
  <c r="I72" i="1"/>
  <c r="F145" i="2"/>
  <c r="F146" i="2"/>
  <c r="R157" i="2"/>
  <c r="R376" i="2"/>
  <c r="I73" i="1"/>
  <c r="E33" i="3"/>
  <c r="D33" i="3"/>
  <c r="R21" i="2"/>
  <c r="I68" i="1"/>
  <c r="E32" i="3"/>
  <c r="F58" i="2"/>
  <c r="F59" i="2"/>
  <c r="R58" i="2"/>
  <c r="F290" i="2"/>
  <c r="F291" i="2"/>
  <c r="R293" i="2"/>
  <c r="R405" i="2"/>
  <c r="I66" i="1"/>
  <c r="E31" i="3"/>
  <c r="F31" i="3" s="1"/>
  <c r="O31" i="3" s="1"/>
  <c r="G65" i="1"/>
  <c r="M9" i="2"/>
  <c r="F6" i="2"/>
  <c r="F7" i="2"/>
  <c r="R9" i="2"/>
  <c r="I65" i="1"/>
  <c r="E30" i="3"/>
  <c r="F30" i="3" s="1"/>
  <c r="R63" i="2"/>
  <c r="R176" i="2"/>
  <c r="F236" i="2"/>
  <c r="F237" i="2"/>
  <c r="R248" i="2"/>
  <c r="R361" i="2"/>
  <c r="I60" i="1"/>
  <c r="E29" i="3"/>
  <c r="F29" i="3" s="1"/>
  <c r="O29" i="3" s="1"/>
  <c r="R22" i="2"/>
  <c r="I53" i="1"/>
  <c r="E28" i="3"/>
  <c r="F28" i="3" s="1"/>
  <c r="G52" i="1"/>
  <c r="M188" i="2"/>
  <c r="R188" i="2"/>
  <c r="M348" i="2"/>
  <c r="R348" i="2"/>
  <c r="I52" i="1"/>
  <c r="E27" i="3"/>
  <c r="F27" i="3" s="1"/>
  <c r="R42" i="2"/>
  <c r="R206" i="2"/>
  <c r="R341" i="2"/>
  <c r="R370" i="2"/>
  <c r="I51" i="1"/>
  <c r="E26" i="3"/>
  <c r="F26" i="3" s="1"/>
  <c r="O26" i="3" s="1"/>
  <c r="F81" i="2"/>
  <c r="F82" i="2"/>
  <c r="R99" i="2"/>
  <c r="I45" i="1"/>
  <c r="E25" i="3"/>
  <c r="R189" i="2"/>
  <c r="I39" i="1"/>
  <c r="E6" i="3"/>
  <c r="F6" i="3" s="1"/>
  <c r="I44" i="1"/>
  <c r="E24" i="3"/>
  <c r="F24" i="3" s="1"/>
  <c r="R36" i="2"/>
  <c r="R122" i="2"/>
  <c r="R177" i="2"/>
  <c r="R249" i="2"/>
  <c r="G90" i="1"/>
  <c r="M6" i="2"/>
  <c r="R6" i="2"/>
  <c r="G3" i="1"/>
  <c r="M7" i="2"/>
  <c r="R7" i="2"/>
  <c r="G4" i="1"/>
  <c r="M8" i="2"/>
  <c r="R8" i="2"/>
  <c r="R18" i="2"/>
  <c r="R19" i="2"/>
  <c r="R20" i="2"/>
  <c r="R37" i="2"/>
  <c r="P38" i="2"/>
  <c r="R38" i="2"/>
  <c r="R41" i="2"/>
  <c r="R43" i="2"/>
  <c r="R47" i="2"/>
  <c r="R50" i="2"/>
  <c r="R52" i="2"/>
  <c r="R59" i="2"/>
  <c r="G41" i="1"/>
  <c r="M62" i="2"/>
  <c r="R62" i="2"/>
  <c r="R66" i="2"/>
  <c r="R67" i="2"/>
  <c r="R68" i="2"/>
  <c r="R69" i="2"/>
  <c r="R70" i="2"/>
  <c r="R81" i="2"/>
  <c r="R84" i="2"/>
  <c r="R85" i="2"/>
  <c r="R86" i="2"/>
  <c r="R89" i="2"/>
  <c r="R90" i="2"/>
  <c r="R91" i="2"/>
  <c r="R92" i="2"/>
  <c r="G5" i="1"/>
  <c r="M93" i="2"/>
  <c r="R93" i="2"/>
  <c r="R94" i="2"/>
  <c r="R108" i="2"/>
  <c r="R112" i="2"/>
  <c r="R113" i="2"/>
  <c r="G86" i="1"/>
  <c r="M116" i="2"/>
  <c r="R116" i="2"/>
  <c r="R120" i="2"/>
  <c r="R121" i="2"/>
  <c r="R130" i="2"/>
  <c r="R133" i="2"/>
  <c r="R134" i="2"/>
  <c r="R145" i="2"/>
  <c r="R146" i="2"/>
  <c r="R147" i="2"/>
  <c r="M150" i="2"/>
  <c r="R150" i="2"/>
  <c r="R151" i="2"/>
  <c r="G36" i="1"/>
  <c r="M152" i="2"/>
  <c r="R152" i="2"/>
  <c r="G38" i="1"/>
  <c r="M153" i="2"/>
  <c r="R153" i="2"/>
  <c r="M154" i="2"/>
  <c r="R154" i="2"/>
  <c r="R170" i="2"/>
  <c r="R171" i="2"/>
  <c r="R174" i="2"/>
  <c r="R175" i="2"/>
  <c r="R178" i="2"/>
  <c r="R181" i="2"/>
  <c r="R182" i="2"/>
  <c r="R184" i="2"/>
  <c r="G83" i="1"/>
  <c r="M185" i="2"/>
  <c r="R185" i="2"/>
  <c r="G87" i="1"/>
  <c r="M190" i="2"/>
  <c r="R190" i="2"/>
  <c r="R195" i="2"/>
  <c r="R203" i="2"/>
  <c r="R207" i="2"/>
  <c r="G89" i="1"/>
  <c r="M215" i="2"/>
  <c r="R215" i="2"/>
  <c r="R216" i="2"/>
  <c r="R220" i="2"/>
  <c r="R221" i="2"/>
  <c r="R236" i="2"/>
  <c r="R237" i="2"/>
  <c r="R240" i="2"/>
  <c r="R241" i="2"/>
  <c r="M244" i="2"/>
  <c r="R244" i="2"/>
  <c r="M247" i="2"/>
  <c r="R247" i="2"/>
  <c r="R252" i="2"/>
  <c r="R253" i="2"/>
  <c r="R254" i="2"/>
  <c r="R255" i="2"/>
  <c r="R263" i="2"/>
  <c r="R264" i="2"/>
  <c r="R265" i="2"/>
  <c r="R269" i="2"/>
  <c r="R274" i="2"/>
  <c r="G61" i="1"/>
  <c r="M277" i="2"/>
  <c r="R277" i="2"/>
  <c r="R280" i="2"/>
  <c r="R292" i="2"/>
  <c r="R296" i="2"/>
  <c r="R297" i="2"/>
  <c r="R298" i="2"/>
  <c r="R301" i="2"/>
  <c r="R310" i="2"/>
  <c r="R311" i="2"/>
  <c r="R312" i="2"/>
  <c r="R313" i="2"/>
  <c r="R314" i="2"/>
  <c r="M326" i="2"/>
  <c r="R326" i="2"/>
  <c r="R329" i="2"/>
  <c r="R330" i="2"/>
  <c r="R332" i="2"/>
  <c r="R333" i="2"/>
  <c r="R334" i="2"/>
  <c r="R335" i="2"/>
  <c r="R336" i="2"/>
  <c r="R339" i="2"/>
  <c r="R340" i="2"/>
  <c r="G84" i="1"/>
  <c r="M342" i="2"/>
  <c r="R342" i="2"/>
  <c r="M347" i="2"/>
  <c r="R347" i="2"/>
  <c r="R359" i="2"/>
  <c r="M360" i="2"/>
  <c r="R360" i="2"/>
  <c r="R362" i="2"/>
  <c r="R363" i="2"/>
  <c r="R366" i="2"/>
  <c r="R367" i="2"/>
  <c r="R371" i="2"/>
  <c r="R374" i="2"/>
  <c r="R377" i="2"/>
  <c r="M380" i="2"/>
  <c r="R380" i="2"/>
  <c r="G85" i="1"/>
  <c r="M381" i="2"/>
  <c r="R381" i="2"/>
  <c r="R394" i="2"/>
  <c r="R397" i="2"/>
  <c r="M398" i="2"/>
  <c r="R398" i="2"/>
  <c r="R399" i="2"/>
  <c r="R400" i="2"/>
  <c r="R401" i="2"/>
  <c r="R404" i="2"/>
  <c r="M410" i="2"/>
  <c r="R410" i="2"/>
  <c r="I42" i="1"/>
  <c r="E23" i="3"/>
  <c r="F23" i="3" s="1"/>
  <c r="O23" i="3" s="1"/>
  <c r="I41" i="1"/>
  <c r="E22" i="3"/>
  <c r="F22" i="3" s="1"/>
  <c r="I33" i="1"/>
  <c r="I34" i="1"/>
  <c r="E21" i="3"/>
  <c r="F21" i="3" s="1"/>
  <c r="I32" i="1"/>
  <c r="E109" i="3"/>
  <c r="F109" i="3" s="1"/>
  <c r="I22" i="1"/>
  <c r="E20" i="3"/>
  <c r="F20" i="3" s="1"/>
  <c r="I16" i="1"/>
  <c r="I17" i="1"/>
  <c r="I18" i="1"/>
  <c r="E19" i="3"/>
  <c r="F19" i="3" s="1"/>
  <c r="O19" i="3" s="1"/>
  <c r="I15" i="1"/>
  <c r="E18" i="3"/>
  <c r="F18" i="3" s="1"/>
  <c r="O18" i="3" s="1"/>
  <c r="I10" i="1"/>
  <c r="I11" i="1"/>
  <c r="I12" i="1"/>
  <c r="I13" i="1"/>
  <c r="E17" i="3"/>
  <c r="F17" i="3" s="1"/>
  <c r="O17" i="3" s="1"/>
  <c r="I4" i="1"/>
  <c r="E15" i="3"/>
  <c r="F15" i="3" s="1"/>
  <c r="I3" i="1"/>
  <c r="E14" i="3"/>
  <c r="F14" i="3" s="1"/>
  <c r="I95" i="1"/>
  <c r="E13" i="3"/>
  <c r="F13" i="3" s="1"/>
  <c r="I56" i="1"/>
  <c r="E12" i="3"/>
  <c r="F12" i="3" s="1"/>
  <c r="I91" i="1"/>
  <c r="E11" i="3"/>
  <c r="F11" i="3" s="1"/>
  <c r="I89" i="1"/>
  <c r="E103" i="3"/>
  <c r="F103" i="3" s="1"/>
  <c r="I88" i="1"/>
  <c r="E102" i="3"/>
  <c r="F102" i="3" s="1"/>
  <c r="I87" i="1"/>
  <c r="E101" i="3"/>
  <c r="F101" i="3" s="1"/>
  <c r="I86" i="1"/>
  <c r="E100" i="3"/>
  <c r="F100" i="3" s="1"/>
  <c r="I85" i="1"/>
  <c r="E99" i="3"/>
  <c r="F99" i="3" s="1"/>
  <c r="I84" i="1"/>
  <c r="E98" i="3"/>
  <c r="F98" i="3" s="1"/>
  <c r="I83" i="1"/>
  <c r="E97" i="3"/>
  <c r="F97" i="3" s="1"/>
  <c r="I82" i="1"/>
  <c r="E96" i="3"/>
  <c r="F96" i="3" s="1"/>
  <c r="I81" i="1"/>
  <c r="E94" i="3"/>
  <c r="F94" i="3" s="1"/>
  <c r="I80" i="1"/>
  <c r="E93" i="3"/>
  <c r="F93" i="3" s="1"/>
  <c r="I79" i="1"/>
  <c r="I77" i="1"/>
  <c r="E90" i="3"/>
  <c r="F90" i="3" s="1"/>
  <c r="I76" i="1"/>
  <c r="E89" i="3"/>
  <c r="F89" i="3" s="1"/>
  <c r="I71" i="1"/>
  <c r="E88" i="3"/>
  <c r="F88" i="3" s="1"/>
  <c r="I70" i="1"/>
  <c r="E87" i="3"/>
  <c r="F87" i="3" s="1"/>
  <c r="I64" i="1"/>
  <c r="E83" i="3"/>
  <c r="F83" i="3" s="1"/>
  <c r="I63" i="1"/>
  <c r="E82" i="3"/>
  <c r="F82" i="3" s="1"/>
  <c r="E81" i="3"/>
  <c r="F81" i="3" s="1"/>
  <c r="I57" i="1"/>
  <c r="E80" i="3"/>
  <c r="F80" i="3" s="1"/>
  <c r="I55" i="1"/>
  <c r="E78" i="3"/>
  <c r="F78" i="3" s="1"/>
  <c r="I46" i="1"/>
  <c r="E69" i="3"/>
  <c r="F69" i="3" s="1"/>
  <c r="I43" i="1"/>
  <c r="E68" i="3"/>
  <c r="F68" i="3" s="1"/>
  <c r="I25" i="1"/>
  <c r="E65" i="3"/>
  <c r="F65" i="3" s="1"/>
  <c r="I20" i="1"/>
  <c r="E63" i="3"/>
  <c r="F63" i="3" s="1"/>
  <c r="I14" i="1"/>
  <c r="E61" i="3"/>
  <c r="F61" i="3" s="1"/>
  <c r="I90" i="1"/>
  <c r="E104" i="3"/>
  <c r="F104" i="3" s="1"/>
  <c r="I62" i="1"/>
  <c r="E57" i="3"/>
  <c r="F57" i="3" s="1"/>
  <c r="I49" i="1"/>
  <c r="E56" i="3"/>
  <c r="F56" i="3" s="1"/>
  <c r="I48" i="1"/>
  <c r="E55" i="3"/>
  <c r="F55" i="3" s="1"/>
  <c r="I47" i="1"/>
  <c r="E54" i="3"/>
  <c r="F54" i="3" s="1"/>
  <c r="I40" i="1"/>
  <c r="E53" i="3"/>
  <c r="F53" i="3" s="1"/>
  <c r="I31" i="1"/>
  <c r="E52" i="3"/>
  <c r="F52" i="3" s="1"/>
  <c r="I30" i="1"/>
  <c r="E51" i="3"/>
  <c r="F51" i="3" s="1"/>
  <c r="I29" i="1"/>
  <c r="E50" i="3"/>
  <c r="F50" i="3" s="1"/>
  <c r="I28" i="1"/>
  <c r="E49" i="3"/>
  <c r="F49" i="3" s="1"/>
  <c r="I27" i="1"/>
  <c r="E48" i="3"/>
  <c r="F48" i="3" s="1"/>
  <c r="I26" i="1"/>
  <c r="E47" i="3"/>
  <c r="F47" i="3" s="1"/>
  <c r="I24" i="1"/>
  <c r="E44" i="3"/>
  <c r="F44" i="3" s="1"/>
  <c r="I23" i="1"/>
  <c r="E43" i="3"/>
  <c r="F43" i="3" s="1"/>
  <c r="I21" i="1"/>
  <c r="E42" i="3"/>
  <c r="F42" i="3" s="1"/>
  <c r="I6" i="1"/>
  <c r="E41" i="3"/>
  <c r="F41" i="3" s="1"/>
  <c r="I5" i="1"/>
  <c r="E40" i="3"/>
  <c r="F40" i="3" s="1"/>
  <c r="I96" i="1"/>
  <c r="I97" i="1"/>
  <c r="E113" i="3"/>
  <c r="F113" i="3" s="1"/>
  <c r="I38" i="1"/>
  <c r="E112" i="3"/>
  <c r="F112" i="3" s="1"/>
  <c r="I36" i="1"/>
  <c r="E111" i="3"/>
  <c r="F111" i="3" s="1"/>
  <c r="I35" i="1"/>
  <c r="E110" i="3"/>
  <c r="F110" i="3" s="1"/>
  <c r="I61" i="1"/>
  <c r="E39" i="3"/>
  <c r="F39" i="3" s="1"/>
  <c r="I92" i="1"/>
  <c r="I93" i="1"/>
  <c r="E3" i="3"/>
  <c r="F3" i="3" s="1"/>
  <c r="I37" i="1"/>
  <c r="E2" i="3"/>
  <c r="F2" i="3" s="1"/>
  <c r="I7" i="1"/>
  <c r="E16" i="3"/>
  <c r="D16" i="3"/>
  <c r="G19" i="5"/>
  <c r="J43" i="5"/>
  <c r="M24" i="5"/>
  <c r="L18" i="5"/>
  <c r="L19" i="5"/>
  <c r="L24" i="5"/>
  <c r="J24" i="5"/>
  <c r="I18" i="5"/>
  <c r="I19" i="5"/>
  <c r="I24" i="5"/>
  <c r="G18" i="5"/>
  <c r="G24" i="5"/>
  <c r="F18" i="5"/>
  <c r="F19" i="5"/>
  <c r="F24" i="5"/>
  <c r="D18" i="5"/>
  <c r="D19" i="5"/>
  <c r="D24" i="5"/>
  <c r="C18" i="5"/>
  <c r="C19" i="5"/>
  <c r="C24" i="5"/>
  <c r="B18" i="5"/>
  <c r="B19" i="5"/>
  <c r="B24" i="5"/>
  <c r="A389" i="2"/>
  <c r="A356" i="2"/>
  <c r="A321" i="2"/>
  <c r="A287" i="2"/>
  <c r="A260" i="2"/>
  <c r="A233" i="2"/>
  <c r="A200" i="2"/>
  <c r="A166" i="2"/>
  <c r="A142" i="2"/>
  <c r="A105" i="2"/>
  <c r="A78" i="2"/>
  <c r="A55" i="2"/>
  <c r="A3" i="2"/>
  <c r="A15" i="2"/>
  <c r="A33" i="2"/>
  <c r="L44" i="1"/>
  <c r="S189" i="2"/>
  <c r="T189" i="2"/>
  <c r="K44" i="1"/>
  <c r="J44" i="1"/>
  <c r="H44" i="1"/>
  <c r="G44" i="1"/>
  <c r="G24" i="3"/>
  <c r="H24" i="3"/>
  <c r="J24" i="3"/>
  <c r="L65" i="1"/>
  <c r="H65" i="1"/>
  <c r="S84" i="2"/>
  <c r="T84" i="2"/>
  <c r="S147" i="2"/>
  <c r="T147" i="2"/>
  <c r="S297" i="2"/>
  <c r="T297" i="2"/>
  <c r="N9" i="2"/>
  <c r="S9" i="2"/>
  <c r="T9" i="2"/>
  <c r="K65" i="1"/>
  <c r="J65" i="1"/>
  <c r="L4" i="1"/>
  <c r="H3" i="1"/>
  <c r="H4" i="1"/>
  <c r="N8" i="2"/>
  <c r="S8" i="2"/>
  <c r="T8" i="2"/>
  <c r="K4" i="1"/>
  <c r="J4" i="1"/>
  <c r="L3" i="1"/>
  <c r="N7" i="2"/>
  <c r="S7" i="2"/>
  <c r="T7" i="2"/>
  <c r="K3" i="1"/>
  <c r="J3" i="1"/>
  <c r="G14" i="3"/>
  <c r="H14" i="3"/>
  <c r="J14" i="3"/>
  <c r="G30" i="3"/>
  <c r="H30" i="3"/>
  <c r="N30" i="3" s="1"/>
  <c r="J30" i="3"/>
  <c r="G15" i="3"/>
  <c r="H15" i="3"/>
  <c r="J15" i="3"/>
  <c r="AA10" i="2"/>
  <c r="AD10" i="2"/>
  <c r="AC10" i="2"/>
  <c r="AB10" i="2"/>
  <c r="V10" i="2"/>
  <c r="Y10" i="2"/>
  <c r="X10" i="2"/>
  <c r="W10" i="2"/>
  <c r="H90" i="1"/>
  <c r="D10" i="2"/>
  <c r="C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90" i="1"/>
  <c r="H52" i="1"/>
  <c r="N348" i="2"/>
  <c r="S348" i="2"/>
  <c r="T348" i="2"/>
  <c r="N6" i="2"/>
  <c r="S6" i="2"/>
  <c r="T6" i="2"/>
  <c r="K90" i="1"/>
  <c r="J90" i="1"/>
  <c r="G104" i="3"/>
  <c r="H104" i="3"/>
  <c r="J104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S117" i="2"/>
  <c r="J100" i="1"/>
  <c r="S375" i="2"/>
  <c r="J101" i="1"/>
  <c r="G38" i="3"/>
  <c r="T117" i="2"/>
  <c r="K100" i="1"/>
  <c r="T375" i="2"/>
  <c r="K101" i="1"/>
  <c r="H38" i="3"/>
  <c r="L100" i="1"/>
  <c r="L101" i="1"/>
  <c r="J38" i="3"/>
  <c r="S183" i="2"/>
  <c r="J99" i="1"/>
  <c r="G37" i="3"/>
  <c r="T183" i="2"/>
  <c r="K99" i="1"/>
  <c r="H37" i="3"/>
  <c r="L99" i="1"/>
  <c r="J37" i="3"/>
  <c r="S266" i="2"/>
  <c r="J98" i="1"/>
  <c r="G36" i="3"/>
  <c r="T266" i="2"/>
  <c r="K98" i="1"/>
  <c r="H36" i="3"/>
  <c r="L98" i="1"/>
  <c r="J36" i="3"/>
  <c r="S237" i="2"/>
  <c r="J96" i="1"/>
  <c r="S94" i="2"/>
  <c r="S120" i="2"/>
  <c r="S181" i="2"/>
  <c r="S404" i="2"/>
  <c r="J97" i="1"/>
  <c r="G113" i="3"/>
  <c r="T237" i="2"/>
  <c r="K96" i="1"/>
  <c r="T94" i="2"/>
  <c r="T120" i="2"/>
  <c r="T181" i="2"/>
  <c r="T404" i="2"/>
  <c r="K97" i="1"/>
  <c r="H113" i="3"/>
  <c r="L96" i="1"/>
  <c r="L97" i="1"/>
  <c r="J113" i="3"/>
  <c r="O277" i="2"/>
  <c r="H61" i="1"/>
  <c r="N277" i="2"/>
  <c r="S277" i="2"/>
  <c r="J61" i="1"/>
  <c r="G39" i="3"/>
  <c r="T277" i="2"/>
  <c r="K61" i="1"/>
  <c r="H39" i="3"/>
  <c r="L61" i="1"/>
  <c r="J39" i="3"/>
  <c r="G37" i="1"/>
  <c r="G35" i="1"/>
  <c r="G79" i="1"/>
  <c r="S151" i="2"/>
  <c r="S203" i="2"/>
  <c r="S269" i="2"/>
  <c r="S339" i="2"/>
  <c r="S18" i="2"/>
  <c r="S19" i="2"/>
  <c r="S20" i="2"/>
  <c r="S21" i="2"/>
  <c r="S22" i="2"/>
  <c r="H37" i="1"/>
  <c r="H35" i="1"/>
  <c r="H79" i="1"/>
  <c r="S28" i="2"/>
  <c r="H41" i="1"/>
  <c r="S36" i="2"/>
  <c r="S37" i="2"/>
  <c r="S38" i="2"/>
  <c r="S41" i="2"/>
  <c r="S42" i="2"/>
  <c r="S43" i="2"/>
  <c r="S47" i="2"/>
  <c r="S50" i="2"/>
  <c r="S51" i="2"/>
  <c r="S52" i="2"/>
  <c r="S58" i="2"/>
  <c r="S59" i="2"/>
  <c r="N62" i="2"/>
  <c r="S62" i="2"/>
  <c r="S63" i="2"/>
  <c r="S66" i="2"/>
  <c r="S67" i="2"/>
  <c r="S68" i="2"/>
  <c r="S69" i="2"/>
  <c r="S70" i="2"/>
  <c r="S81" i="2"/>
  <c r="S85" i="2"/>
  <c r="S86" i="2"/>
  <c r="S89" i="2"/>
  <c r="S90" i="2"/>
  <c r="S91" i="2"/>
  <c r="S92" i="2"/>
  <c r="H5" i="1"/>
  <c r="N93" i="2"/>
  <c r="S93" i="2"/>
  <c r="S99" i="2"/>
  <c r="S108" i="2"/>
  <c r="S112" i="2"/>
  <c r="S113" i="2"/>
  <c r="H86" i="1"/>
  <c r="N116" i="2"/>
  <c r="S116" i="2"/>
  <c r="S121" i="2"/>
  <c r="S122" i="2"/>
  <c r="S130" i="2"/>
  <c r="S133" i="2"/>
  <c r="S134" i="2"/>
  <c r="S145" i="2"/>
  <c r="S146" i="2"/>
  <c r="N150" i="2"/>
  <c r="S150" i="2"/>
  <c r="H36" i="1"/>
  <c r="N152" i="2"/>
  <c r="S152" i="2"/>
  <c r="H38" i="1"/>
  <c r="N153" i="2"/>
  <c r="S153" i="2"/>
  <c r="N154" i="2"/>
  <c r="S154" i="2"/>
  <c r="S157" i="2"/>
  <c r="S170" i="2"/>
  <c r="S171" i="2"/>
  <c r="S174" i="2"/>
  <c r="S175" i="2"/>
  <c r="S176" i="2"/>
  <c r="S177" i="2"/>
  <c r="S178" i="2"/>
  <c r="S182" i="2"/>
  <c r="S184" i="2"/>
  <c r="H83" i="1"/>
  <c r="N185" i="2"/>
  <c r="S185" i="2"/>
  <c r="N188" i="2"/>
  <c r="S188" i="2"/>
  <c r="H87" i="1"/>
  <c r="N190" i="2"/>
  <c r="S190" i="2"/>
  <c r="S195" i="2"/>
  <c r="S206" i="2"/>
  <c r="S207" i="2"/>
  <c r="H89" i="1"/>
  <c r="N215" i="2"/>
  <c r="S215" i="2"/>
  <c r="S216" i="2"/>
  <c r="S220" i="2"/>
  <c r="S221" i="2"/>
  <c r="S236" i="2"/>
  <c r="S240" i="2"/>
  <c r="S241" i="2"/>
  <c r="N244" i="2"/>
  <c r="S244" i="2"/>
  <c r="N247" i="2"/>
  <c r="S247" i="2"/>
  <c r="S248" i="2"/>
  <c r="S249" i="2"/>
  <c r="S252" i="2"/>
  <c r="S253" i="2"/>
  <c r="S254" i="2"/>
  <c r="S255" i="2"/>
  <c r="S263" i="2"/>
  <c r="S264" i="2"/>
  <c r="S265" i="2"/>
  <c r="S274" i="2"/>
  <c r="S280" i="2"/>
  <c r="S292" i="2"/>
  <c r="S293" i="2"/>
  <c r="S296" i="2"/>
  <c r="S298" i="2"/>
  <c r="S301" i="2"/>
  <c r="S310" i="2"/>
  <c r="S311" i="2"/>
  <c r="S312" i="2"/>
  <c r="S313" i="2"/>
  <c r="S314" i="2"/>
  <c r="N326" i="2"/>
  <c r="S326" i="2"/>
  <c r="S329" i="2"/>
  <c r="S330" i="2"/>
  <c r="S332" i="2"/>
  <c r="S333" i="2"/>
  <c r="S334" i="2"/>
  <c r="S335" i="2"/>
  <c r="S336" i="2"/>
  <c r="S340" i="2"/>
  <c r="S341" i="2"/>
  <c r="H84" i="1"/>
  <c r="N342" i="2"/>
  <c r="S342" i="2"/>
  <c r="N347" i="2"/>
  <c r="S347" i="2"/>
  <c r="S359" i="2"/>
  <c r="N360" i="2"/>
  <c r="S360" i="2"/>
  <c r="S361" i="2"/>
  <c r="S362" i="2"/>
  <c r="S363" i="2"/>
  <c r="S366" i="2"/>
  <c r="S367" i="2"/>
  <c r="S370" i="2"/>
  <c r="S371" i="2"/>
  <c r="S374" i="2"/>
  <c r="S376" i="2"/>
  <c r="S377" i="2"/>
  <c r="N380" i="2"/>
  <c r="S380" i="2"/>
  <c r="H85" i="1"/>
  <c r="N381" i="2"/>
  <c r="S381" i="2"/>
  <c r="S394" i="2"/>
  <c r="S397" i="2"/>
  <c r="N398" i="2"/>
  <c r="S398" i="2"/>
  <c r="S399" i="2"/>
  <c r="S400" i="2"/>
  <c r="S401" i="2"/>
  <c r="S405" i="2"/>
  <c r="S407" i="2"/>
  <c r="N410" i="2"/>
  <c r="S410" i="2"/>
  <c r="J95" i="1"/>
  <c r="G13" i="3"/>
  <c r="T151" i="2"/>
  <c r="T203" i="2"/>
  <c r="T269" i="2"/>
  <c r="T339" i="2"/>
  <c r="T18" i="2"/>
  <c r="T19" i="2"/>
  <c r="T20" i="2"/>
  <c r="T21" i="2"/>
  <c r="T22" i="2"/>
  <c r="T28" i="2"/>
  <c r="T36" i="2"/>
  <c r="T37" i="2"/>
  <c r="T38" i="2"/>
  <c r="T41" i="2"/>
  <c r="T42" i="2"/>
  <c r="T43" i="2"/>
  <c r="T47" i="2"/>
  <c r="T50" i="2"/>
  <c r="T51" i="2"/>
  <c r="T52" i="2"/>
  <c r="T58" i="2"/>
  <c r="T59" i="2"/>
  <c r="T62" i="2"/>
  <c r="T63" i="2"/>
  <c r="T66" i="2"/>
  <c r="T67" i="2"/>
  <c r="T68" i="2"/>
  <c r="T69" i="2"/>
  <c r="T70" i="2"/>
  <c r="T81" i="2"/>
  <c r="T85" i="2"/>
  <c r="T86" i="2"/>
  <c r="T89" i="2"/>
  <c r="T90" i="2"/>
  <c r="T91" i="2"/>
  <c r="T92" i="2"/>
  <c r="T93" i="2"/>
  <c r="T99" i="2"/>
  <c r="T108" i="2"/>
  <c r="T112" i="2"/>
  <c r="T113" i="2"/>
  <c r="T116" i="2"/>
  <c r="T121" i="2"/>
  <c r="T122" i="2"/>
  <c r="T130" i="2"/>
  <c r="T133" i="2"/>
  <c r="T134" i="2"/>
  <c r="T145" i="2"/>
  <c r="T146" i="2"/>
  <c r="T150" i="2"/>
  <c r="T152" i="2"/>
  <c r="T153" i="2"/>
  <c r="T154" i="2"/>
  <c r="T157" i="2"/>
  <c r="T170" i="2"/>
  <c r="T171" i="2"/>
  <c r="T174" i="2"/>
  <c r="T175" i="2"/>
  <c r="T176" i="2"/>
  <c r="T177" i="2"/>
  <c r="T178" i="2"/>
  <c r="T182" i="2"/>
  <c r="T184" i="2"/>
  <c r="T185" i="2"/>
  <c r="T188" i="2"/>
  <c r="T190" i="2"/>
  <c r="T195" i="2"/>
  <c r="T206" i="2"/>
  <c r="T207" i="2"/>
  <c r="T215" i="2"/>
  <c r="T216" i="2"/>
  <c r="T220" i="2"/>
  <c r="T221" i="2"/>
  <c r="T236" i="2"/>
  <c r="T240" i="2"/>
  <c r="T241" i="2"/>
  <c r="T244" i="2"/>
  <c r="T247" i="2"/>
  <c r="T248" i="2"/>
  <c r="T249" i="2"/>
  <c r="T252" i="2"/>
  <c r="T253" i="2"/>
  <c r="T254" i="2"/>
  <c r="T255" i="2"/>
  <c r="T263" i="2"/>
  <c r="T264" i="2"/>
  <c r="T265" i="2"/>
  <c r="T274" i="2"/>
  <c r="T280" i="2"/>
  <c r="T292" i="2"/>
  <c r="T293" i="2"/>
  <c r="T296" i="2"/>
  <c r="T298" i="2"/>
  <c r="T301" i="2"/>
  <c r="T310" i="2"/>
  <c r="T311" i="2"/>
  <c r="T312" i="2"/>
  <c r="T313" i="2"/>
  <c r="T314" i="2"/>
  <c r="T326" i="2"/>
  <c r="T329" i="2"/>
  <c r="T330" i="2"/>
  <c r="T332" i="2"/>
  <c r="T333" i="2"/>
  <c r="T334" i="2"/>
  <c r="T335" i="2"/>
  <c r="T336" i="2"/>
  <c r="T340" i="2"/>
  <c r="T341" i="2"/>
  <c r="T342" i="2"/>
  <c r="T347" i="2"/>
  <c r="T359" i="2"/>
  <c r="T360" i="2"/>
  <c r="T361" i="2"/>
  <c r="T362" i="2"/>
  <c r="T363" i="2"/>
  <c r="T366" i="2"/>
  <c r="T367" i="2"/>
  <c r="T370" i="2"/>
  <c r="T371" i="2"/>
  <c r="T374" i="2"/>
  <c r="T376" i="2"/>
  <c r="T377" i="2"/>
  <c r="T380" i="2"/>
  <c r="T381" i="2"/>
  <c r="T394" i="2"/>
  <c r="T397" i="2"/>
  <c r="T398" i="2"/>
  <c r="T399" i="2"/>
  <c r="T400" i="2"/>
  <c r="T401" i="2"/>
  <c r="T405" i="2"/>
  <c r="T407" i="2"/>
  <c r="T410" i="2"/>
  <c r="K95" i="1"/>
  <c r="H13" i="3"/>
  <c r="L95" i="1"/>
  <c r="J13" i="3"/>
  <c r="J94" i="1"/>
  <c r="G35" i="3"/>
  <c r="K94" i="1"/>
  <c r="H35" i="3"/>
  <c r="N35" i="3" s="1"/>
  <c r="L94" i="1"/>
  <c r="J35" i="3"/>
  <c r="J92" i="1"/>
  <c r="J93" i="1"/>
  <c r="G3" i="3"/>
  <c r="K92" i="1"/>
  <c r="K93" i="1"/>
  <c r="H3" i="3"/>
  <c r="L92" i="1"/>
  <c r="L93" i="1"/>
  <c r="J3" i="3"/>
  <c r="J91" i="1"/>
  <c r="G11" i="3"/>
  <c r="K91" i="1"/>
  <c r="H11" i="3"/>
  <c r="L91" i="1"/>
  <c r="J11" i="3"/>
  <c r="J89" i="1"/>
  <c r="G103" i="3"/>
  <c r="K89" i="1"/>
  <c r="H103" i="3"/>
  <c r="L89" i="1"/>
  <c r="J103" i="3"/>
  <c r="J88" i="1"/>
  <c r="G102" i="3"/>
  <c r="K88" i="1"/>
  <c r="H102" i="3"/>
  <c r="L88" i="1"/>
  <c r="J102" i="3"/>
  <c r="J87" i="1"/>
  <c r="G101" i="3"/>
  <c r="K87" i="1"/>
  <c r="H101" i="3"/>
  <c r="L87" i="1"/>
  <c r="J101" i="3"/>
  <c r="J86" i="1"/>
  <c r="G100" i="3"/>
  <c r="K86" i="1"/>
  <c r="H100" i="3"/>
  <c r="L86" i="1"/>
  <c r="J100" i="3"/>
  <c r="J85" i="1"/>
  <c r="G99" i="3"/>
  <c r="K85" i="1"/>
  <c r="H99" i="3"/>
  <c r="L85" i="1"/>
  <c r="J99" i="3"/>
  <c r="J84" i="1"/>
  <c r="G98" i="3"/>
  <c r="K84" i="1"/>
  <c r="H98" i="3"/>
  <c r="L84" i="1"/>
  <c r="J98" i="3"/>
  <c r="J83" i="1"/>
  <c r="G97" i="3"/>
  <c r="K83" i="1"/>
  <c r="H97" i="3"/>
  <c r="L83" i="1"/>
  <c r="J97" i="3"/>
  <c r="J82" i="1"/>
  <c r="G96" i="3"/>
  <c r="K82" i="1"/>
  <c r="H96" i="3"/>
  <c r="L82" i="1"/>
  <c r="J96" i="3"/>
  <c r="J81" i="1"/>
  <c r="G94" i="3"/>
  <c r="K81" i="1"/>
  <c r="H94" i="3"/>
  <c r="L81" i="1"/>
  <c r="J94" i="3"/>
  <c r="J80" i="1"/>
  <c r="G93" i="3"/>
  <c r="K80" i="1"/>
  <c r="H93" i="3"/>
  <c r="L80" i="1"/>
  <c r="J93" i="3"/>
  <c r="J79" i="1"/>
  <c r="K79" i="1"/>
  <c r="L79" i="1"/>
  <c r="J78" i="1"/>
  <c r="G34" i="3"/>
  <c r="K78" i="1"/>
  <c r="H34" i="3"/>
  <c r="L78" i="1"/>
  <c r="J34" i="3"/>
  <c r="J77" i="1"/>
  <c r="G90" i="3"/>
  <c r="K77" i="1"/>
  <c r="H90" i="3"/>
  <c r="L77" i="1"/>
  <c r="J90" i="3"/>
  <c r="J76" i="1"/>
  <c r="G89" i="3"/>
  <c r="K76" i="1"/>
  <c r="H89" i="3"/>
  <c r="L76" i="1"/>
  <c r="J89" i="3"/>
  <c r="J72" i="1"/>
  <c r="J73" i="1"/>
  <c r="G33" i="3"/>
  <c r="K72" i="1"/>
  <c r="K73" i="1"/>
  <c r="H33" i="3"/>
  <c r="L72" i="1"/>
  <c r="L73" i="1"/>
  <c r="J33" i="3"/>
  <c r="J71" i="1"/>
  <c r="G88" i="3"/>
  <c r="K71" i="1"/>
  <c r="H88" i="3"/>
  <c r="L71" i="1"/>
  <c r="J88" i="3"/>
  <c r="J70" i="1"/>
  <c r="G87" i="3"/>
  <c r="K70" i="1"/>
  <c r="H87" i="3"/>
  <c r="L70" i="1"/>
  <c r="J87" i="3"/>
  <c r="J68" i="1"/>
  <c r="G32" i="3"/>
  <c r="K68" i="1"/>
  <c r="H32" i="3"/>
  <c r="L68" i="1"/>
  <c r="J32" i="3"/>
  <c r="J66" i="1"/>
  <c r="G31" i="3"/>
  <c r="K66" i="1"/>
  <c r="H31" i="3"/>
  <c r="L66" i="1"/>
  <c r="J31" i="3"/>
  <c r="J64" i="1"/>
  <c r="G83" i="3"/>
  <c r="K64" i="1"/>
  <c r="H83" i="3"/>
  <c r="L64" i="1"/>
  <c r="J83" i="3"/>
  <c r="J63" i="1"/>
  <c r="G82" i="3"/>
  <c r="K63" i="1"/>
  <c r="H82" i="3"/>
  <c r="L63" i="1"/>
  <c r="J82" i="3"/>
  <c r="J62" i="1"/>
  <c r="G57" i="3"/>
  <c r="K62" i="1"/>
  <c r="H57" i="3"/>
  <c r="L62" i="1"/>
  <c r="J57" i="3"/>
  <c r="J60" i="1"/>
  <c r="G29" i="3"/>
  <c r="K60" i="1"/>
  <c r="H29" i="3"/>
  <c r="L60" i="1"/>
  <c r="J29" i="3"/>
  <c r="G81" i="3"/>
  <c r="H81" i="3"/>
  <c r="J81" i="3"/>
  <c r="J57" i="1"/>
  <c r="G80" i="3"/>
  <c r="K57" i="1"/>
  <c r="H80" i="3"/>
  <c r="L57" i="1"/>
  <c r="J80" i="3"/>
  <c r="J56" i="1"/>
  <c r="G12" i="3"/>
  <c r="K56" i="1"/>
  <c r="H12" i="3"/>
  <c r="L56" i="1"/>
  <c r="J12" i="3"/>
  <c r="J55" i="1"/>
  <c r="G78" i="3"/>
  <c r="K55" i="1"/>
  <c r="H78" i="3"/>
  <c r="L55" i="1"/>
  <c r="J78" i="3"/>
  <c r="J53" i="1"/>
  <c r="G28" i="3"/>
  <c r="K53" i="1"/>
  <c r="H28" i="3"/>
  <c r="N28" i="3" s="1"/>
  <c r="L53" i="1"/>
  <c r="J28" i="3"/>
  <c r="J52" i="1"/>
  <c r="G27" i="3"/>
  <c r="K52" i="1"/>
  <c r="H27" i="3"/>
  <c r="N27" i="3" s="1"/>
  <c r="L52" i="1"/>
  <c r="J27" i="3"/>
  <c r="J51" i="1"/>
  <c r="G26" i="3"/>
  <c r="K51" i="1"/>
  <c r="H26" i="3"/>
  <c r="L51" i="1"/>
  <c r="J26" i="3"/>
  <c r="J49" i="1"/>
  <c r="G56" i="3"/>
  <c r="K49" i="1"/>
  <c r="H56" i="3"/>
  <c r="L49" i="1"/>
  <c r="J56" i="3"/>
  <c r="J48" i="1"/>
  <c r="G55" i="3"/>
  <c r="K48" i="1"/>
  <c r="H55" i="3"/>
  <c r="L48" i="1"/>
  <c r="J55" i="3"/>
  <c r="J47" i="1"/>
  <c r="G54" i="3"/>
  <c r="K47" i="1"/>
  <c r="H54" i="3"/>
  <c r="L47" i="1"/>
  <c r="J54" i="3"/>
  <c r="J46" i="1"/>
  <c r="G69" i="3"/>
  <c r="K46" i="1"/>
  <c r="H69" i="3"/>
  <c r="L46" i="1"/>
  <c r="J69" i="3"/>
  <c r="J45" i="1"/>
  <c r="G25" i="3"/>
  <c r="K45" i="1"/>
  <c r="H25" i="3"/>
  <c r="L45" i="1"/>
  <c r="J25" i="3"/>
  <c r="J39" i="1"/>
  <c r="G6" i="3"/>
  <c r="K39" i="1"/>
  <c r="H6" i="3"/>
  <c r="L39" i="1"/>
  <c r="J6" i="3"/>
  <c r="J43" i="1"/>
  <c r="G68" i="3"/>
  <c r="K43" i="1"/>
  <c r="H68" i="3"/>
  <c r="L43" i="1"/>
  <c r="J68" i="3"/>
  <c r="J42" i="1"/>
  <c r="G23" i="3"/>
  <c r="K42" i="1"/>
  <c r="H23" i="3"/>
  <c r="L42" i="1"/>
  <c r="J23" i="3"/>
  <c r="J41" i="1"/>
  <c r="G22" i="3"/>
  <c r="K41" i="1"/>
  <c r="H22" i="3"/>
  <c r="L41" i="1"/>
  <c r="J22" i="3"/>
  <c r="J40" i="1"/>
  <c r="G53" i="3"/>
  <c r="K40" i="1"/>
  <c r="H53" i="3"/>
  <c r="L40" i="1"/>
  <c r="J53" i="3"/>
  <c r="J38" i="1"/>
  <c r="G112" i="3"/>
  <c r="K38" i="1"/>
  <c r="H112" i="3"/>
  <c r="L38" i="1"/>
  <c r="J112" i="3"/>
  <c r="J37" i="1"/>
  <c r="G2" i="3"/>
  <c r="K37" i="1"/>
  <c r="H2" i="3"/>
  <c r="L37" i="1"/>
  <c r="J2" i="3"/>
  <c r="J36" i="1"/>
  <c r="G111" i="3"/>
  <c r="K36" i="1"/>
  <c r="H111" i="3"/>
  <c r="L36" i="1"/>
  <c r="J111" i="3"/>
  <c r="J35" i="1"/>
  <c r="G110" i="3"/>
  <c r="K35" i="1"/>
  <c r="H110" i="3"/>
  <c r="L35" i="1"/>
  <c r="J110" i="3"/>
  <c r="J33" i="1"/>
  <c r="J34" i="1"/>
  <c r="G21" i="3"/>
  <c r="K33" i="1"/>
  <c r="K34" i="1"/>
  <c r="H21" i="3"/>
  <c r="L33" i="1"/>
  <c r="L34" i="1"/>
  <c r="J21" i="3"/>
  <c r="J32" i="1"/>
  <c r="G109" i="3"/>
  <c r="K32" i="1"/>
  <c r="H109" i="3"/>
  <c r="L32" i="1"/>
  <c r="J109" i="3"/>
  <c r="J31" i="1"/>
  <c r="G52" i="3"/>
  <c r="K31" i="1"/>
  <c r="H52" i="3"/>
  <c r="L31" i="1"/>
  <c r="J52" i="3"/>
  <c r="J30" i="1"/>
  <c r="G51" i="3"/>
  <c r="K30" i="1"/>
  <c r="H51" i="3"/>
  <c r="L30" i="1"/>
  <c r="J51" i="3"/>
  <c r="J29" i="1"/>
  <c r="G50" i="3"/>
  <c r="K29" i="1"/>
  <c r="H50" i="3"/>
  <c r="L29" i="1"/>
  <c r="J50" i="3"/>
  <c r="J28" i="1"/>
  <c r="G49" i="3"/>
  <c r="K28" i="1"/>
  <c r="H49" i="3"/>
  <c r="L28" i="1"/>
  <c r="J49" i="3"/>
  <c r="J27" i="1"/>
  <c r="G48" i="3"/>
  <c r="K27" i="1"/>
  <c r="H48" i="3"/>
  <c r="L27" i="1"/>
  <c r="J48" i="3"/>
  <c r="J26" i="1"/>
  <c r="G47" i="3"/>
  <c r="K26" i="1"/>
  <c r="H47" i="3"/>
  <c r="L26" i="1"/>
  <c r="J47" i="3"/>
  <c r="J25" i="1"/>
  <c r="G65" i="3"/>
  <c r="K25" i="1"/>
  <c r="H65" i="3"/>
  <c r="L25" i="1"/>
  <c r="J65" i="3"/>
  <c r="J24" i="1"/>
  <c r="G44" i="3"/>
  <c r="K24" i="1"/>
  <c r="H44" i="3"/>
  <c r="L24" i="1"/>
  <c r="J44" i="3"/>
  <c r="J23" i="1"/>
  <c r="G43" i="3"/>
  <c r="K23" i="1"/>
  <c r="H43" i="3"/>
  <c r="L23" i="1"/>
  <c r="J43" i="3"/>
  <c r="J22" i="1"/>
  <c r="G20" i="3"/>
  <c r="K22" i="1"/>
  <c r="H20" i="3"/>
  <c r="N20" i="3" s="1"/>
  <c r="L22" i="1"/>
  <c r="J20" i="3"/>
  <c r="J21" i="1"/>
  <c r="G42" i="3"/>
  <c r="K21" i="1"/>
  <c r="H42" i="3"/>
  <c r="L21" i="1"/>
  <c r="J42" i="3"/>
  <c r="J20" i="1"/>
  <c r="G63" i="3"/>
  <c r="K20" i="1"/>
  <c r="H63" i="3"/>
  <c r="L20" i="1"/>
  <c r="J63" i="3"/>
  <c r="J16" i="1"/>
  <c r="J17" i="1"/>
  <c r="J18" i="1"/>
  <c r="G19" i="3"/>
  <c r="K16" i="1"/>
  <c r="K17" i="1"/>
  <c r="K18" i="1"/>
  <c r="H19" i="3"/>
  <c r="L16" i="1"/>
  <c r="L17" i="1"/>
  <c r="L18" i="1"/>
  <c r="J19" i="3"/>
  <c r="J15" i="1"/>
  <c r="G18" i="3"/>
  <c r="K15" i="1"/>
  <c r="H18" i="3"/>
  <c r="L15" i="1"/>
  <c r="J18" i="3"/>
  <c r="J14" i="1"/>
  <c r="G61" i="3"/>
  <c r="K14" i="1"/>
  <c r="H61" i="3"/>
  <c r="L14" i="1"/>
  <c r="J61" i="3"/>
  <c r="J10" i="1"/>
  <c r="J11" i="1"/>
  <c r="J12" i="1"/>
  <c r="J5" i="1"/>
  <c r="J6" i="1"/>
  <c r="J7" i="1"/>
  <c r="J13" i="1"/>
  <c r="G17" i="3"/>
  <c r="K10" i="1"/>
  <c r="K11" i="1"/>
  <c r="K12" i="1"/>
  <c r="K5" i="1"/>
  <c r="K6" i="1"/>
  <c r="K7" i="1"/>
  <c r="K13" i="1"/>
  <c r="H17" i="3"/>
  <c r="L10" i="1"/>
  <c r="L11" i="1"/>
  <c r="L12" i="1"/>
  <c r="L5" i="1"/>
  <c r="L6" i="1"/>
  <c r="L7" i="1"/>
  <c r="L13" i="1"/>
  <c r="J17" i="3"/>
  <c r="G16" i="3"/>
  <c r="H16" i="3"/>
  <c r="J16" i="3"/>
  <c r="G41" i="3"/>
  <c r="H41" i="3"/>
  <c r="J41" i="3"/>
  <c r="G40" i="3"/>
  <c r="H40" i="3"/>
  <c r="J40" i="3"/>
  <c r="AA50" i="2"/>
  <c r="AD50" i="2"/>
  <c r="AC50" i="2"/>
  <c r="AB50" i="2"/>
  <c r="V50" i="2"/>
  <c r="Y50" i="2"/>
  <c r="X50" i="2"/>
  <c r="W50" i="2"/>
  <c r="G43" i="1"/>
  <c r="M50" i="2"/>
  <c r="D50" i="2"/>
  <c r="C50" i="2"/>
  <c r="B50" i="2"/>
  <c r="AA51" i="2"/>
  <c r="AD51" i="2"/>
  <c r="AC51" i="2"/>
  <c r="AB51" i="2"/>
  <c r="V51" i="2"/>
  <c r="Y51" i="2"/>
  <c r="X51" i="2"/>
  <c r="W51" i="2"/>
  <c r="D51" i="2"/>
  <c r="C51" i="2"/>
  <c r="B51" i="2"/>
  <c r="G33" i="1"/>
  <c r="V146" i="2"/>
  <c r="W146" i="2"/>
  <c r="D25" i="2"/>
  <c r="D24" i="2"/>
  <c r="D23" i="2"/>
  <c r="D22" i="2"/>
  <c r="D21" i="2"/>
  <c r="D20" i="2"/>
  <c r="D19" i="2"/>
  <c r="D18" i="2"/>
  <c r="D28" i="2"/>
  <c r="D52" i="2"/>
  <c r="D47" i="2"/>
  <c r="D44" i="2"/>
  <c r="D43" i="2"/>
  <c r="D42" i="2"/>
  <c r="D41" i="2"/>
  <c r="D38" i="2"/>
  <c r="D37" i="2"/>
  <c r="D3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C23" i="2"/>
  <c r="AA22" i="2"/>
  <c r="AD22" i="2"/>
  <c r="AC22" i="2"/>
  <c r="AB22" i="2"/>
  <c r="V22" i="2"/>
  <c r="Y22" i="2"/>
  <c r="X22" i="2"/>
  <c r="W22" i="2"/>
  <c r="C22" i="2"/>
  <c r="B22" i="2"/>
  <c r="AA21" i="2"/>
  <c r="AD21" i="2"/>
  <c r="AC21" i="2"/>
  <c r="AB21" i="2"/>
  <c r="V21" i="2"/>
  <c r="Y21" i="2"/>
  <c r="X21" i="2"/>
  <c r="W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C19" i="2"/>
  <c r="B19" i="2"/>
  <c r="AA18" i="2"/>
  <c r="AD18" i="2"/>
  <c r="AC18" i="2"/>
  <c r="AB18" i="2"/>
  <c r="V18" i="2"/>
  <c r="Y18" i="2"/>
  <c r="X18" i="2"/>
  <c r="W18" i="2"/>
  <c r="C18" i="2"/>
  <c r="B18" i="2"/>
  <c r="AA28" i="2"/>
  <c r="AD28" i="2"/>
  <c r="AC28" i="2"/>
  <c r="AB28" i="2"/>
  <c r="V28" i="2"/>
  <c r="Y28" i="2"/>
  <c r="X28" i="2"/>
  <c r="W28" i="2"/>
  <c r="C28" i="2"/>
  <c r="B28" i="2"/>
  <c r="D311" i="2"/>
  <c r="M314" i="2"/>
  <c r="G25" i="1"/>
  <c r="M311" i="2"/>
  <c r="G80" i="1"/>
  <c r="M310" i="2"/>
  <c r="AA310" i="2"/>
  <c r="AD310" i="2"/>
  <c r="AC310" i="2"/>
  <c r="AB310" i="2"/>
  <c r="V310" i="2"/>
  <c r="Y310" i="2"/>
  <c r="X310" i="2"/>
  <c r="W310" i="2"/>
  <c r="D310" i="2"/>
  <c r="C310" i="2"/>
  <c r="B310" i="2"/>
  <c r="AA312" i="2"/>
  <c r="AD312" i="2"/>
  <c r="AC312" i="2"/>
  <c r="AB312" i="2"/>
  <c r="V312" i="2"/>
  <c r="Y312" i="2"/>
  <c r="X312" i="2"/>
  <c r="W312" i="2"/>
  <c r="D312" i="2"/>
  <c r="C312" i="2"/>
  <c r="B312" i="2"/>
  <c r="AA311" i="2"/>
  <c r="AD311" i="2"/>
  <c r="AC311" i="2"/>
  <c r="AB311" i="2"/>
  <c r="V311" i="2"/>
  <c r="Y311" i="2"/>
  <c r="X311" i="2"/>
  <c r="W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4" i="2"/>
  <c r="AD314" i="2"/>
  <c r="AC314" i="2"/>
  <c r="AB314" i="2"/>
  <c r="V314" i="2"/>
  <c r="Y314" i="2"/>
  <c r="X314" i="2"/>
  <c r="W314" i="2"/>
  <c r="D314" i="2"/>
  <c r="C314" i="2"/>
  <c r="B314" i="2"/>
  <c r="G91" i="1"/>
  <c r="M301" i="2"/>
  <c r="AA301" i="2"/>
  <c r="AD301" i="2"/>
  <c r="AC301" i="2"/>
  <c r="AB301" i="2"/>
  <c r="V301" i="2"/>
  <c r="Y301" i="2"/>
  <c r="X301" i="2"/>
  <c r="W301" i="2"/>
  <c r="D301" i="2"/>
  <c r="C301" i="2"/>
  <c r="B301" i="2"/>
  <c r="AA297" i="2"/>
  <c r="AD297" i="2"/>
  <c r="AC297" i="2"/>
  <c r="AB297" i="2"/>
  <c r="V297" i="2"/>
  <c r="Y297" i="2"/>
  <c r="X297" i="2"/>
  <c r="W297" i="2"/>
  <c r="D297" i="2"/>
  <c r="C297" i="2"/>
  <c r="B297" i="2"/>
  <c r="AA296" i="2"/>
  <c r="AD296" i="2"/>
  <c r="AC296" i="2"/>
  <c r="AB296" i="2"/>
  <c r="V296" i="2"/>
  <c r="Y296" i="2"/>
  <c r="X296" i="2"/>
  <c r="W296" i="2"/>
  <c r="D296" i="2"/>
  <c r="C296" i="2"/>
  <c r="B296" i="2"/>
  <c r="AA298" i="2"/>
  <c r="AD298" i="2"/>
  <c r="AC298" i="2"/>
  <c r="AB298" i="2"/>
  <c r="V298" i="2"/>
  <c r="Y298" i="2"/>
  <c r="X298" i="2"/>
  <c r="W298" i="2"/>
  <c r="D298" i="2"/>
  <c r="C298" i="2"/>
  <c r="B298" i="2"/>
  <c r="AA293" i="2"/>
  <c r="AD293" i="2"/>
  <c r="AC293" i="2"/>
  <c r="AB293" i="2"/>
  <c r="V293" i="2"/>
  <c r="Y293" i="2"/>
  <c r="X293" i="2"/>
  <c r="W293" i="2"/>
  <c r="D293" i="2"/>
  <c r="C293" i="2"/>
  <c r="B293" i="2"/>
  <c r="AA292" i="2"/>
  <c r="AC292" i="2"/>
  <c r="AB292" i="2"/>
  <c r="V292" i="2"/>
  <c r="Y292" i="2"/>
  <c r="X292" i="2"/>
  <c r="W292" i="2"/>
  <c r="D292" i="2"/>
  <c r="C292" i="2"/>
  <c r="B292" i="2"/>
  <c r="AA226" i="2"/>
  <c r="AD226" i="2"/>
  <c r="AC226" i="2"/>
  <c r="AB226" i="2"/>
  <c r="V226" i="2"/>
  <c r="Y226" i="2"/>
  <c r="X226" i="2"/>
  <c r="W226" i="2"/>
  <c r="D226" i="2"/>
  <c r="C226" i="2"/>
  <c r="AA208" i="2"/>
  <c r="AD208" i="2"/>
  <c r="AC208" i="2"/>
  <c r="AB208" i="2"/>
  <c r="V208" i="2"/>
  <c r="Y208" i="2"/>
  <c r="X208" i="2"/>
  <c r="W208" i="2"/>
  <c r="D208" i="2"/>
  <c r="C208" i="2"/>
  <c r="B361" i="2"/>
  <c r="C361" i="2"/>
  <c r="D361" i="2"/>
  <c r="V361" i="2"/>
  <c r="W361" i="2"/>
  <c r="X361" i="2"/>
  <c r="Y361" i="2"/>
  <c r="AA361" i="2"/>
  <c r="AB361" i="2"/>
  <c r="AC361" i="2"/>
  <c r="AD361" i="2"/>
  <c r="D127" i="2"/>
  <c r="D126" i="2"/>
  <c r="D125" i="2"/>
  <c r="D111" i="2"/>
  <c r="D63" i="2"/>
  <c r="O188" i="2"/>
  <c r="P188" i="2"/>
  <c r="O381" i="2"/>
  <c r="P381" i="2"/>
  <c r="D413" i="2"/>
  <c r="D412" i="2"/>
  <c r="D411" i="2"/>
  <c r="D410" i="2"/>
  <c r="D407" i="2"/>
  <c r="D406" i="2"/>
  <c r="D405" i="2"/>
  <c r="D404" i="2"/>
  <c r="D401" i="2"/>
  <c r="D400" i="2"/>
  <c r="D399" i="2"/>
  <c r="D398" i="2"/>
  <c r="D397" i="2"/>
  <c r="D394" i="2"/>
  <c r="D197" i="2"/>
  <c r="D196" i="2"/>
  <c r="D195" i="2"/>
  <c r="D190" i="2"/>
  <c r="D189" i="2"/>
  <c r="D188" i="2"/>
  <c r="D185" i="2"/>
  <c r="D184" i="2"/>
  <c r="D183" i="2"/>
  <c r="D182" i="2"/>
  <c r="D181" i="2"/>
  <c r="D178" i="2"/>
  <c r="D177" i="2"/>
  <c r="D176" i="2"/>
  <c r="D175" i="2"/>
  <c r="D174" i="2"/>
  <c r="D171" i="2"/>
  <c r="D170" i="2"/>
  <c r="D169" i="2"/>
  <c r="D351" i="2"/>
  <c r="D350" i="2"/>
  <c r="D349" i="2"/>
  <c r="D348" i="2"/>
  <c r="D347" i="2"/>
  <c r="D342" i="2"/>
  <c r="D341" i="2"/>
  <c r="D340" i="2"/>
  <c r="D339" i="2"/>
  <c r="D336" i="2"/>
  <c r="D335" i="2"/>
  <c r="D334" i="2"/>
  <c r="D333" i="2"/>
  <c r="D332" i="2"/>
  <c r="D331" i="2"/>
  <c r="D330" i="2"/>
  <c r="D326" i="2"/>
  <c r="D329" i="2"/>
  <c r="D139" i="2"/>
  <c r="D134" i="2"/>
  <c r="D133" i="2"/>
  <c r="D130" i="2"/>
  <c r="D122" i="2"/>
  <c r="D121" i="2"/>
  <c r="D120" i="2"/>
  <c r="D117" i="2"/>
  <c r="D116" i="2"/>
  <c r="D113" i="2"/>
  <c r="D112" i="2"/>
  <c r="D108" i="2"/>
  <c r="D284" i="2"/>
  <c r="D283" i="2"/>
  <c r="D280" i="2"/>
  <c r="D277" i="2"/>
  <c r="D274" i="2"/>
  <c r="D269" i="2"/>
  <c r="D266" i="2"/>
  <c r="D265" i="2"/>
  <c r="D264" i="2"/>
  <c r="D263" i="2"/>
  <c r="D257" i="2"/>
  <c r="D256" i="2"/>
  <c r="D255" i="2"/>
  <c r="D254" i="2"/>
  <c r="D253" i="2"/>
  <c r="D252" i="2"/>
  <c r="D249" i="2"/>
  <c r="D247" i="2"/>
  <c r="D248" i="2"/>
  <c r="D244" i="2"/>
  <c r="D241" i="2"/>
  <c r="D240" i="2"/>
  <c r="D237" i="2"/>
  <c r="D236" i="2"/>
  <c r="D230" i="2"/>
  <c r="D227" i="2"/>
  <c r="D217" i="2"/>
  <c r="D221" i="2"/>
  <c r="D216" i="2"/>
  <c r="D220" i="2"/>
  <c r="D215" i="2"/>
  <c r="D203" i="2"/>
  <c r="D207" i="2"/>
  <c r="D206" i="2"/>
  <c r="D384" i="2"/>
  <c r="D383" i="2"/>
  <c r="D382" i="2"/>
  <c r="D381" i="2"/>
  <c r="D380" i="2"/>
  <c r="D377" i="2"/>
  <c r="D376" i="2"/>
  <c r="D375" i="2"/>
  <c r="D374" i="2"/>
  <c r="D371" i="2"/>
  <c r="D370" i="2"/>
  <c r="D367" i="2"/>
  <c r="D366" i="2"/>
  <c r="D363" i="2"/>
  <c r="D362" i="2"/>
  <c r="D360" i="2"/>
  <c r="D359" i="2"/>
  <c r="D163" i="2"/>
  <c r="D157" i="2"/>
  <c r="D162" i="2"/>
  <c r="D154" i="2"/>
  <c r="D153" i="2"/>
  <c r="D152" i="2"/>
  <c r="D151" i="2"/>
  <c r="D150" i="2"/>
  <c r="D145" i="2"/>
  <c r="D147" i="2"/>
  <c r="D146" i="2"/>
  <c r="D99" i="2"/>
  <c r="D94" i="2"/>
  <c r="D93" i="2"/>
  <c r="D92" i="2"/>
  <c r="D91" i="2"/>
  <c r="D90" i="2"/>
  <c r="D89" i="2"/>
  <c r="D86" i="2"/>
  <c r="D85" i="2"/>
  <c r="D84" i="2"/>
  <c r="D81" i="2"/>
  <c r="D73" i="2"/>
  <c r="D75" i="2"/>
  <c r="D70" i="2"/>
  <c r="D74" i="2"/>
  <c r="D69" i="2"/>
  <c r="D68" i="2"/>
  <c r="D67" i="2"/>
  <c r="D66" i="2"/>
  <c r="D62" i="2"/>
  <c r="D58" i="2"/>
  <c r="D59" i="2"/>
  <c r="AA413" i="2"/>
  <c r="AD413" i="2"/>
  <c r="AC413" i="2"/>
  <c r="AB413" i="2"/>
  <c r="V413" i="2"/>
  <c r="Y413" i="2"/>
  <c r="X413" i="2"/>
  <c r="W413" i="2"/>
  <c r="AA412" i="2"/>
  <c r="AD412" i="2"/>
  <c r="AC412" i="2"/>
  <c r="AB412" i="2"/>
  <c r="V412" i="2"/>
  <c r="Y412" i="2"/>
  <c r="X412" i="2"/>
  <c r="W412" i="2"/>
  <c r="AA410" i="2"/>
  <c r="AD410" i="2"/>
  <c r="AC410" i="2"/>
  <c r="AB410" i="2"/>
  <c r="V410" i="2"/>
  <c r="Y410" i="2"/>
  <c r="X410" i="2"/>
  <c r="W410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4" i="2"/>
  <c r="AD404" i="2"/>
  <c r="AC404" i="2"/>
  <c r="AB404" i="2"/>
  <c r="V404" i="2"/>
  <c r="Y404" i="2"/>
  <c r="X404" i="2"/>
  <c r="W404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7" i="2"/>
  <c r="AD397" i="2"/>
  <c r="AC397" i="2"/>
  <c r="AB397" i="2"/>
  <c r="V397" i="2"/>
  <c r="Y397" i="2"/>
  <c r="X397" i="2"/>
  <c r="W397" i="2"/>
  <c r="AA394" i="2"/>
  <c r="AD394" i="2"/>
  <c r="AC394" i="2"/>
  <c r="AB394" i="2"/>
  <c r="V394" i="2"/>
  <c r="Y394" i="2"/>
  <c r="X394" i="2"/>
  <c r="W394" i="2"/>
  <c r="AA197" i="2"/>
  <c r="AD197" i="2"/>
  <c r="AC197" i="2"/>
  <c r="AB197" i="2"/>
  <c r="V197" i="2"/>
  <c r="Y197" i="2"/>
  <c r="X197" i="2"/>
  <c r="W197" i="2"/>
  <c r="AA195" i="2"/>
  <c r="AD195" i="2"/>
  <c r="AC195" i="2"/>
  <c r="AB195" i="2"/>
  <c r="V195" i="2"/>
  <c r="Y195" i="2"/>
  <c r="X195" i="2"/>
  <c r="W195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8" i="2"/>
  <c r="AD188" i="2"/>
  <c r="AC188" i="2"/>
  <c r="AB188" i="2"/>
  <c r="V188" i="2"/>
  <c r="Y188" i="2"/>
  <c r="X188" i="2"/>
  <c r="W188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81" i="2"/>
  <c r="AD181" i="2"/>
  <c r="AC181" i="2"/>
  <c r="AB181" i="2"/>
  <c r="V181" i="2"/>
  <c r="Y181" i="2"/>
  <c r="X181" i="2"/>
  <c r="W181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4" i="2"/>
  <c r="AD174" i="2"/>
  <c r="AC174" i="2"/>
  <c r="AB174" i="2"/>
  <c r="V174" i="2"/>
  <c r="Y174" i="2"/>
  <c r="X174" i="2"/>
  <c r="W174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169" i="2"/>
  <c r="AD169" i="2"/>
  <c r="AC169" i="2"/>
  <c r="AB169" i="2"/>
  <c r="V169" i="2"/>
  <c r="Y169" i="2"/>
  <c r="X169" i="2"/>
  <c r="W169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7" i="2"/>
  <c r="AD347" i="2"/>
  <c r="AC347" i="2"/>
  <c r="AB347" i="2"/>
  <c r="V347" i="2"/>
  <c r="Y347" i="2"/>
  <c r="X347" i="2"/>
  <c r="W347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9" i="2"/>
  <c r="AD339" i="2"/>
  <c r="AC339" i="2"/>
  <c r="AB339" i="2"/>
  <c r="V339" i="2"/>
  <c r="Y339" i="2"/>
  <c r="X339" i="2"/>
  <c r="W339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30" i="2"/>
  <c r="AD330" i="2"/>
  <c r="AC330" i="2"/>
  <c r="AB330" i="2"/>
  <c r="V330" i="2"/>
  <c r="Y330" i="2"/>
  <c r="X330" i="2"/>
  <c r="W330" i="2"/>
  <c r="AA326" i="2"/>
  <c r="AD326" i="2"/>
  <c r="AC326" i="2"/>
  <c r="AB326" i="2"/>
  <c r="V326" i="2"/>
  <c r="Y326" i="2"/>
  <c r="X326" i="2"/>
  <c r="W326" i="2"/>
  <c r="AA329" i="2"/>
  <c r="AD329" i="2"/>
  <c r="AC329" i="2"/>
  <c r="AB329" i="2"/>
  <c r="V329" i="2"/>
  <c r="Y329" i="2"/>
  <c r="X329" i="2"/>
  <c r="W329" i="2"/>
  <c r="AA139" i="2"/>
  <c r="AD139" i="2"/>
  <c r="AC139" i="2"/>
  <c r="AB139" i="2"/>
  <c r="V139" i="2"/>
  <c r="Y139" i="2"/>
  <c r="X139" i="2"/>
  <c r="W139" i="2"/>
  <c r="AA134" i="2"/>
  <c r="AD134" i="2"/>
  <c r="AC134" i="2"/>
  <c r="AB134" i="2"/>
  <c r="V134" i="2"/>
  <c r="Y134" i="2"/>
  <c r="X134" i="2"/>
  <c r="W134" i="2"/>
  <c r="AA133" i="2"/>
  <c r="AD133" i="2"/>
  <c r="AC133" i="2"/>
  <c r="AB133" i="2"/>
  <c r="V133" i="2"/>
  <c r="Y133" i="2"/>
  <c r="X133" i="2"/>
  <c r="W133" i="2"/>
  <c r="AA130" i="2"/>
  <c r="AD130" i="2"/>
  <c r="AC130" i="2"/>
  <c r="AB130" i="2"/>
  <c r="V130" i="2"/>
  <c r="Y130" i="2"/>
  <c r="X130" i="2"/>
  <c r="W130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20" i="2"/>
  <c r="AD120" i="2"/>
  <c r="AC120" i="2"/>
  <c r="AB120" i="2"/>
  <c r="V120" i="2"/>
  <c r="Y120" i="2"/>
  <c r="X120" i="2"/>
  <c r="W120" i="2"/>
  <c r="AA117" i="2"/>
  <c r="AD117" i="2"/>
  <c r="AC117" i="2"/>
  <c r="AB117" i="2"/>
  <c r="V117" i="2"/>
  <c r="Y117" i="2"/>
  <c r="X117" i="2"/>
  <c r="W117" i="2"/>
  <c r="AA116" i="2"/>
  <c r="AD116" i="2"/>
  <c r="AC116" i="2"/>
  <c r="AB116" i="2"/>
  <c r="V116" i="2"/>
  <c r="Y116" i="2"/>
  <c r="X116" i="2"/>
  <c r="W116" i="2"/>
  <c r="AA113" i="2"/>
  <c r="AD113" i="2"/>
  <c r="AC113" i="2"/>
  <c r="AB113" i="2"/>
  <c r="V113" i="2"/>
  <c r="Y113" i="2"/>
  <c r="X113" i="2"/>
  <c r="W113" i="2"/>
  <c r="AA112" i="2"/>
  <c r="AD112" i="2"/>
  <c r="AC112" i="2"/>
  <c r="AB112" i="2"/>
  <c r="V112" i="2"/>
  <c r="Y112" i="2"/>
  <c r="X112" i="2"/>
  <c r="W112" i="2"/>
  <c r="AA108" i="2"/>
  <c r="AD108" i="2"/>
  <c r="AC108" i="2"/>
  <c r="AB108" i="2"/>
  <c r="V108" i="2"/>
  <c r="Y108" i="2"/>
  <c r="X108" i="2"/>
  <c r="W108" i="2"/>
  <c r="AA280" i="2"/>
  <c r="AD280" i="2"/>
  <c r="AC280" i="2"/>
  <c r="AB280" i="2"/>
  <c r="V280" i="2"/>
  <c r="Y280" i="2"/>
  <c r="X280" i="2"/>
  <c r="W280" i="2"/>
  <c r="AA277" i="2"/>
  <c r="AD277" i="2"/>
  <c r="AC277" i="2"/>
  <c r="AB277" i="2"/>
  <c r="V277" i="2"/>
  <c r="Y277" i="2"/>
  <c r="X277" i="2"/>
  <c r="W277" i="2"/>
  <c r="AA274" i="2"/>
  <c r="AD274" i="2"/>
  <c r="AC274" i="2"/>
  <c r="AB274" i="2"/>
  <c r="V274" i="2"/>
  <c r="Y274" i="2"/>
  <c r="X274" i="2"/>
  <c r="W274" i="2"/>
  <c r="AA269" i="2"/>
  <c r="AD269" i="2"/>
  <c r="AC269" i="2"/>
  <c r="AB269" i="2"/>
  <c r="V269" i="2"/>
  <c r="Y269" i="2"/>
  <c r="X269" i="2"/>
  <c r="W269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63" i="2"/>
  <c r="AD263" i="2"/>
  <c r="AC263" i="2"/>
  <c r="AB263" i="2"/>
  <c r="V263" i="2"/>
  <c r="Y263" i="2"/>
  <c r="X263" i="2"/>
  <c r="W263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2" i="2"/>
  <c r="AD252" i="2"/>
  <c r="AC252" i="2"/>
  <c r="AB252" i="2"/>
  <c r="V252" i="2"/>
  <c r="Y252" i="2"/>
  <c r="X252" i="2"/>
  <c r="W252" i="2"/>
  <c r="AA249" i="2"/>
  <c r="AD249" i="2"/>
  <c r="AC249" i="2"/>
  <c r="AB249" i="2"/>
  <c r="V249" i="2"/>
  <c r="Y249" i="2"/>
  <c r="X249" i="2"/>
  <c r="W249" i="2"/>
  <c r="AA247" i="2"/>
  <c r="AD247" i="2"/>
  <c r="AC247" i="2"/>
  <c r="AB247" i="2"/>
  <c r="V247" i="2"/>
  <c r="Y247" i="2"/>
  <c r="X247" i="2"/>
  <c r="W247" i="2"/>
  <c r="AA248" i="2"/>
  <c r="AD248" i="2"/>
  <c r="AC248" i="2"/>
  <c r="AB248" i="2"/>
  <c r="V248" i="2"/>
  <c r="Y248" i="2"/>
  <c r="X248" i="2"/>
  <c r="W248" i="2"/>
  <c r="AA244" i="2"/>
  <c r="AD244" i="2"/>
  <c r="AC244" i="2"/>
  <c r="AB244" i="2"/>
  <c r="V244" i="2"/>
  <c r="Y244" i="2"/>
  <c r="X244" i="2"/>
  <c r="W244" i="2"/>
  <c r="AA241" i="2"/>
  <c r="AD241" i="2"/>
  <c r="AC241" i="2"/>
  <c r="AB241" i="2"/>
  <c r="V241" i="2"/>
  <c r="Y241" i="2"/>
  <c r="X241" i="2"/>
  <c r="W241" i="2"/>
  <c r="AA240" i="2"/>
  <c r="AD240" i="2"/>
  <c r="AC240" i="2"/>
  <c r="AB240" i="2"/>
  <c r="V240" i="2"/>
  <c r="Y240" i="2"/>
  <c r="X240" i="2"/>
  <c r="W240" i="2"/>
  <c r="AA237" i="2"/>
  <c r="AD237" i="2"/>
  <c r="AC237" i="2"/>
  <c r="AB237" i="2"/>
  <c r="V237" i="2"/>
  <c r="Y237" i="2"/>
  <c r="X237" i="2"/>
  <c r="W237" i="2"/>
  <c r="AA236" i="2"/>
  <c r="AD236" i="2"/>
  <c r="AC236" i="2"/>
  <c r="AB236" i="2"/>
  <c r="V236" i="2"/>
  <c r="Y236" i="2"/>
  <c r="X236" i="2"/>
  <c r="W236" i="2"/>
  <c r="AA230" i="2"/>
  <c r="AD230" i="2"/>
  <c r="AC230" i="2"/>
  <c r="AB230" i="2"/>
  <c r="V230" i="2"/>
  <c r="Y230" i="2"/>
  <c r="X230" i="2"/>
  <c r="AA227" i="2"/>
  <c r="AD227" i="2"/>
  <c r="AC227" i="2"/>
  <c r="AB227" i="2"/>
  <c r="V227" i="2"/>
  <c r="Y227" i="2"/>
  <c r="X227" i="2"/>
  <c r="W227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20" i="2"/>
  <c r="AD220" i="2"/>
  <c r="AC220" i="2"/>
  <c r="AB220" i="2"/>
  <c r="V220" i="2"/>
  <c r="Y220" i="2"/>
  <c r="X220" i="2"/>
  <c r="W220" i="2"/>
  <c r="AA215" i="2"/>
  <c r="AD215" i="2"/>
  <c r="AC215" i="2"/>
  <c r="AB215" i="2"/>
  <c r="V215" i="2"/>
  <c r="Y215" i="2"/>
  <c r="X215" i="2"/>
  <c r="W215" i="2"/>
  <c r="AA203" i="2"/>
  <c r="AD203" i="2"/>
  <c r="AC203" i="2"/>
  <c r="AB203" i="2"/>
  <c r="V203" i="2"/>
  <c r="Y203" i="2"/>
  <c r="X203" i="2"/>
  <c r="W203" i="2"/>
  <c r="AA207" i="2"/>
  <c r="AD207" i="2"/>
  <c r="AC207" i="2"/>
  <c r="AB207" i="2"/>
  <c r="V207" i="2"/>
  <c r="Y207" i="2"/>
  <c r="X207" i="2"/>
  <c r="W207" i="2"/>
  <c r="AA206" i="2"/>
  <c r="AD206" i="2"/>
  <c r="AC206" i="2"/>
  <c r="AB206" i="2"/>
  <c r="V206" i="2"/>
  <c r="Y206" i="2"/>
  <c r="X206" i="2"/>
  <c r="W206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80" i="2"/>
  <c r="AD380" i="2"/>
  <c r="AC380" i="2"/>
  <c r="AB380" i="2"/>
  <c r="V380" i="2"/>
  <c r="Y380" i="2"/>
  <c r="X380" i="2"/>
  <c r="W380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4" i="2"/>
  <c r="AD374" i="2"/>
  <c r="AC374" i="2"/>
  <c r="AB374" i="2"/>
  <c r="V374" i="2"/>
  <c r="Y374" i="2"/>
  <c r="X374" i="2"/>
  <c r="W374" i="2"/>
  <c r="AA371" i="2"/>
  <c r="AD371" i="2"/>
  <c r="AC371" i="2"/>
  <c r="AB371" i="2"/>
  <c r="V371" i="2"/>
  <c r="Y371" i="2"/>
  <c r="X371" i="2"/>
  <c r="W371" i="2"/>
  <c r="AA370" i="2"/>
  <c r="AD370" i="2"/>
  <c r="AC370" i="2"/>
  <c r="AB370" i="2"/>
  <c r="V370" i="2"/>
  <c r="Y370" i="2"/>
  <c r="X370" i="2"/>
  <c r="W370" i="2"/>
  <c r="AA367" i="2"/>
  <c r="AD367" i="2"/>
  <c r="AC367" i="2"/>
  <c r="AB367" i="2"/>
  <c r="V367" i="2"/>
  <c r="Y367" i="2"/>
  <c r="X367" i="2"/>
  <c r="W367" i="2"/>
  <c r="AA366" i="2"/>
  <c r="AD366" i="2"/>
  <c r="AC366" i="2"/>
  <c r="AB366" i="2"/>
  <c r="V366" i="2"/>
  <c r="Y366" i="2"/>
  <c r="X366" i="2"/>
  <c r="W366" i="2"/>
  <c r="AA363" i="2"/>
  <c r="AD363" i="2"/>
  <c r="AC363" i="2"/>
  <c r="AB363" i="2"/>
  <c r="V363" i="2"/>
  <c r="Y363" i="2"/>
  <c r="X363" i="2"/>
  <c r="W363" i="2"/>
  <c r="AA362" i="2"/>
  <c r="AD362" i="2"/>
  <c r="AC362" i="2"/>
  <c r="AB362" i="2"/>
  <c r="V362" i="2"/>
  <c r="Y362" i="2"/>
  <c r="X362" i="2"/>
  <c r="W362" i="2"/>
  <c r="AA360" i="2"/>
  <c r="AD360" i="2"/>
  <c r="AC360" i="2"/>
  <c r="AB360" i="2"/>
  <c r="V360" i="2"/>
  <c r="Y360" i="2"/>
  <c r="X360" i="2"/>
  <c r="W360" i="2"/>
  <c r="AA359" i="2"/>
  <c r="AD359" i="2"/>
  <c r="AC359" i="2"/>
  <c r="AB359" i="2"/>
  <c r="V359" i="2"/>
  <c r="Y359" i="2"/>
  <c r="X359" i="2"/>
  <c r="W359" i="2"/>
  <c r="AA157" i="2"/>
  <c r="AD157" i="2"/>
  <c r="AC157" i="2"/>
  <c r="AB157" i="2"/>
  <c r="V157" i="2"/>
  <c r="Y157" i="2"/>
  <c r="X157" i="2"/>
  <c r="W157" i="2"/>
  <c r="AA163" i="2"/>
  <c r="AD163" i="2"/>
  <c r="AC163" i="2"/>
  <c r="AB163" i="2"/>
  <c r="V163" i="2"/>
  <c r="Y163" i="2"/>
  <c r="X163" i="2"/>
  <c r="W163" i="2"/>
  <c r="AA162" i="2"/>
  <c r="AD162" i="2"/>
  <c r="AC162" i="2"/>
  <c r="AB162" i="2"/>
  <c r="V162" i="2"/>
  <c r="Y162" i="2"/>
  <c r="X162" i="2"/>
  <c r="W162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50" i="2"/>
  <c r="AD150" i="2"/>
  <c r="AC150" i="2"/>
  <c r="AB150" i="2"/>
  <c r="V150" i="2"/>
  <c r="Y150" i="2"/>
  <c r="X150" i="2"/>
  <c r="W150" i="2"/>
  <c r="AA147" i="2"/>
  <c r="AD147" i="2"/>
  <c r="AC147" i="2"/>
  <c r="AB147" i="2"/>
  <c r="V147" i="2"/>
  <c r="Y147" i="2"/>
  <c r="X147" i="2"/>
  <c r="W147" i="2"/>
  <c r="AA146" i="2"/>
  <c r="AD146" i="2"/>
  <c r="AC146" i="2"/>
  <c r="AB146" i="2"/>
  <c r="Y146" i="2"/>
  <c r="X146" i="2"/>
  <c r="AA145" i="2"/>
  <c r="AD145" i="2"/>
  <c r="AC145" i="2"/>
  <c r="AB145" i="2"/>
  <c r="V145" i="2"/>
  <c r="Y145" i="2"/>
  <c r="X145" i="2"/>
  <c r="W145" i="2"/>
  <c r="AA99" i="2"/>
  <c r="AD99" i="2"/>
  <c r="AC99" i="2"/>
  <c r="AB99" i="2"/>
  <c r="V99" i="2"/>
  <c r="Y99" i="2"/>
  <c r="X99" i="2"/>
  <c r="W99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9" i="2"/>
  <c r="AD89" i="2"/>
  <c r="AC89" i="2"/>
  <c r="AB89" i="2"/>
  <c r="V89" i="2"/>
  <c r="Y89" i="2"/>
  <c r="X89" i="2"/>
  <c r="W89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4" i="2"/>
  <c r="AD84" i="2"/>
  <c r="AC84" i="2"/>
  <c r="AB84" i="2"/>
  <c r="V84" i="2"/>
  <c r="Y84" i="2"/>
  <c r="X84" i="2"/>
  <c r="W84" i="2"/>
  <c r="AA81" i="2"/>
  <c r="AD81" i="2"/>
  <c r="AC81" i="2"/>
  <c r="AB81" i="2"/>
  <c r="V81" i="2"/>
  <c r="Y81" i="2"/>
  <c r="X81" i="2"/>
  <c r="W8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6" i="2"/>
  <c r="AD66" i="2"/>
  <c r="AC66" i="2"/>
  <c r="AB66" i="2"/>
  <c r="V66" i="2"/>
  <c r="Y66" i="2"/>
  <c r="X66" i="2"/>
  <c r="W66" i="2"/>
  <c r="AA62" i="2"/>
  <c r="AD62" i="2"/>
  <c r="AC62" i="2"/>
  <c r="AB62" i="2"/>
  <c r="V62" i="2"/>
  <c r="Y62" i="2"/>
  <c r="X62" i="2"/>
  <c r="W62" i="2"/>
  <c r="AA63" i="2"/>
  <c r="AD63" i="2"/>
  <c r="AC63" i="2"/>
  <c r="AB63" i="2"/>
  <c r="V63" i="2"/>
  <c r="Y63" i="2"/>
  <c r="X63" i="2"/>
  <c r="W63" i="2"/>
  <c r="AA59" i="2"/>
  <c r="AD59" i="2"/>
  <c r="AC59" i="2"/>
  <c r="AB59" i="2"/>
  <c r="V59" i="2"/>
  <c r="Y59" i="2"/>
  <c r="X59" i="2"/>
  <c r="W59" i="2"/>
  <c r="AA58" i="2"/>
  <c r="AD58" i="2"/>
  <c r="AC58" i="2"/>
  <c r="AB58" i="2"/>
  <c r="V58" i="2"/>
  <c r="Y58" i="2"/>
  <c r="X58" i="2"/>
  <c r="W58" i="2"/>
  <c r="AA52" i="2"/>
  <c r="AD52" i="2"/>
  <c r="AC52" i="2"/>
  <c r="AB52" i="2"/>
  <c r="V52" i="2"/>
  <c r="Y52" i="2"/>
  <c r="X52" i="2"/>
  <c r="W52" i="2"/>
  <c r="AA47" i="2"/>
  <c r="AD47" i="2"/>
  <c r="AC47" i="2"/>
  <c r="AB47" i="2"/>
  <c r="V47" i="2"/>
  <c r="Y47" i="2"/>
  <c r="X47" i="2"/>
  <c r="W47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41" i="2"/>
  <c r="AD41" i="2"/>
  <c r="AC41" i="2"/>
  <c r="AB41" i="2"/>
  <c r="V41" i="2"/>
  <c r="Y41" i="2"/>
  <c r="X41" i="2"/>
  <c r="W41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AA36" i="2"/>
  <c r="AD36" i="2"/>
  <c r="AC36" i="2"/>
  <c r="AB36" i="2"/>
  <c r="V36" i="2"/>
  <c r="Y36" i="2"/>
  <c r="X36" i="2"/>
  <c r="W36" i="2"/>
  <c r="G39" i="1"/>
  <c r="M189" i="2"/>
  <c r="H39" i="1"/>
  <c r="N189" i="2"/>
  <c r="P410" i="2"/>
  <c r="O410" i="2"/>
  <c r="P398" i="2"/>
  <c r="O398" i="2"/>
  <c r="G57" i="1"/>
  <c r="M397" i="2"/>
  <c r="G14" i="1"/>
  <c r="M195" i="2"/>
  <c r="P190" i="2"/>
  <c r="O190" i="2"/>
  <c r="P189" i="2"/>
  <c r="P185" i="2"/>
  <c r="O185" i="2"/>
  <c r="G82" i="1"/>
  <c r="M175" i="2"/>
  <c r="G71" i="1"/>
  <c r="M174" i="2"/>
  <c r="G81" i="1"/>
  <c r="M171" i="2"/>
  <c r="N170" i="2"/>
  <c r="P170" i="2"/>
  <c r="P348" i="2"/>
  <c r="O348" i="2"/>
  <c r="P347" i="2"/>
  <c r="O347" i="2"/>
  <c r="P342" i="2"/>
  <c r="O342" i="2"/>
  <c r="G95" i="1"/>
  <c r="M339" i="2"/>
  <c r="P326" i="2"/>
  <c r="O326" i="2"/>
  <c r="M329" i="2"/>
  <c r="M130" i="2"/>
  <c r="P116" i="2"/>
  <c r="O116" i="2"/>
  <c r="M113" i="2"/>
  <c r="G55" i="1"/>
  <c r="M280" i="2"/>
  <c r="P277" i="2"/>
  <c r="H93" i="1"/>
  <c r="N274" i="2"/>
  <c r="P274" i="2"/>
  <c r="M269" i="2"/>
  <c r="G88" i="1"/>
  <c r="M255" i="2"/>
  <c r="G64" i="1"/>
  <c r="M254" i="2"/>
  <c r="P247" i="2"/>
  <c r="O247" i="2"/>
  <c r="P244" i="2"/>
  <c r="O244" i="2"/>
  <c r="G76" i="1"/>
  <c r="M241" i="2"/>
  <c r="G20" i="1"/>
  <c r="M240" i="2"/>
  <c r="G63" i="1"/>
  <c r="M236" i="2"/>
  <c r="M217" i="2"/>
  <c r="G56" i="1"/>
  <c r="M221" i="2"/>
  <c r="M216" i="2"/>
  <c r="P215" i="2"/>
  <c r="O215" i="2"/>
  <c r="M203" i="2"/>
  <c r="P380" i="2"/>
  <c r="O380" i="2"/>
  <c r="M367" i="2"/>
  <c r="M366" i="2"/>
  <c r="M363" i="2"/>
  <c r="P360" i="2"/>
  <c r="O360" i="2"/>
  <c r="M359" i="2"/>
  <c r="P154" i="2"/>
  <c r="O154" i="2"/>
  <c r="P153" i="2"/>
  <c r="O153" i="2"/>
  <c r="P152" i="2"/>
  <c r="O152" i="2"/>
  <c r="M151" i="2"/>
  <c r="P150" i="2"/>
  <c r="O150" i="2"/>
  <c r="M145" i="2"/>
  <c r="P93" i="2"/>
  <c r="O93" i="2"/>
  <c r="P62" i="2"/>
  <c r="O62" i="2"/>
  <c r="M47" i="2"/>
  <c r="M37" i="2"/>
  <c r="C52" i="2"/>
  <c r="B52" i="2"/>
  <c r="C47" i="2"/>
  <c r="B47" i="2"/>
  <c r="C44" i="2"/>
  <c r="B44" i="2"/>
  <c r="C43" i="2"/>
  <c r="B43" i="2"/>
  <c r="C42" i="2"/>
  <c r="B42" i="2"/>
  <c r="C41" i="2"/>
  <c r="B41" i="2"/>
  <c r="C37" i="2"/>
  <c r="B37" i="2"/>
  <c r="C36" i="2"/>
  <c r="B36" i="2"/>
  <c r="C38" i="2"/>
  <c r="B38" i="2"/>
  <c r="C412" i="2"/>
  <c r="C411" i="2"/>
  <c r="C410" i="2"/>
  <c r="B410" i="2"/>
  <c r="C407" i="2"/>
  <c r="B407" i="2"/>
  <c r="C406" i="2"/>
  <c r="B406" i="2"/>
  <c r="C405" i="2"/>
  <c r="B405" i="2"/>
  <c r="C404" i="2"/>
  <c r="B404" i="2"/>
  <c r="C394" i="2"/>
  <c r="B394" i="2"/>
  <c r="C401" i="2"/>
  <c r="B401" i="2"/>
  <c r="C400" i="2"/>
  <c r="B400" i="2"/>
  <c r="C399" i="2"/>
  <c r="B399" i="2"/>
  <c r="C398" i="2"/>
  <c r="B398" i="2"/>
  <c r="C397" i="2"/>
  <c r="B397" i="2"/>
  <c r="C197" i="2"/>
  <c r="C196" i="2"/>
  <c r="C195" i="2"/>
  <c r="B195" i="2"/>
  <c r="C188" i="2"/>
  <c r="B188" i="2"/>
  <c r="C189" i="2"/>
  <c r="B189" i="2"/>
  <c r="C190" i="2"/>
  <c r="B190" i="2"/>
  <c r="C182" i="2"/>
  <c r="B182" i="2"/>
  <c r="C181" i="2"/>
  <c r="B181" i="2"/>
  <c r="C184" i="2"/>
  <c r="B184" i="2"/>
  <c r="C183" i="2"/>
  <c r="B183" i="2"/>
  <c r="C185" i="2"/>
  <c r="B185" i="2"/>
  <c r="C174" i="2"/>
  <c r="B174" i="2"/>
  <c r="C176" i="2"/>
  <c r="B176" i="2"/>
  <c r="C175" i="2"/>
  <c r="B175" i="2"/>
  <c r="C177" i="2"/>
  <c r="B177" i="2"/>
  <c r="C178" i="2"/>
  <c r="B178" i="2"/>
  <c r="C171" i="2"/>
  <c r="B171" i="2"/>
  <c r="C169" i="2"/>
  <c r="C170" i="2"/>
  <c r="B170" i="2"/>
  <c r="C351" i="2"/>
  <c r="C350" i="2"/>
  <c r="C349" i="2"/>
  <c r="C341" i="2"/>
  <c r="B341" i="2"/>
  <c r="C340" i="2"/>
  <c r="B340" i="2"/>
  <c r="C339" i="2"/>
  <c r="B339" i="2"/>
  <c r="C347" i="2"/>
  <c r="B347" i="2"/>
  <c r="C342" i="2"/>
  <c r="B342" i="2"/>
  <c r="B333" i="2"/>
  <c r="B332" i="2"/>
  <c r="B331" i="2"/>
  <c r="B330" i="2"/>
  <c r="B326" i="2"/>
  <c r="C348" i="2"/>
  <c r="B348" i="2"/>
  <c r="C336" i="2"/>
  <c r="B336" i="2"/>
  <c r="C335" i="2"/>
  <c r="B335" i="2"/>
  <c r="C334" i="2"/>
  <c r="B334" i="2"/>
  <c r="C333" i="2"/>
  <c r="C332" i="2"/>
  <c r="C331" i="2"/>
  <c r="C330" i="2"/>
  <c r="C326" i="2"/>
  <c r="C329" i="2"/>
  <c r="B329" i="2"/>
  <c r="C382" i="2"/>
  <c r="C384" i="2"/>
  <c r="C383" i="2"/>
  <c r="B134" i="2"/>
  <c r="B133" i="2"/>
  <c r="B130" i="2"/>
  <c r="B122" i="2"/>
  <c r="B121" i="2"/>
  <c r="B120" i="2"/>
  <c r="B117" i="2"/>
  <c r="B116" i="2"/>
  <c r="B113" i="2"/>
  <c r="B112" i="2"/>
  <c r="B108" i="2"/>
  <c r="B280" i="2"/>
  <c r="B277" i="2"/>
  <c r="B274" i="2"/>
  <c r="B269" i="2"/>
  <c r="B266" i="2"/>
  <c r="B265" i="2"/>
  <c r="B264" i="2"/>
  <c r="B263" i="2"/>
  <c r="B255" i="2"/>
  <c r="B254" i="2"/>
  <c r="B253" i="2"/>
  <c r="B252" i="2"/>
  <c r="B249" i="2"/>
  <c r="B247" i="2"/>
  <c r="B248" i="2"/>
  <c r="B244" i="2"/>
  <c r="B241" i="2"/>
  <c r="B240" i="2"/>
  <c r="B237" i="2"/>
  <c r="B236" i="2"/>
  <c r="B217" i="2"/>
  <c r="B221" i="2"/>
  <c r="B216" i="2"/>
  <c r="B220" i="2"/>
  <c r="B215" i="2"/>
  <c r="B203" i="2"/>
  <c r="B207" i="2"/>
  <c r="B206" i="2"/>
  <c r="B381" i="2"/>
  <c r="B380" i="2"/>
  <c r="B377" i="2"/>
  <c r="B376" i="2"/>
  <c r="B375" i="2"/>
  <c r="B374" i="2"/>
  <c r="B371" i="2"/>
  <c r="B370" i="2"/>
  <c r="B367" i="2"/>
  <c r="B366" i="2"/>
  <c r="B363" i="2"/>
  <c r="B362" i="2"/>
  <c r="B360" i="2"/>
  <c r="B359" i="2"/>
  <c r="B157" i="2"/>
  <c r="B154" i="2"/>
  <c r="B153" i="2"/>
  <c r="B152" i="2"/>
  <c r="B151" i="2"/>
  <c r="B150" i="2"/>
  <c r="B147" i="2"/>
  <c r="B146" i="2"/>
  <c r="B145" i="2"/>
  <c r="B99" i="2"/>
  <c r="B94" i="2"/>
  <c r="B93" i="2"/>
  <c r="B92" i="2"/>
  <c r="B91" i="2"/>
  <c r="B90" i="2"/>
  <c r="B89" i="2"/>
  <c r="B86" i="2"/>
  <c r="B85" i="2"/>
  <c r="B84" i="2"/>
  <c r="B81" i="2"/>
  <c r="B70" i="2"/>
  <c r="B69" i="2"/>
  <c r="B68" i="2"/>
  <c r="B67" i="2"/>
  <c r="B66" i="2"/>
  <c r="B62" i="2"/>
  <c r="B63" i="2"/>
  <c r="B59" i="2"/>
  <c r="B58" i="2"/>
  <c r="C381" i="2"/>
  <c r="C139" i="2"/>
  <c r="C134" i="2"/>
  <c r="C133" i="2"/>
  <c r="C130" i="2"/>
  <c r="C122" i="2"/>
  <c r="C121" i="2"/>
  <c r="C120" i="2"/>
  <c r="C117" i="2"/>
  <c r="C116" i="2"/>
  <c r="C113" i="2"/>
  <c r="C112" i="2"/>
  <c r="C108" i="2"/>
  <c r="C280" i="2"/>
  <c r="C277" i="2"/>
  <c r="C274" i="2"/>
  <c r="C269" i="2"/>
  <c r="C266" i="2"/>
  <c r="C265" i="2"/>
  <c r="C264" i="2"/>
  <c r="C263" i="2"/>
  <c r="C255" i="2"/>
  <c r="C254" i="2"/>
  <c r="C253" i="2"/>
  <c r="C252" i="2"/>
  <c r="C249" i="2"/>
  <c r="C247" i="2"/>
  <c r="C248" i="2"/>
  <c r="C244" i="2"/>
  <c r="C241" i="2"/>
  <c r="C240" i="2"/>
  <c r="C237" i="2"/>
  <c r="C236" i="2"/>
  <c r="C230" i="2"/>
  <c r="C227" i="2"/>
  <c r="C217" i="2"/>
  <c r="C221" i="2"/>
  <c r="C216" i="2"/>
  <c r="C220" i="2"/>
  <c r="C215" i="2"/>
  <c r="C203" i="2"/>
  <c r="C207" i="2"/>
  <c r="C206" i="2"/>
  <c r="C380" i="2"/>
  <c r="C377" i="2"/>
  <c r="C376" i="2"/>
  <c r="C375" i="2"/>
  <c r="C374" i="2"/>
  <c r="C371" i="2"/>
  <c r="C370" i="2"/>
  <c r="C367" i="2"/>
  <c r="C366" i="2"/>
  <c r="C363" i="2"/>
  <c r="C362" i="2"/>
  <c r="C360" i="2"/>
  <c r="C359" i="2"/>
  <c r="C157" i="2"/>
  <c r="C163" i="2"/>
  <c r="C162" i="2"/>
  <c r="C154" i="2"/>
  <c r="C153" i="2"/>
  <c r="C152" i="2"/>
  <c r="C151" i="2"/>
  <c r="C150" i="2"/>
  <c r="C147" i="2"/>
  <c r="C146" i="2"/>
  <c r="C145" i="2"/>
  <c r="C99" i="2"/>
  <c r="C94" i="2"/>
  <c r="C93" i="2"/>
  <c r="C92" i="2"/>
  <c r="C91" i="2"/>
  <c r="C90" i="2"/>
  <c r="C89" i="2"/>
  <c r="C86" i="2"/>
  <c r="C85" i="2"/>
  <c r="C84" i="2"/>
  <c r="C81" i="2"/>
  <c r="C74" i="2"/>
  <c r="C70" i="2"/>
  <c r="C69" i="2"/>
  <c r="C68" i="2"/>
  <c r="C67" i="2"/>
  <c r="C66" i="2"/>
  <c r="C62" i="2"/>
  <c r="C63" i="2"/>
  <c r="C59" i="2"/>
  <c r="C58" i="2"/>
  <c r="H46" i="1"/>
  <c r="G46" i="1"/>
  <c r="H34" i="1"/>
  <c r="G34" i="1"/>
  <c r="H32" i="1"/>
  <c r="G32" i="1"/>
  <c r="F25" i="3" l="1"/>
  <c r="O25" i="3" s="1"/>
  <c r="K4" i="3"/>
  <c r="K63" i="3"/>
  <c r="F33" i="3"/>
  <c r="O33" i="3" s="1"/>
  <c r="K103" i="3"/>
  <c r="K104" i="3"/>
  <c r="K30" i="3"/>
  <c r="K40" i="3"/>
  <c r="K110" i="3"/>
  <c r="K23" i="3"/>
  <c r="K6" i="3"/>
  <c r="K55" i="3"/>
  <c r="K26" i="3"/>
  <c r="K89" i="3"/>
  <c r="K88" i="3"/>
  <c r="F32" i="3"/>
  <c r="O32" i="3" s="1"/>
  <c r="K14" i="3"/>
  <c r="K68" i="3"/>
  <c r="K97" i="3"/>
  <c r="K21" i="3"/>
  <c r="K57" i="3"/>
  <c r="K17" i="3"/>
  <c r="K34" i="3"/>
  <c r="F16" i="3"/>
  <c r="O16" i="3" s="1"/>
  <c r="K113" i="3"/>
  <c r="K41" i="3"/>
  <c r="K13" i="3"/>
  <c r="K81" i="3"/>
  <c r="K42" i="3"/>
  <c r="K52" i="3"/>
  <c r="K53" i="3"/>
  <c r="K80" i="3"/>
  <c r="K83" i="3"/>
  <c r="K11" i="3"/>
  <c r="K12" i="3"/>
  <c r="K43" i="3"/>
  <c r="K18" i="3"/>
  <c r="K44" i="3"/>
  <c r="K48" i="3"/>
  <c r="K29" i="3"/>
  <c r="K82" i="3"/>
  <c r="K87" i="3"/>
  <c r="K93" i="3"/>
  <c r="K96" i="3"/>
  <c r="K111" i="3"/>
  <c r="K56" i="3"/>
  <c r="K69" i="3"/>
  <c r="K94" i="3"/>
  <c r="K5" i="3"/>
  <c r="K85" i="3"/>
  <c r="K54" i="3"/>
  <c r="K50" i="3"/>
  <c r="K101" i="3"/>
  <c r="K99" i="3"/>
  <c r="K100" i="3"/>
  <c r="K102" i="3"/>
  <c r="K49" i="3"/>
  <c r="K90" i="3"/>
  <c r="F37" i="3"/>
  <c r="O37" i="3" s="1"/>
  <c r="K78" i="3"/>
  <c r="K2" i="3"/>
  <c r="K22" i="3"/>
  <c r="K25" i="3"/>
  <c r="K3" i="3"/>
  <c r="K38" i="3"/>
  <c r="K39" i="3"/>
  <c r="K112" i="3"/>
  <c r="K47" i="3"/>
  <c r="K61" i="3"/>
  <c r="K98" i="3"/>
  <c r="K109" i="3"/>
  <c r="K10" i="3"/>
  <c r="K9" i="3"/>
  <c r="K60" i="3"/>
  <c r="K36" i="3"/>
  <c r="K27" i="3"/>
  <c r="K7" i="3"/>
  <c r="K74" i="3"/>
  <c r="K15" i="3"/>
  <c r="K24" i="3"/>
  <c r="K19" i="3"/>
  <c r="K65" i="3"/>
  <c r="K51" i="3"/>
  <c r="K28" i="3"/>
  <c r="K8" i="3"/>
  <c r="K20" i="3"/>
  <c r="K35" i="3"/>
  <c r="K31" i="3"/>
  <c r="K33" i="3" l="1"/>
  <c r="K32" i="3"/>
  <c r="K37" i="3"/>
  <c r="K16" i="3"/>
</calcChain>
</file>

<file path=xl/sharedStrings.xml><?xml version="1.0" encoding="utf-8"?>
<sst xmlns="http://schemas.openxmlformats.org/spreadsheetml/2006/main" count="2080" uniqueCount="551">
  <si>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</si>
  <si>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</si>
  <si>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</si>
  <si>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</si>
  <si>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</si>
  <si>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</si>
  <si>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</si>
  <si>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</si>
  <si>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</si>
  <si>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</si>
  <si>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</si>
  <si>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</si>
  <si>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</si>
  <si>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</si>
  <si>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</si>
  <si>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</si>
  <si>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</si>
  <si>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</si>
  <si>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</si>
  <si>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</si>
  <si>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</si>
  <si>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</si>
  <si>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</si>
  <si>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GYPSY SOUP</t>
  </si>
  <si>
    <t>ITALIAN SOUP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</si>
  <si>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</si>
  <si>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</si>
  <si>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</si>
  <si>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</si>
  <si>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</si>
  <si>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</si>
  <si>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</si>
  <si>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</si>
  <si>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</si>
  <si>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</si>
  <si>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</si>
  <si>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</si>
  <si>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</si>
  <si>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</si>
  <si>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</si>
  <si>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</si>
  <si>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</si>
  <si>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</si>
  <si>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</si>
  <si>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</si>
  <si>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</si>
  <si>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</si>
  <si>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</si>
  <si>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</si>
  <si>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</si>
  <si>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</si>
  <si>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</si>
  <si>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</si>
  <si>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</si>
  <si>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</si>
  <si>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</si>
  <si>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</si>
  <si>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</si>
  <si>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</si>
  <si>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</si>
  <si>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</si>
  <si>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</si>
  <si>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</si>
  <si>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</si>
  <si>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</si>
  <si>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</si>
  <si>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</si>
  <si>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</si>
  <si>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</si>
  <si>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</si>
  <si>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</si>
  <si>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</si>
  <si>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</si>
  <si>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</si>
  <si>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</si>
  <si>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</si>
  <si>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</si>
  <si>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</si>
  <si>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</si>
  <si>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</si>
  <si>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</si>
  <si>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</si>
  <si>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</si>
  <si>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</si>
  <si>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</si>
  <si>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</si>
  <si>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</si>
  <si>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</si>
  <si>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</si>
  <si>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</si>
  <si>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</si>
  <si>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</si>
  <si>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</si>
  <si>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</si>
  <si>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</si>
  <si>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</si>
  <si>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</si>
  <si>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</si>
  <si>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</si>
  <si>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</si>
  <si>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</si>
  <si>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</si>
  <si>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</si>
  <si>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</si>
  <si>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</si>
  <si>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</si>
  <si>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</si>
  <si>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</si>
  <si>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</si>
  <si>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</si>
  <si>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</si>
  <si>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</si>
  <si>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</si>
  <si>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</si>
  <si>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</si>
  <si>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</si>
  <si>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</si>
  <si>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</si>
  <si>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</si>
  <si>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</si>
  <si>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</si>
  <si>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</si>
  <si>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</si>
  <si>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</si>
  <si>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</si>
  <si>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</si>
  <si>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</si>
  <si>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</si>
  <si>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</si>
  <si>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</si>
  <si>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</si>
  <si>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</si>
  <si>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</si>
  <si>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</si>
  <si>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</si>
  <si>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</si>
  <si>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</si>
  <si>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</si>
  <si>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</si>
  <si>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</si>
  <si>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</si>
  <si>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</si>
  <si>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</si>
  <si>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</si>
  <si>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</si>
  <si>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</si>
  <si>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</si>
  <si>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</si>
  <si>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</si>
  <si>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</si>
  <si>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</si>
  <si>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</si>
  <si>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</si>
  <si>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</si>
  <si>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</si>
  <si>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</si>
  <si>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</si>
  <si>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</si>
  <si>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</si>
  <si>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</si>
  <si>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</si>
  <si>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</si>
  <si>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</si>
  <si>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</si>
  <si>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</si>
  <si>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</si>
  <si>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</si>
  <si>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</si>
  <si>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</si>
  <si>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</si>
  <si>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</si>
  <si>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</si>
  <si>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</si>
  <si>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</si>
  <si>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</si>
  <si>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</si>
  <si>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</si>
  <si>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</si>
  <si>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</si>
  <si>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</si>
  <si>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</si>
  <si>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</si>
  <si>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</si>
  <si>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</si>
  <si>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</si>
  <si>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</si>
  <si>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</si>
  <si>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</si>
  <si>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</si>
  <si>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</si>
  <si>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</si>
  <si>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</si>
  <si>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</si>
  <si>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</si>
  <si>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</si>
  <si>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</si>
  <si>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</si>
  <si>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</si>
  <si>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</si>
  <si>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</si>
  <si>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</si>
  <si>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</si>
  <si>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</si>
  <si>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</si>
  <si>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</si>
  <si>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</si>
  <si>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</si>
  <si>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</si>
  <si>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</si>
  <si>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</si>
  <si>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</si>
  <si>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</si>
  <si>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</si>
  <si>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</si>
  <si>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</si>
  <si>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</si>
  <si>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</si>
  <si>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</si>
  <si>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</si>
  <si>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</si>
  <si>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</si>
  <si>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</si>
  <si>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</si>
  <si>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</si>
  <si>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</si>
  <si>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</si>
  <si>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</si>
  <si>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</si>
  <si>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</si>
  <si>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</si>
  <si>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</si>
  <si>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</si>
  <si>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</si>
  <si>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</si>
  <si>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</si>
  <si>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</si>
  <si>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</si>
  <si>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</si>
  <si>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</si>
  <si>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</si>
  <si>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</si>
  <si>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</si>
  <si>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</si>
  <si>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</si>
  <si>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</si>
  <si>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</si>
  <si>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</si>
  <si>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</si>
  <si>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</si>
  <si>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</si>
  <si>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</si>
  <si>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</si>
  <si>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</si>
  <si>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</si>
  <si>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</si>
  <si>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</si>
  <si>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</si>
  <si>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</si>
  <si>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</si>
  <si>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</si>
  <si>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</si>
  <si>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</si>
  <si>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</si>
  <si>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chop
comment</t>
  </si>
  <si>
    <t>Recipe 14</t>
  </si>
  <si>
    <t>chopped tomatoes</t>
  </si>
  <si>
    <t>ground turmeric</t>
  </si>
  <si>
    <t>sliced cucumbers</t>
  </si>
  <si>
    <t>grated carrots</t>
  </si>
  <si>
    <t>fresh sprouts</t>
  </si>
  <si>
    <t>fresh herbs</t>
  </si>
  <si>
    <t>sunflower seeds</t>
  </si>
  <si>
    <t>1. TOSS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</si>
  <si>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</si>
  <si>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</si>
  <si>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</si>
  <si>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</si>
  <si>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</si>
  <si>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</si>
  <si>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</si>
  <si>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</si>
  <si>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</si>
  <si>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</si>
  <si>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</si>
  <si>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</si>
  <si>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</si>
  <si>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</si>
  <si>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</si>
  <si>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</si>
  <si>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</si>
  <si>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</si>
  <si>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</si>
  <si>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</si>
  <si>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</si>
  <si>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</si>
  <si>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</si>
  <si>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</si>
  <si>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</si>
  <si>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</si>
  <si>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</si>
  <si>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</si>
  <si>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</si>
  <si>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</si>
  <si>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</si>
  <si>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</si>
  <si>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</si>
  <si>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</si>
  <si>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</si>
  <si>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</si>
  <si>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</si>
  <si>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</si>
  <si>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</si>
  <si>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</si>
  <si>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</si>
  <si>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</si>
  <si>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</si>
  <si>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</si>
  <si>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</si>
  <si>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</si>
  <si>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chopped red capsicums</t>
  </si>
  <si>
    <t>red capsicums</t>
  </si>
  <si>
    <t>3. ADD AND SIMMER about 20 minutes</t>
  </si>
  <si>
    <t>4. ADD</t>
  </si>
  <si>
    <t>spinach</t>
  </si>
  <si>
    <t>low fat</t>
  </si>
  <si>
    <t>1. COOK for 50 minutes or so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</si>
  <si>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</si>
  <si>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</si>
  <si>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</si>
  <si>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</si>
  <si>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</si>
  <si>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</si>
  <si>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</si>
  <si>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</si>
  <si>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</si>
  <si>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</si>
  <si>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</si>
  <si>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</si>
  <si>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</si>
  <si>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</si>
  <si>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</si>
  <si>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</si>
  <si>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</si>
  <si>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</si>
  <si>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</si>
  <si>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</si>
  <si>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</si>
  <si>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chopped apples</t>
  </si>
  <si>
    <t>sliced bananas</t>
  </si>
  <si>
    <t>chopped pears</t>
  </si>
  <si>
    <t>if not too expensive</t>
  </si>
  <si>
    <t>grapes</t>
  </si>
  <si>
    <t>2. SERVE in two large bowls</t>
  </si>
  <si>
    <t>SALAD</t>
  </si>
  <si>
    <t>FRUIT SALAD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</si>
  <si>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</si>
  <si>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</si>
  <si>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</si>
  <si>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</si>
  <si>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</si>
  <si>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</si>
  <si>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</si>
  <si>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</si>
  <si>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</si>
  <si>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</si>
  <si>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</si>
  <si>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</si>
  <si>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</si>
  <si>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</si>
  <si>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</si>
  <si>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</si>
  <si>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</si>
  <si>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</si>
  <si>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</si>
  <si>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</si>
  <si>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</si>
  <si>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</si>
  <si>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</si>
  <si>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</si>
  <si>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</si>
  <si>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</si>
  <si>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</si>
  <si>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</si>
  <si>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</si>
  <si>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</si>
  <si>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</si>
  <si>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</si>
  <si>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</si>
  <si>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</si>
  <si>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</si>
  <si>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</si>
  <si>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</si>
  <si>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</si>
  <si>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Lisa = gluten free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</si>
  <si>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</si>
  <si>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</si>
  <si>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</si>
  <si>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</si>
  <si>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</si>
  <si>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</si>
  <si>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</si>
  <si>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</si>
  <si>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</si>
  <si>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</si>
  <si>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</si>
  <si>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</si>
  <si>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</si>
  <si>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</si>
  <si>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</si>
  <si>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</si>
  <si>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</si>
  <si>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>cooking safe meal</t>
  </si>
  <si>
    <t>no porridge recipe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</si>
  <si>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</si>
  <si>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</si>
  <si>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</si>
  <si>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</si>
  <si>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</si>
  <si>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</si>
  <si>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</si>
  <si>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frozen green beans</t>
  </si>
  <si>
    <t>silverbeet leaves</t>
  </si>
  <si>
    <t>10 leaves per bunch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</si>
  <si>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</si>
  <si>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</si>
  <si>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</si>
  <si>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</si>
  <si>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</si>
  <si>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</si>
  <si>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</si>
  <si>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</si>
  <si>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</si>
  <si>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</si>
  <si>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about 300g per block</t>
  </si>
  <si>
    <t>milk</t>
  </si>
  <si>
    <t>regular porridge</t>
  </si>
  <si>
    <t>brown rice</t>
  </si>
  <si>
    <t>slices regular bread</t>
  </si>
  <si>
    <t>slices gluten free bread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</si>
  <si>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</si>
  <si>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</si>
  <si>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</si>
  <si>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</si>
  <si>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</si>
  <si>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</si>
  <si>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</si>
  <si>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</si>
  <si>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</si>
  <si>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</si>
  <si>
    <t>daily4 except friday2</t>
  </si>
  <si>
    <t>weekend headcount</t>
  </si>
  <si>
    <t>weekday headcount</t>
  </si>
  <si>
    <t>appearances in weekend meals</t>
  </si>
  <si>
    <t>appearances in weekday meals</t>
  </si>
  <si>
    <t>Malgoshia = corn, gluten and dairy free</t>
  </si>
  <si>
    <t>Jim = gluten and dairy free, safe meal</t>
  </si>
  <si>
    <t>Gabrielle = gluten free. safe meal</t>
  </si>
  <si>
    <t>includes qty for snacking</t>
  </si>
  <si>
    <t>instant coffee</t>
  </si>
  <si>
    <t>large jar</t>
  </si>
  <si>
    <t>milo</t>
  </si>
  <si>
    <t>small</t>
  </si>
  <si>
    <t>tea</t>
  </si>
  <si>
    <t>300 bags total of green, black, herbal</t>
  </si>
  <si>
    <t>healthy snack</t>
  </si>
  <si>
    <t>1 bag</t>
  </si>
  <si>
    <t>+ snacking qty</t>
  </si>
  <si>
    <t>mixed nuts</t>
  </si>
  <si>
    <t>1/2 kg</t>
  </si>
  <si>
    <t>500g</t>
  </si>
  <si>
    <t>sultanas</t>
  </si>
  <si>
    <t>400g</t>
  </si>
  <si>
    <t>dried apricots</t>
  </si>
  <si>
    <t>600g</t>
  </si>
  <si>
    <t>dates</t>
  </si>
  <si>
    <t>chocolate</t>
  </si>
  <si>
    <t>vegan if possible</t>
  </si>
  <si>
    <t>turkish delight</t>
  </si>
  <si>
    <t>vegan</t>
  </si>
  <si>
    <t>dcc rubbish bags</t>
  </si>
  <si>
    <t>65l, 1 pack</t>
  </si>
  <si>
    <t>rubber gloves</t>
  </si>
  <si>
    <t>dishwashing liquid</t>
  </si>
  <si>
    <t>1 bottle, septic safe</t>
  </si>
  <si>
    <t>toilet rolls</t>
  </si>
  <si>
    <t>glad wrap</t>
  </si>
  <si>
    <t>20m</t>
  </si>
  <si>
    <t>hand soap</t>
  </si>
  <si>
    <t>ziplock bags</t>
  </si>
  <si>
    <t>hand sanitizer</t>
  </si>
  <si>
    <t>2x</t>
  </si>
  <si>
    <t>20x</t>
  </si>
  <si>
    <t>matches</t>
  </si>
  <si>
    <t>lighter</t>
  </si>
  <si>
    <t>pens</t>
  </si>
  <si>
    <t>stickers</t>
  </si>
  <si>
    <t>sub masking tape?</t>
  </si>
  <si>
    <t>vogels DF. 16 slices per loaf</t>
  </si>
  <si>
    <t>30x</t>
  </si>
  <si>
    <t>8 cakes</t>
  </si>
  <si>
    <t>3 pair large, 3 pair medium</t>
  </si>
  <si>
    <t>string</t>
  </si>
  <si>
    <t>STRING</t>
  </si>
  <si>
    <t>WEEKEND BREAKFAST</t>
  </si>
  <si>
    <t>WEEKEND LUNCH</t>
  </si>
  <si>
    <t>SATURDAY LUNCH</t>
  </si>
  <si>
    <t>DAILY SAFE MEAL</t>
  </si>
  <si>
    <t>SATURDAY DINNER</t>
  </si>
  <si>
    <t>SUNDAY LUNCH</t>
  </si>
  <si>
    <t>SUNDAY DINNER</t>
  </si>
  <si>
    <t>MONDAY LUNCH</t>
  </si>
  <si>
    <t>MONDAY DINNER</t>
  </si>
  <si>
    <t>TUESDAY LUNCH</t>
  </si>
  <si>
    <t>TUESDAY DINNER</t>
  </si>
  <si>
    <t>WEDNESDAY LUNCH</t>
  </si>
  <si>
    <t>WEDNESDAY DINNER</t>
  </si>
  <si>
    <t>THURSDAY LUNCH</t>
  </si>
  <si>
    <t>THURSDAY DINNER</t>
  </si>
  <si>
    <t>tinned fruit salad</t>
  </si>
  <si>
    <t>300g</t>
  </si>
  <si>
    <t>chopped spinach</t>
  </si>
  <si>
    <t>CHOPPING LIST</t>
  </si>
  <si>
    <t>SOAKING LIST</t>
  </si>
  <si>
    <t>dunno if you need to soak the brown lentils?</t>
  </si>
  <si>
    <t>finely chopped fresh coriander</t>
  </si>
  <si>
    <t>ground coriander</t>
  </si>
  <si>
    <t>sprigs fresh coriander</t>
  </si>
  <si>
    <t>fresh coriander</t>
  </si>
  <si>
    <t>+ extra for garnish</t>
  </si>
  <si>
    <t>Leonard</t>
  </si>
  <si>
    <t>Damien</t>
  </si>
  <si>
    <t>Heidi</t>
  </si>
  <si>
    <t>Frances</t>
  </si>
  <si>
    <t>shoppers</t>
  </si>
  <si>
    <t>shopper</t>
  </si>
  <si>
    <t>jasmine rice</t>
  </si>
  <si>
    <t>about a handful per day?</t>
  </si>
  <si>
    <t>Whittakers milk &amp; vegan dark, for Friday feast</t>
  </si>
  <si>
    <t>+ 4 extra</t>
  </si>
  <si>
    <t>+ 4l extra in aseptic packaging</t>
  </si>
  <si>
    <t>+2 heads extra. 15 cloves per head</t>
  </si>
  <si>
    <t>buy 2L just to be safe</t>
  </si>
  <si>
    <t>lt</t>
  </si>
  <si>
    <t xml:space="preserve"> (into 2cm x 2cm cubes)</t>
  </si>
  <si>
    <t>sliced red capsicums</t>
  </si>
  <si>
    <t>garlic heads</t>
  </si>
  <si>
    <t>celery</t>
  </si>
  <si>
    <t>white cabbage</t>
  </si>
  <si>
    <t>silverbeet</t>
  </si>
  <si>
    <t>grapes (if not too expensive)</t>
  </si>
  <si>
    <t>fresh coriander bunches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</si>
</sst>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medium">
        <color theme="9" tint="0.39985351115451523"/>
      </top>
      <bottom/>
      <diagonal/>
    </border>
    <border>
      <left/>
      <right style="medium">
        <color theme="9" tint="0.39985351115451523"/>
      </right>
      <top style="medium">
        <color theme="9" tint="0.39985351115451523"/>
      </top>
      <bottom/>
      <diagonal/>
    </border>
    <border>
      <left/>
      <right style="medium">
        <color theme="9" tint="0.39985351115451523"/>
      </right>
      <top/>
      <bottom/>
      <diagonal/>
    </border>
    <border>
      <left/>
      <right/>
      <top/>
      <bottom style="medium">
        <color theme="9" tint="0.39985351115451523"/>
      </bottom>
      <diagonal/>
    </border>
    <border>
      <left/>
      <right style="medium">
        <color theme="9" tint="0.39985351115451523"/>
      </right>
      <top/>
      <bottom style="medium">
        <color theme="9" tint="0.399853511154515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88402966399123"/>
      </left>
      <right style="medium">
        <color theme="9" tint="0.39988402966399123"/>
      </right>
      <top/>
      <bottom/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88402966399123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88402966399123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45066682943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88402966399123"/>
      </left>
      <right/>
      <top style="medium">
        <color theme="9" tint="0.39991454817346722"/>
      </top>
      <bottom/>
      <diagonal/>
    </border>
    <border>
      <left style="medium">
        <color theme="9" tint="0.39988402966399123"/>
      </left>
      <right/>
      <top/>
      <bottom/>
      <diagonal/>
    </border>
    <border>
      <left style="medium">
        <color theme="9" tint="0.39988402966399123"/>
      </left>
      <right/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2" borderId="0" xfId="0" applyFont="1" applyFill="1"/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3" borderId="4" xfId="0" applyNumberFormat="1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6" borderId="0" xfId="0" applyNumberFormat="1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6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0" fontId="5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11" fillId="0" borderId="0" xfId="0" applyNumberFormat="1" applyFont="1" applyFill="1" applyAlignment="1">
      <alignment horizontal="right" vertical="top"/>
    </xf>
    <xf numFmtId="0" fontId="2" fillId="3" borderId="14" xfId="0" applyFont="1" applyFill="1" applyBorder="1"/>
    <xf numFmtId="0" fontId="2" fillId="3" borderId="15" xfId="0" applyFont="1" applyFill="1" applyBorder="1"/>
    <xf numFmtId="0" fontId="8" fillId="0" borderId="0" xfId="0" applyFont="1" applyFill="1" applyAlignment="1">
      <alignment horizontal="left" vertical="top"/>
    </xf>
    <xf numFmtId="0" fontId="2" fillId="5" borderId="0" xfId="0" applyFont="1" applyFill="1"/>
    <xf numFmtId="0" fontId="5" fillId="3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6" xfId="0" applyFont="1" applyFill="1" applyBorder="1"/>
    <xf numFmtId="0" fontId="1" fillId="2" borderId="16" xfId="0" applyFont="1" applyFill="1" applyBorder="1" applyAlignment="1">
      <alignment horizontal="left"/>
    </xf>
    <xf numFmtId="0" fontId="2" fillId="5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2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0" xfId="0" applyFont="1" applyFill="1" applyBorder="1" applyAlignment="1">
      <alignment horizontal="left"/>
    </xf>
    <xf numFmtId="0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17" xfId="0" applyFont="1" applyFill="1" applyBorder="1"/>
    <xf numFmtId="0" fontId="2" fillId="0" borderId="17" xfId="0" applyNumberFormat="1" applyFont="1" applyFill="1" applyBorder="1"/>
    <xf numFmtId="2" fontId="2" fillId="0" borderId="17" xfId="0" applyNumberFormat="1" applyFont="1" applyFill="1" applyBorder="1"/>
    <xf numFmtId="0" fontId="2" fillId="0" borderId="18" xfId="0" applyNumberFormat="1" applyFont="1" applyFill="1" applyBorder="1"/>
    <xf numFmtId="0" fontId="2" fillId="0" borderId="19" xfId="0" applyNumberFormat="1" applyFont="1" applyFill="1" applyBorder="1"/>
    <xf numFmtId="0" fontId="2" fillId="0" borderId="20" xfId="0" applyFont="1" applyFill="1" applyBorder="1"/>
    <xf numFmtId="0" fontId="2" fillId="0" borderId="20" xfId="0" applyNumberFormat="1" applyFont="1" applyFill="1" applyBorder="1"/>
    <xf numFmtId="2" fontId="2" fillId="0" borderId="20" xfId="0" applyNumberFormat="1" applyFont="1" applyFill="1" applyBorder="1"/>
    <xf numFmtId="0" fontId="2" fillId="0" borderId="21" xfId="0" applyNumberFormat="1" applyFont="1" applyFill="1" applyBorder="1"/>
    <xf numFmtId="0" fontId="2" fillId="0" borderId="17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3" fillId="0" borderId="4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5" xfId="0" applyFont="1" applyFill="1" applyBorder="1"/>
    <xf numFmtId="0" fontId="2" fillId="3" borderId="24" xfId="0" applyFont="1" applyFill="1" applyBorder="1"/>
    <xf numFmtId="0" fontId="1" fillId="0" borderId="0" xfId="0" applyFont="1" applyFill="1"/>
    <xf numFmtId="164" fontId="1" fillId="0" borderId="0" xfId="0" applyNumberFormat="1" applyFont="1" applyFill="1" applyAlignment="1">
      <alignment wrapText="1"/>
    </xf>
    <xf numFmtId="2" fontId="2" fillId="0" borderId="6" xfId="0" applyNumberFormat="1" applyFont="1" applyFill="1" applyBorder="1"/>
    <xf numFmtId="2" fontId="2" fillId="0" borderId="7" xfId="0" applyNumberFormat="1" applyFont="1" applyFill="1" applyBorder="1"/>
    <xf numFmtId="164" fontId="1" fillId="0" borderId="7" xfId="0" applyNumberFormat="1" applyFont="1" applyFill="1" applyBorder="1"/>
    <xf numFmtId="2" fontId="1" fillId="0" borderId="7" xfId="0" applyNumberFormat="1" applyFont="1" applyFill="1" applyBorder="1"/>
    <xf numFmtId="0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9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/>
    <xf numFmtId="2" fontId="2" fillId="0" borderId="10" xfId="0" applyNumberFormat="1" applyFont="1" applyFill="1" applyBorder="1"/>
    <xf numFmtId="2" fontId="2" fillId="0" borderId="0" xfId="0" quotePrefix="1" applyNumberFormat="1" applyFont="1" applyFill="1" applyBorder="1"/>
    <xf numFmtId="2" fontId="2" fillId="0" borderId="10" xfId="0" quotePrefix="1" applyNumberFormat="1" applyFont="1" applyFill="1" applyBorder="1"/>
    <xf numFmtId="2" fontId="2" fillId="0" borderId="11" xfId="0" applyNumberFormat="1" applyFont="1" applyFill="1" applyBorder="1"/>
    <xf numFmtId="2" fontId="2" fillId="0" borderId="12" xfId="0" applyNumberFormat="1" applyFont="1" applyFill="1" applyBorder="1"/>
    <xf numFmtId="164" fontId="1" fillId="0" borderId="12" xfId="0" applyNumberFormat="1" applyFont="1" applyFill="1" applyBorder="1"/>
    <xf numFmtId="2" fontId="1" fillId="0" borderId="12" xfId="0" applyNumberFormat="1" applyFont="1" applyFill="1" applyBorder="1"/>
    <xf numFmtId="0" fontId="2" fillId="0" borderId="12" xfId="0" applyNumberFormat="1" applyFont="1" applyFill="1" applyBorder="1"/>
    <xf numFmtId="2" fontId="2" fillId="0" borderId="13" xfId="0" applyNumberFormat="1" applyFont="1" applyFill="1" applyBorder="1"/>
    <xf numFmtId="0" fontId="3" fillId="0" borderId="0" xfId="0" applyFont="1" applyFill="1" applyBorder="1"/>
    <xf numFmtId="164" fontId="2" fillId="0" borderId="0" xfId="0" applyNumberFormat="1" applyFont="1" applyFill="1"/>
    <xf numFmtId="0" fontId="2" fillId="3" borderId="26" xfId="0" applyFont="1" applyFill="1" applyBorder="1"/>
    <xf numFmtId="165" fontId="1" fillId="0" borderId="0" xfId="0" applyNumberFormat="1" applyFont="1" applyFill="1" applyAlignment="1">
      <alignment horizontal="left" wrapText="1"/>
    </xf>
    <xf numFmtId="165" fontId="2" fillId="0" borderId="17" xfId="0" applyNumberFormat="1" applyFont="1" applyFill="1" applyBorder="1"/>
    <xf numFmtId="165" fontId="2" fillId="0" borderId="0" xfId="0" applyNumberFormat="1" applyFont="1" applyFill="1" applyBorder="1"/>
    <xf numFmtId="165" fontId="2" fillId="0" borderId="20" xfId="0" applyNumberFormat="1" applyFont="1" applyFill="1" applyBorder="1"/>
    <xf numFmtId="165" fontId="2" fillId="0" borderId="0" xfId="0" applyNumberFormat="1" applyFont="1" applyFill="1"/>
    <xf numFmtId="165" fontId="2" fillId="5" borderId="0" xfId="0" applyNumberFormat="1" applyFont="1" applyFill="1" applyBorder="1"/>
    <xf numFmtId="0" fontId="5" fillId="5" borderId="0" xfId="0" applyFont="1" applyFill="1" applyAlignment="1">
      <alignment horizontal="left" vertical="top"/>
    </xf>
    <xf numFmtId="0" fontId="2" fillId="3" borderId="27" xfId="0" applyFont="1" applyFill="1" applyBorder="1"/>
    <xf numFmtId="0" fontId="12" fillId="3" borderId="3" xfId="0" applyFont="1" applyFill="1" applyBorder="1"/>
    <xf numFmtId="0" fontId="2" fillId="3" borderId="28" xfId="0" applyFont="1" applyFill="1" applyBorder="1"/>
    <xf numFmtId="0" fontId="2" fillId="5" borderId="0" xfId="0" applyFont="1" applyFill="1" applyBorder="1"/>
    <xf numFmtId="0" fontId="2" fillId="0" borderId="29" xfId="0" applyFont="1" applyFill="1" applyBorder="1"/>
    <xf numFmtId="0" fontId="2" fillId="0" borderId="30" xfId="0" applyFont="1" applyFill="1" applyBorder="1"/>
    <xf numFmtId="2" fontId="2" fillId="0" borderId="31" xfId="0" applyNumberFormat="1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12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</cellXfs>
  <cellStyles count="1">
    <cellStyle name="Normal" xfId="0" builtinId="0"/>
  </cellStyles>
  <dxfs count="462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4"/>
  <sheetViews>
    <sheetView workbookViewId="0">
      <selection activeCell="A37" sqref="A37"/>
    </sheetView>
  </sheetViews>
  <sheetFormatPr defaultRowHeight="12.75" x14ac:dyDescent="0.2"/>
  <cols>
    <col min="1" max="1" width="56.42578125" style="3" bestFit="1" customWidth="1"/>
    <col min="2" max="3" width="7.7109375" style="3" bestFit="1" customWidth="1"/>
    <col min="4" max="4" width="5.42578125" style="3" bestFit="1" customWidth="1"/>
    <col min="5" max="6" width="5.5703125" style="3" bestFit="1" customWidth="1"/>
    <col min="7" max="7" width="7.5703125" style="3" customWidth="1"/>
    <col min="8" max="8" width="7.7109375" style="3" bestFit="1" customWidth="1"/>
    <col min="9" max="9" width="4" style="3" bestFit="1" customWidth="1"/>
    <col min="10" max="12" width="5.42578125" style="3" bestFit="1" customWidth="1"/>
    <col min="13" max="14" width="6.140625" style="3" bestFit="1" customWidth="1"/>
    <col min="15" max="16384" width="9.140625" style="3"/>
  </cols>
  <sheetData>
    <row r="1" spans="1:25" ht="38.25" x14ac:dyDescent="0.2">
      <c r="B1" s="51" t="s">
        <v>407</v>
      </c>
      <c r="C1" s="52" t="s">
        <v>402</v>
      </c>
      <c r="D1" s="51" t="s">
        <v>401</v>
      </c>
      <c r="E1" s="51" t="s">
        <v>406</v>
      </c>
      <c r="F1" s="52" t="s">
        <v>400</v>
      </c>
      <c r="G1" s="53" t="s">
        <v>396</v>
      </c>
      <c r="H1" s="52" t="s">
        <v>397</v>
      </c>
      <c r="I1" s="51" t="s">
        <v>158</v>
      </c>
      <c r="J1" s="53" t="s">
        <v>408</v>
      </c>
      <c r="K1" s="52" t="s">
        <v>398</v>
      </c>
      <c r="L1" s="51" t="s">
        <v>382</v>
      </c>
      <c r="M1" s="53" t="s">
        <v>409</v>
      </c>
      <c r="N1" s="52" t="s">
        <v>399</v>
      </c>
    </row>
    <row r="2" spans="1:25" x14ac:dyDescent="0.2">
      <c r="A2" s="3" t="s">
        <v>383</v>
      </c>
      <c r="B2" s="54">
        <v>1</v>
      </c>
      <c r="C2" s="55"/>
      <c r="D2" s="54">
        <v>1</v>
      </c>
      <c r="E2" s="54">
        <v>1</v>
      </c>
      <c r="F2" s="55"/>
      <c r="G2" s="54"/>
      <c r="H2" s="55">
        <v>1</v>
      </c>
      <c r="I2" s="54">
        <v>1</v>
      </c>
      <c r="J2" s="56"/>
      <c r="K2" s="55"/>
      <c r="L2" s="54">
        <v>1</v>
      </c>
      <c r="M2" s="56"/>
      <c r="N2" s="55"/>
      <c r="S2" s="3" t="s">
        <v>274</v>
      </c>
      <c r="T2" s="3" t="s">
        <v>275</v>
      </c>
      <c r="U2" s="3" t="s">
        <v>276</v>
      </c>
      <c r="V2" s="3" t="s">
        <v>277</v>
      </c>
      <c r="W2" s="3" t="s">
        <v>278</v>
      </c>
      <c r="X2" s="3" t="s">
        <v>279</v>
      </c>
      <c r="Y2" s="3" t="s">
        <v>280</v>
      </c>
    </row>
    <row r="3" spans="1:25" x14ac:dyDescent="0.2">
      <c r="A3" s="3" t="s">
        <v>403</v>
      </c>
      <c r="B3" s="54">
        <v>1</v>
      </c>
      <c r="C3" s="55"/>
      <c r="D3" s="54">
        <v>1</v>
      </c>
      <c r="E3" s="54">
        <v>1</v>
      </c>
      <c r="F3" s="55"/>
      <c r="G3" s="54">
        <v>1</v>
      </c>
      <c r="H3" s="55"/>
      <c r="I3" s="54">
        <v>1</v>
      </c>
      <c r="J3" s="56">
        <v>1</v>
      </c>
      <c r="K3" s="55"/>
      <c r="L3" s="54">
        <v>1</v>
      </c>
      <c r="M3" s="56">
        <v>1</v>
      </c>
      <c r="N3" s="55"/>
      <c r="R3" s="3" t="s">
        <v>417</v>
      </c>
      <c r="S3" s="3">
        <v>15</v>
      </c>
      <c r="T3" s="3">
        <v>15</v>
      </c>
      <c r="U3" s="3">
        <v>11</v>
      </c>
      <c r="V3" s="3">
        <v>11</v>
      </c>
      <c r="W3" s="3">
        <v>11</v>
      </c>
      <c r="X3" s="3">
        <v>11</v>
      </c>
      <c r="Y3" s="3">
        <v>11</v>
      </c>
    </row>
    <row r="4" spans="1:25" x14ac:dyDescent="0.2">
      <c r="A4" s="3" t="s">
        <v>384</v>
      </c>
      <c r="B4" s="54">
        <v>1</v>
      </c>
      <c r="C4" s="55"/>
      <c r="D4" s="54">
        <v>1</v>
      </c>
      <c r="E4" s="54">
        <v>1</v>
      </c>
      <c r="F4" s="55"/>
      <c r="G4" s="54">
        <v>1</v>
      </c>
      <c r="H4" s="55"/>
      <c r="I4" s="54">
        <v>1</v>
      </c>
      <c r="J4" s="56">
        <v>1</v>
      </c>
      <c r="K4" s="55"/>
      <c r="L4" s="54">
        <v>1</v>
      </c>
      <c r="M4" s="56">
        <v>1</v>
      </c>
      <c r="N4" s="55"/>
      <c r="R4" s="3" t="s">
        <v>418</v>
      </c>
      <c r="S4" s="3">
        <v>15</v>
      </c>
      <c r="T4" s="3">
        <v>15</v>
      </c>
      <c r="U4" s="3">
        <v>11</v>
      </c>
      <c r="V4" s="3">
        <v>11</v>
      </c>
      <c r="W4" s="3">
        <v>11</v>
      </c>
      <c r="X4" s="3">
        <v>11</v>
      </c>
      <c r="Y4" s="3">
        <v>2</v>
      </c>
    </row>
    <row r="5" spans="1:25" x14ac:dyDescent="0.2">
      <c r="A5" s="3" t="s">
        <v>385</v>
      </c>
      <c r="B5" s="54">
        <v>1</v>
      </c>
      <c r="C5" s="55"/>
      <c r="D5" s="54">
        <v>1</v>
      </c>
      <c r="E5" s="54">
        <v>1</v>
      </c>
      <c r="F5" s="55"/>
      <c r="G5" s="54">
        <v>1</v>
      </c>
      <c r="H5" s="55"/>
      <c r="I5" s="54">
        <v>1</v>
      </c>
      <c r="J5" s="56">
        <v>1</v>
      </c>
      <c r="K5" s="55"/>
      <c r="L5" s="54">
        <v>1</v>
      </c>
      <c r="M5" s="56">
        <v>1</v>
      </c>
      <c r="N5" s="55"/>
      <c r="R5" s="3" t="s">
        <v>419</v>
      </c>
      <c r="S5" s="3">
        <v>15</v>
      </c>
      <c r="T5" s="3">
        <v>15</v>
      </c>
      <c r="U5" s="3">
        <v>11</v>
      </c>
      <c r="V5" s="3">
        <v>11</v>
      </c>
      <c r="W5" s="3">
        <v>11</v>
      </c>
      <c r="X5" s="3">
        <v>11</v>
      </c>
    </row>
    <row r="6" spans="1:25" x14ac:dyDescent="0.2">
      <c r="A6" s="3" t="s">
        <v>386</v>
      </c>
      <c r="B6" s="54">
        <v>1</v>
      </c>
      <c r="C6" s="55"/>
      <c r="D6" s="54">
        <v>1</v>
      </c>
      <c r="E6" s="54">
        <v>1</v>
      </c>
      <c r="F6" s="55"/>
      <c r="G6" s="54">
        <v>1</v>
      </c>
      <c r="H6" s="55"/>
      <c r="I6" s="54">
        <v>1</v>
      </c>
      <c r="J6" s="56">
        <v>1</v>
      </c>
      <c r="K6" s="55"/>
      <c r="L6" s="54">
        <v>1</v>
      </c>
      <c r="M6" s="56">
        <v>1</v>
      </c>
      <c r="N6" s="55"/>
    </row>
    <row r="7" spans="1:25" x14ac:dyDescent="0.2">
      <c r="A7" s="3" t="s">
        <v>387</v>
      </c>
      <c r="B7" s="54">
        <v>1</v>
      </c>
      <c r="C7" s="55"/>
      <c r="D7" s="54">
        <v>1</v>
      </c>
      <c r="E7" s="54">
        <v>1</v>
      </c>
      <c r="F7" s="55"/>
      <c r="G7" s="54">
        <v>1</v>
      </c>
      <c r="H7" s="55"/>
      <c r="I7" s="54">
        <v>1</v>
      </c>
      <c r="J7" s="56">
        <v>1</v>
      </c>
      <c r="K7" s="55"/>
      <c r="L7" s="54">
        <v>1</v>
      </c>
      <c r="M7" s="56">
        <v>1</v>
      </c>
      <c r="N7" s="55"/>
    </row>
    <row r="8" spans="1:25" x14ac:dyDescent="0.2">
      <c r="A8" s="3" t="s">
        <v>388</v>
      </c>
      <c r="B8" s="54">
        <v>1</v>
      </c>
      <c r="C8" s="55"/>
      <c r="D8" s="54">
        <v>1</v>
      </c>
      <c r="E8" s="54">
        <v>1</v>
      </c>
      <c r="F8" s="55"/>
      <c r="G8" s="54">
        <v>1</v>
      </c>
      <c r="H8" s="55"/>
      <c r="I8" s="54">
        <v>1</v>
      </c>
      <c r="J8" s="56">
        <v>1</v>
      </c>
      <c r="K8" s="55"/>
      <c r="L8" s="54">
        <v>1</v>
      </c>
      <c r="M8" s="56">
        <v>1</v>
      </c>
      <c r="N8" s="55"/>
    </row>
    <row r="9" spans="1:25" x14ac:dyDescent="0.2">
      <c r="A9" s="3" t="s">
        <v>389</v>
      </c>
      <c r="B9" s="54">
        <v>1</v>
      </c>
      <c r="C9" s="55"/>
      <c r="D9" s="54">
        <v>1</v>
      </c>
      <c r="E9" s="54">
        <v>1</v>
      </c>
      <c r="F9" s="55"/>
      <c r="G9" s="54">
        <v>1</v>
      </c>
      <c r="H9" s="55"/>
      <c r="I9" s="54">
        <v>1</v>
      </c>
      <c r="J9" s="56">
        <v>1</v>
      </c>
      <c r="K9" s="55"/>
      <c r="L9" s="54">
        <v>1</v>
      </c>
      <c r="M9" s="56">
        <v>1</v>
      </c>
      <c r="N9" s="55"/>
    </row>
    <row r="10" spans="1:25" x14ac:dyDescent="0.2">
      <c r="A10" s="3" t="s">
        <v>390</v>
      </c>
      <c r="B10" s="54">
        <v>1</v>
      </c>
      <c r="C10" s="55"/>
      <c r="D10" s="54">
        <v>1</v>
      </c>
      <c r="E10" s="54">
        <v>1</v>
      </c>
      <c r="F10" s="55"/>
      <c r="G10" s="54"/>
      <c r="H10" s="55">
        <v>1</v>
      </c>
      <c r="I10" s="54">
        <v>1</v>
      </c>
      <c r="J10" s="56">
        <v>1</v>
      </c>
      <c r="K10" s="55"/>
      <c r="L10" s="54">
        <v>1</v>
      </c>
      <c r="M10" s="56">
        <v>1</v>
      </c>
      <c r="N10" s="55"/>
    </row>
    <row r="11" spans="1:25" x14ac:dyDescent="0.2">
      <c r="A11" s="3" t="s">
        <v>391</v>
      </c>
      <c r="B11" s="54">
        <v>1</v>
      </c>
      <c r="C11" s="55"/>
      <c r="D11" s="54">
        <v>1</v>
      </c>
      <c r="E11" s="54">
        <v>1</v>
      </c>
      <c r="F11" s="55"/>
      <c r="G11" s="54"/>
      <c r="H11" s="55">
        <v>1</v>
      </c>
      <c r="I11" s="54">
        <v>1</v>
      </c>
      <c r="J11" s="56">
        <v>1</v>
      </c>
      <c r="K11" s="55"/>
      <c r="L11" s="54">
        <v>1</v>
      </c>
      <c r="M11" s="56">
        <v>1</v>
      </c>
      <c r="N11" s="55"/>
    </row>
    <row r="12" spans="1:25" x14ac:dyDescent="0.2">
      <c r="A12" s="3" t="s">
        <v>392</v>
      </c>
      <c r="B12" s="54">
        <v>1</v>
      </c>
      <c r="C12" s="55"/>
      <c r="D12" s="54">
        <v>1</v>
      </c>
      <c r="E12" s="54">
        <v>1</v>
      </c>
      <c r="F12" s="55"/>
      <c r="G12" s="54"/>
      <c r="H12" s="55">
        <v>1</v>
      </c>
      <c r="I12" s="54">
        <v>1</v>
      </c>
      <c r="J12" s="56">
        <v>1</v>
      </c>
      <c r="K12" s="55"/>
      <c r="L12" s="54">
        <v>1</v>
      </c>
      <c r="M12" s="56">
        <v>1</v>
      </c>
      <c r="N12" s="55"/>
    </row>
    <row r="13" spans="1:25" x14ac:dyDescent="0.2">
      <c r="A13" s="3" t="s">
        <v>456</v>
      </c>
      <c r="B13" s="54"/>
      <c r="C13" s="55">
        <v>1</v>
      </c>
      <c r="D13" s="54">
        <v>1</v>
      </c>
      <c r="E13" s="54"/>
      <c r="F13" s="55">
        <v>1</v>
      </c>
      <c r="G13" s="54">
        <v>1</v>
      </c>
      <c r="H13" s="55"/>
      <c r="I13" s="54">
        <v>1</v>
      </c>
      <c r="J13" s="56"/>
      <c r="K13" s="55">
        <v>1</v>
      </c>
      <c r="L13" s="54">
        <v>1</v>
      </c>
      <c r="M13" s="56"/>
      <c r="N13" s="55">
        <v>1</v>
      </c>
    </row>
    <row r="14" spans="1:25" x14ac:dyDescent="0.2">
      <c r="A14" s="3" t="s">
        <v>393</v>
      </c>
      <c r="B14" s="54"/>
      <c r="C14" s="55">
        <v>1</v>
      </c>
      <c r="D14" s="54">
        <v>1</v>
      </c>
      <c r="E14" s="54"/>
      <c r="F14" s="55">
        <v>1</v>
      </c>
      <c r="G14" s="54">
        <v>1</v>
      </c>
      <c r="H14" s="55"/>
      <c r="I14" s="54">
        <v>1</v>
      </c>
      <c r="J14" s="56">
        <v>1</v>
      </c>
      <c r="K14" s="55"/>
      <c r="L14" s="54">
        <v>1</v>
      </c>
      <c r="M14" s="56">
        <v>1</v>
      </c>
      <c r="N14" s="55"/>
    </row>
    <row r="15" spans="1:25" x14ac:dyDescent="0.2">
      <c r="A15" s="3" t="s">
        <v>454</v>
      </c>
      <c r="B15" s="54"/>
      <c r="C15" s="55">
        <v>1</v>
      </c>
      <c r="D15" s="54">
        <v>1</v>
      </c>
      <c r="E15" s="54"/>
      <c r="F15" s="55">
        <v>1</v>
      </c>
      <c r="G15" s="54"/>
      <c r="H15" s="55">
        <v>1</v>
      </c>
      <c r="I15" s="54">
        <v>1</v>
      </c>
      <c r="J15" s="56">
        <v>1</v>
      </c>
      <c r="K15" s="55"/>
      <c r="L15" s="54">
        <v>1</v>
      </c>
      <c r="M15" s="56">
        <v>1</v>
      </c>
      <c r="N15" s="55"/>
    </row>
    <row r="16" spans="1:25" x14ac:dyDescent="0.2">
      <c r="A16" s="3" t="s">
        <v>455</v>
      </c>
      <c r="B16" s="54"/>
      <c r="C16" s="55">
        <v>1</v>
      </c>
      <c r="D16" s="54">
        <v>1</v>
      </c>
      <c r="E16" s="54"/>
      <c r="F16" s="55">
        <v>1</v>
      </c>
      <c r="G16" s="54"/>
      <c r="H16" s="55">
        <v>1</v>
      </c>
      <c r="I16" s="54">
        <v>1</v>
      </c>
      <c r="J16" s="56"/>
      <c r="K16" s="55">
        <v>1</v>
      </c>
      <c r="L16" s="54">
        <v>1</v>
      </c>
      <c r="M16" s="56"/>
      <c r="N16" s="55">
        <v>1</v>
      </c>
    </row>
    <row r="17" spans="1:14" x14ac:dyDescent="0.2">
      <c r="B17" s="54"/>
      <c r="C17" s="55"/>
      <c r="D17" s="54"/>
      <c r="E17" s="54"/>
      <c r="F17" s="55"/>
      <c r="G17" s="54"/>
      <c r="H17" s="55"/>
      <c r="I17" s="54"/>
      <c r="J17" s="56"/>
      <c r="K17" s="55"/>
      <c r="L17" s="54"/>
      <c r="M17" s="56"/>
      <c r="N17" s="55"/>
    </row>
    <row r="18" spans="1:14" x14ac:dyDescent="0.2">
      <c r="A18" s="57" t="s">
        <v>450</v>
      </c>
      <c r="B18" s="54">
        <f t="shared" ref="B18:N18" si="0">SUM(B2:B16)</f>
        <v>11</v>
      </c>
      <c r="C18" s="55">
        <f t="shared" si="0"/>
        <v>4</v>
      </c>
      <c r="D18" s="54">
        <f t="shared" si="0"/>
        <v>15</v>
      </c>
      <c r="E18" s="54">
        <f t="shared" si="0"/>
        <v>11</v>
      </c>
      <c r="F18" s="55">
        <f t="shared" si="0"/>
        <v>4</v>
      </c>
      <c r="G18" s="54">
        <f t="shared" si="0"/>
        <v>9</v>
      </c>
      <c r="H18" s="55">
        <f t="shared" si="0"/>
        <v>6</v>
      </c>
      <c r="I18" s="54">
        <f t="shared" si="0"/>
        <v>15</v>
      </c>
      <c r="J18" s="56">
        <f t="shared" si="0"/>
        <v>12</v>
      </c>
      <c r="K18" s="55">
        <f t="shared" si="0"/>
        <v>2</v>
      </c>
      <c r="L18" s="54">
        <f t="shared" si="0"/>
        <v>15</v>
      </c>
      <c r="M18" s="56">
        <f t="shared" si="0"/>
        <v>12</v>
      </c>
      <c r="N18" s="55">
        <f t="shared" si="0"/>
        <v>2</v>
      </c>
    </row>
    <row r="19" spans="1:14" x14ac:dyDescent="0.2">
      <c r="A19" s="57" t="s">
        <v>451</v>
      </c>
      <c r="B19" s="54">
        <f t="shared" ref="B19:N19" si="1">B18-B2-B3-B4</f>
        <v>8</v>
      </c>
      <c r="C19" s="55">
        <f t="shared" si="1"/>
        <v>4</v>
      </c>
      <c r="D19" s="54">
        <f t="shared" si="1"/>
        <v>12</v>
      </c>
      <c r="E19" s="54">
        <f t="shared" si="1"/>
        <v>8</v>
      </c>
      <c r="F19" s="55">
        <f t="shared" si="1"/>
        <v>4</v>
      </c>
      <c r="G19" s="54">
        <f t="shared" si="1"/>
        <v>7</v>
      </c>
      <c r="H19" s="55">
        <f t="shared" si="1"/>
        <v>5</v>
      </c>
      <c r="I19" s="54">
        <f t="shared" si="1"/>
        <v>12</v>
      </c>
      <c r="J19" s="56">
        <f t="shared" si="1"/>
        <v>10</v>
      </c>
      <c r="K19" s="55">
        <f t="shared" si="1"/>
        <v>2</v>
      </c>
      <c r="L19" s="54">
        <f t="shared" si="1"/>
        <v>12</v>
      </c>
      <c r="M19" s="56">
        <f t="shared" si="1"/>
        <v>10</v>
      </c>
      <c r="N19" s="55">
        <f t="shared" si="1"/>
        <v>2</v>
      </c>
    </row>
    <row r="20" spans="1:14" x14ac:dyDescent="0.2">
      <c r="B20" s="54"/>
      <c r="C20" s="55"/>
      <c r="D20" s="54"/>
      <c r="E20" s="54"/>
      <c r="F20" s="55"/>
      <c r="G20" s="54"/>
      <c r="H20" s="55"/>
      <c r="I20" s="54"/>
      <c r="J20" s="56"/>
      <c r="K20" s="55"/>
      <c r="L20" s="54"/>
      <c r="M20" s="56"/>
      <c r="N20" s="55"/>
    </row>
    <row r="21" spans="1:14" x14ac:dyDescent="0.2">
      <c r="A21" s="57" t="s">
        <v>452</v>
      </c>
      <c r="B21" s="54">
        <v>2</v>
      </c>
      <c r="C21" s="55">
        <v>2</v>
      </c>
      <c r="D21" s="56">
        <v>2</v>
      </c>
      <c r="E21" s="56">
        <v>4</v>
      </c>
      <c r="F21" s="55">
        <v>4</v>
      </c>
      <c r="G21" s="54">
        <v>4</v>
      </c>
      <c r="H21" s="55">
        <v>4</v>
      </c>
      <c r="I21" s="54">
        <v>2</v>
      </c>
      <c r="J21" s="56">
        <v>2</v>
      </c>
      <c r="K21" s="55">
        <v>2</v>
      </c>
      <c r="L21" s="54">
        <v>2</v>
      </c>
      <c r="M21" s="56">
        <v>2</v>
      </c>
      <c r="N21" s="55">
        <v>2</v>
      </c>
    </row>
    <row r="22" spans="1:14" x14ac:dyDescent="0.2">
      <c r="A22" s="57" t="s">
        <v>453</v>
      </c>
      <c r="B22" s="54">
        <v>5</v>
      </c>
      <c r="C22" s="55">
        <v>5</v>
      </c>
      <c r="D22" s="54">
        <v>5</v>
      </c>
      <c r="E22" s="54">
        <v>9</v>
      </c>
      <c r="F22" s="55">
        <v>9</v>
      </c>
      <c r="G22" s="54">
        <v>9</v>
      </c>
      <c r="H22" s="55">
        <v>9</v>
      </c>
      <c r="I22" s="54">
        <v>4</v>
      </c>
      <c r="J22" s="56">
        <v>4</v>
      </c>
      <c r="K22" s="55">
        <v>5</v>
      </c>
      <c r="L22" s="54">
        <v>4</v>
      </c>
      <c r="M22" s="56">
        <v>4</v>
      </c>
      <c r="N22" s="55">
        <v>4</v>
      </c>
    </row>
    <row r="23" spans="1:14" x14ac:dyDescent="0.2">
      <c r="B23" s="54"/>
      <c r="C23" s="55"/>
      <c r="D23" s="54"/>
      <c r="E23" s="54"/>
      <c r="F23" s="55"/>
      <c r="G23" s="54"/>
      <c r="H23" s="55"/>
      <c r="I23" s="54"/>
      <c r="J23" s="56"/>
      <c r="K23" s="55"/>
      <c r="L23" s="54"/>
      <c r="M23" s="56"/>
      <c r="N23" s="55"/>
    </row>
    <row r="24" spans="1:14" x14ac:dyDescent="0.2">
      <c r="A24" s="57" t="s">
        <v>273</v>
      </c>
      <c r="B24" s="58">
        <f>B21*B18+B22*B19</f>
        <v>62</v>
      </c>
      <c r="C24" s="59">
        <f t="shared" ref="C24:N24" si="2">C21*C18+C22*C19</f>
        <v>28</v>
      </c>
      <c r="D24" s="58">
        <f t="shared" si="2"/>
        <v>90</v>
      </c>
      <c r="E24" s="58">
        <f t="shared" si="2"/>
        <v>116</v>
      </c>
      <c r="F24" s="59">
        <f t="shared" si="2"/>
        <v>52</v>
      </c>
      <c r="G24" s="58">
        <f t="shared" si="2"/>
        <v>99</v>
      </c>
      <c r="H24" s="59">
        <f t="shared" si="2"/>
        <v>69</v>
      </c>
      <c r="I24" s="58">
        <f t="shared" si="2"/>
        <v>78</v>
      </c>
      <c r="J24" s="58">
        <f t="shared" si="2"/>
        <v>64</v>
      </c>
      <c r="K24" s="59">
        <f t="shared" si="2"/>
        <v>14</v>
      </c>
      <c r="L24" s="58">
        <f t="shared" si="2"/>
        <v>78</v>
      </c>
      <c r="M24" s="58">
        <f t="shared" si="2"/>
        <v>64</v>
      </c>
      <c r="N24" s="59">
        <f t="shared" si="2"/>
        <v>12</v>
      </c>
    </row>
    <row r="29" spans="1:14" x14ac:dyDescent="0.2">
      <c r="A29" s="46" t="s">
        <v>394</v>
      </c>
      <c r="B29" s="3" t="s">
        <v>405</v>
      </c>
    </row>
    <row r="30" spans="1:14" x14ac:dyDescent="0.2">
      <c r="A30" s="46" t="s">
        <v>395</v>
      </c>
      <c r="B30" s="3" t="s">
        <v>404</v>
      </c>
    </row>
    <row r="31" spans="1:14" x14ac:dyDescent="0.2">
      <c r="A31" s="46" t="s">
        <v>410</v>
      </c>
    </row>
    <row r="32" spans="1:14" x14ac:dyDescent="0.2">
      <c r="A32" s="3" t="s">
        <v>411</v>
      </c>
      <c r="B32" s="3" t="s">
        <v>449</v>
      </c>
    </row>
    <row r="33" spans="1:10" x14ac:dyDescent="0.2">
      <c r="A33" s="3" t="s">
        <v>412</v>
      </c>
    </row>
    <row r="34" spans="1:10" x14ac:dyDescent="0.2">
      <c r="A34" s="3" t="s">
        <v>413</v>
      </c>
    </row>
    <row r="35" spans="1:10" x14ac:dyDescent="0.2">
      <c r="A35" s="3" t="s">
        <v>414</v>
      </c>
    </row>
    <row r="36" spans="1:10" x14ac:dyDescent="0.2">
      <c r="A36" s="3" t="s">
        <v>415</v>
      </c>
    </row>
    <row r="37" spans="1:10" x14ac:dyDescent="0.2">
      <c r="A37" s="3" t="s">
        <v>416</v>
      </c>
    </row>
    <row r="41" spans="1:10" x14ac:dyDescent="0.2">
      <c r="B41" s="3" t="s">
        <v>274</v>
      </c>
      <c r="C41" s="3" t="s">
        <v>275</v>
      </c>
      <c r="D41" s="3" t="s">
        <v>276</v>
      </c>
      <c r="E41" s="3" t="s">
        <v>277</v>
      </c>
      <c r="F41" s="3" t="s">
        <v>278</v>
      </c>
      <c r="G41" s="3" t="s">
        <v>279</v>
      </c>
      <c r="H41" s="3" t="s">
        <v>280</v>
      </c>
    </row>
    <row r="42" spans="1:10" x14ac:dyDescent="0.2">
      <c r="A42" s="3">
        <v>2015</v>
      </c>
    </row>
    <row r="43" spans="1:10" x14ac:dyDescent="0.2">
      <c r="A43" s="3">
        <v>2016</v>
      </c>
      <c r="B43" s="3">
        <v>20</v>
      </c>
      <c r="C43" s="3">
        <v>20</v>
      </c>
      <c r="D43" s="3">
        <v>14</v>
      </c>
      <c r="E43" s="3">
        <v>14</v>
      </c>
      <c r="F43" s="3">
        <v>11</v>
      </c>
      <c r="G43" s="3">
        <v>11</v>
      </c>
      <c r="H43" s="3">
        <v>11</v>
      </c>
      <c r="J43" s="3">
        <f>SUM(B43:I43)</f>
        <v>101</v>
      </c>
    </row>
    <row r="44" spans="1:10" x14ac:dyDescent="0.2">
      <c r="A44" s="3">
        <v>2018</v>
      </c>
      <c r="B44" s="3">
        <v>15</v>
      </c>
      <c r="C44" s="3">
        <v>15</v>
      </c>
      <c r="D44" s="3">
        <v>12</v>
      </c>
      <c r="E44" s="3">
        <v>12</v>
      </c>
      <c r="F44" s="3">
        <v>12</v>
      </c>
      <c r="G44" s="3">
        <v>12</v>
      </c>
      <c r="H44" s="3">
        <v>12</v>
      </c>
      <c r="J44" s="3">
        <f>SUM(B44:I44)</f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5"/>
  <sheetViews>
    <sheetView topLeftCell="A168" zoomScaleNormal="100" workbookViewId="0">
      <selection activeCell="K197" sqref="K197"/>
    </sheetView>
  </sheetViews>
  <sheetFormatPr defaultRowHeight="15" x14ac:dyDescent="0.25"/>
  <cols>
    <col min="1" max="1" width="2.140625" style="5" bestFit="1" customWidth="1"/>
    <col min="2" max="2" width="10.42578125" style="5" bestFit="1" customWidth="1"/>
    <col min="3" max="3" width="4.85546875" style="4" bestFit="1" customWidth="1"/>
    <col min="4" max="4" width="78" style="5" customWidth="1"/>
    <col min="5" max="5" width="14.140625" style="8" bestFit="1" customWidth="1"/>
    <col min="6" max="6" width="4.85546875" style="8" bestFit="1" customWidth="1"/>
    <col min="7" max="7" width="14.7109375" style="8" bestFit="1" customWidth="1"/>
    <col min="8" max="8" width="2.7109375" style="8" customWidth="1"/>
    <col min="9" max="9" width="5.7109375" style="9" bestFit="1" customWidth="1"/>
    <col min="10" max="10" width="4.42578125" style="8" bestFit="1" customWidth="1"/>
    <col min="11" max="11" width="28.5703125" style="8" bestFit="1" customWidth="1"/>
    <col min="12" max="12" width="4.42578125" style="10" bestFit="1" customWidth="1"/>
    <col min="13" max="13" width="5.7109375" style="11" bestFit="1" customWidth="1"/>
    <col min="14" max="14" width="4.42578125" style="11" bestFit="1" customWidth="1"/>
    <col min="15" max="16" width="4" style="11" bestFit="1" customWidth="1"/>
    <col min="17" max="17" width="5.7109375" style="11" bestFit="1" customWidth="1"/>
    <col min="18" max="18" width="4.28515625" style="11" bestFit="1" customWidth="1"/>
    <col min="19" max="19" width="4.85546875" style="11" bestFit="1" customWidth="1"/>
    <col min="20" max="20" width="5.7109375" style="11" bestFit="1" customWidth="1"/>
    <col min="21" max="21" width="28.140625" style="8" customWidth="1"/>
    <col min="22" max="22" width="5.28515625" style="8" bestFit="1" customWidth="1"/>
    <col min="23" max="23" width="6.42578125" style="12" bestFit="1" customWidth="1"/>
    <col min="24" max="24" width="4.42578125" style="8" bestFit="1" customWidth="1"/>
    <col min="25" max="25" width="28.5703125" style="8" bestFit="1" customWidth="1"/>
    <col min="26" max="26" width="46.5703125" style="13" customWidth="1"/>
    <col min="27" max="27" width="5.28515625" style="8" bestFit="1" customWidth="1"/>
    <col min="28" max="29" width="4.42578125" style="8" bestFit="1" customWidth="1"/>
    <col min="30" max="30" width="53" style="8" customWidth="1"/>
    <col min="31" max="16384" width="9.140625" style="8"/>
  </cols>
  <sheetData>
    <row r="1" spans="1:30" s="41" customFormat="1" ht="15.75" x14ac:dyDescent="0.25">
      <c r="A1" s="130" t="s">
        <v>503</v>
      </c>
      <c r="B1" s="130"/>
      <c r="C1" s="130"/>
      <c r="D1" s="130"/>
      <c r="E1" s="7" t="s">
        <v>339</v>
      </c>
      <c r="F1" s="39" t="s">
        <v>340</v>
      </c>
      <c r="G1" s="39"/>
      <c r="I1" s="9"/>
      <c r="L1" s="10"/>
      <c r="M1" s="11"/>
      <c r="N1" s="11"/>
      <c r="O1" s="11"/>
      <c r="P1" s="11"/>
      <c r="Q1" s="11"/>
      <c r="R1" s="11"/>
      <c r="S1" s="11"/>
      <c r="T1" s="11"/>
      <c r="W1" s="12"/>
      <c r="Z1" s="13"/>
    </row>
    <row r="2" spans="1:30" s="41" customFormat="1" ht="24" x14ac:dyDescent="0.2">
      <c r="A2" s="130" t="s">
        <v>354</v>
      </c>
      <c r="B2" s="130"/>
      <c r="C2" s="130"/>
      <c r="D2" s="130"/>
      <c r="E2" s="39" t="s">
        <v>39</v>
      </c>
      <c r="F2" s="37">
        <v>10</v>
      </c>
      <c r="G2" s="11"/>
      <c r="I2" s="33" t="s">
        <v>355</v>
      </c>
      <c r="J2" s="34" t="s">
        <v>356</v>
      </c>
      <c r="K2" s="34" t="s">
        <v>17</v>
      </c>
      <c r="L2" s="35" t="s">
        <v>359</v>
      </c>
      <c r="M2" s="33" t="s">
        <v>115</v>
      </c>
      <c r="N2" s="33" t="s">
        <v>116</v>
      </c>
      <c r="O2" s="33" t="s">
        <v>357</v>
      </c>
      <c r="P2" s="33" t="s">
        <v>358</v>
      </c>
      <c r="Q2" s="34" t="s">
        <v>286</v>
      </c>
      <c r="R2" s="33" t="s">
        <v>287</v>
      </c>
      <c r="S2" s="33" t="s">
        <v>288</v>
      </c>
      <c r="T2" s="33" t="s">
        <v>289</v>
      </c>
      <c r="U2" s="34" t="s">
        <v>22</v>
      </c>
      <c r="V2" s="34" t="s">
        <v>169</v>
      </c>
      <c r="W2" s="36" t="s">
        <v>286</v>
      </c>
      <c r="X2" s="34" t="s">
        <v>167</v>
      </c>
      <c r="Y2" s="34" t="s">
        <v>168</v>
      </c>
      <c r="Z2" s="34" t="s">
        <v>263</v>
      </c>
      <c r="AA2" s="34" t="s">
        <v>170</v>
      </c>
      <c r="AB2" s="36" t="s">
        <v>286</v>
      </c>
      <c r="AC2" s="34" t="s">
        <v>171</v>
      </c>
      <c r="AD2" s="34" t="s">
        <v>172</v>
      </c>
    </row>
    <row r="3" spans="1:30" s="41" customFormat="1" ht="16.5" thickBot="1" x14ac:dyDescent="0.3">
      <c r="A3" s="131" t="str">
        <f>_xlfn.CONCAT(F3," servings")</f>
        <v>15 servings</v>
      </c>
      <c r="B3" s="131"/>
      <c r="C3" s="131"/>
      <c r="D3" s="131"/>
      <c r="E3" s="39" t="s">
        <v>281</v>
      </c>
      <c r="F3" s="37">
        <f>wkndFruitSalad</f>
        <v>15</v>
      </c>
      <c r="G3" s="11"/>
      <c r="I3" s="9"/>
      <c r="L3" s="10"/>
      <c r="M3" s="11"/>
      <c r="N3" s="11"/>
      <c r="O3" s="11"/>
      <c r="P3" s="11"/>
      <c r="Q3" s="11"/>
      <c r="R3" s="11"/>
      <c r="S3" s="11"/>
      <c r="T3" s="11"/>
      <c r="W3" s="130" t="s">
        <v>521</v>
      </c>
      <c r="X3" s="130"/>
      <c r="Y3" s="130"/>
      <c r="Z3" s="130"/>
      <c r="AB3" s="130" t="s">
        <v>522</v>
      </c>
      <c r="AC3" s="130"/>
      <c r="AD3" s="130"/>
    </row>
    <row r="4" spans="1:30" s="41" customFormat="1" ht="16.5" thickBot="1" x14ac:dyDescent="0.3">
      <c r="A4" s="129"/>
      <c r="B4" s="129"/>
      <c r="C4" s="129"/>
      <c r="D4" s="129"/>
      <c r="E4" s="39" t="s">
        <v>284</v>
      </c>
      <c r="F4" s="14">
        <f>F3/F2</f>
        <v>1.5</v>
      </c>
      <c r="G4" s="15" t="s">
        <v>341</v>
      </c>
      <c r="I4" s="9"/>
      <c r="L4" s="10"/>
      <c r="M4" s="11"/>
      <c r="N4" s="11"/>
      <c r="O4" s="11"/>
      <c r="P4" s="11"/>
      <c r="Q4" s="11"/>
      <c r="R4" s="11"/>
      <c r="S4" s="11"/>
      <c r="T4" s="11"/>
      <c r="W4" s="130" t="str">
        <f>A1</f>
        <v>WEEKEND BREAKFAST</v>
      </c>
      <c r="X4" s="130"/>
      <c r="Y4" s="130"/>
      <c r="Z4" s="130"/>
      <c r="AB4" s="130" t="str">
        <f>A1</f>
        <v>WEEKEND BREAKFAST</v>
      </c>
      <c r="AC4" s="130"/>
      <c r="AD4" s="130"/>
    </row>
    <row r="5" spans="1:30" s="41" customFormat="1" ht="15.75" x14ac:dyDescent="0.25">
      <c r="A5" s="129" t="s">
        <v>343</v>
      </c>
      <c r="B5" s="129"/>
      <c r="C5" s="129"/>
      <c r="D5" s="129"/>
      <c r="I5" s="9"/>
      <c r="L5" s="10"/>
      <c r="M5" s="11"/>
      <c r="N5" s="11"/>
      <c r="O5" s="11"/>
      <c r="P5" s="11"/>
      <c r="Q5" s="11"/>
      <c r="R5" s="11"/>
      <c r="S5" s="11"/>
      <c r="T5" s="11"/>
      <c r="W5" s="130" t="str">
        <f>A2</f>
        <v>FRUIT SALAD</v>
      </c>
      <c r="X5" s="130"/>
      <c r="Y5" s="130"/>
      <c r="Z5" s="130"/>
      <c r="AB5" s="130" t="str">
        <f>A2</f>
        <v>FRUIT SALAD</v>
      </c>
      <c r="AC5" s="130"/>
      <c r="AD5" s="130"/>
    </row>
    <row r="6" spans="1:30" s="41" customFormat="1" ht="15.75" thickBot="1" x14ac:dyDescent="0.3">
      <c r="A6" s="38" t="s">
        <v>21</v>
      </c>
      <c r="B6" s="16">
        <f t="shared" ref="B6" si="0">Q6</f>
        <v>3.75</v>
      </c>
      <c r="C6" s="4" t="str">
        <f t="shared" ref="C6" si="1">IF(L6="","",L6)</f>
        <v/>
      </c>
      <c r="D6" s="38" t="str">
        <f t="shared" ref="D6" si="2">_xlfn.CONCAT(K6, U6)</f>
        <v>tinned fruit salad</v>
      </c>
      <c r="E6" s="39" t="s">
        <v>273</v>
      </c>
      <c r="F6" s="41">
        <f>totFruitSalad</f>
        <v>90</v>
      </c>
      <c r="I6" s="18">
        <v>2.5</v>
      </c>
      <c r="J6" s="19"/>
      <c r="K6" s="19" t="s">
        <v>518</v>
      </c>
      <c r="L6" s="20"/>
      <c r="M6" s="11">
        <f t="shared" ref="M6" si="3">INDEX(itemGPerQty, MATCH(K6, itemNames, 0))</f>
        <v>0</v>
      </c>
      <c r="N6" s="11">
        <f t="shared" ref="N6" si="4">INDEX(itemMlPerQty, MATCH(K6, itemNames, 0))</f>
        <v>0</v>
      </c>
      <c r="O6" s="11">
        <f t="shared" ref="O6" si="5">IF(J6 = "", I6 * M6, IF(ISNA(CONVERT(I6, J6, "kg")), CONVERT(I6, J6, "l") * IF(N6 &lt;&gt; 0, M6 / N6, 0), CONVERT(I6, J6, "kg")))</f>
        <v>0</v>
      </c>
      <c r="P6" s="11">
        <f t="shared" ref="P6" si="6">IF(J6 = "", I6 * N6, IF(ISNA(CONVERT(I6, J6, "l")), CONVERT(I6, J6, "kg") * IF(M6 &lt;&gt; 0, N6 / M6, 0), CONVERT(I6, J6, "l")))</f>
        <v>0</v>
      </c>
      <c r="Q6" s="11">
        <f>MROUND(IF(L6 = "", IF(J6 = "", I6, IF(M6 &lt;&gt; 0, O6 / M6, P6 / N6)) * recipe15DayScale, IF(ISNA(CONVERT(O6, "kg", L6)), CONVERT(P6 * recipe15DayScale, "l", L6), CONVERT(O6 * recipe15DayScale, "kg", L6))), roundTo)</f>
        <v>3.75</v>
      </c>
      <c r="R6" s="11">
        <f>recipe15TotScale * IF(L6 = "", Q6 * M6, IF(ISNA(CONVERT(Q6, L6, "kg")), CONVERT(Q6, L6, "l") * IF(N6 &lt;&gt; 0, M6 / N6, 0), CONVERT(Q6, L6, "kg")))</f>
        <v>0</v>
      </c>
      <c r="S6" s="11">
        <f>recipe15TotScale * IF(R6 = 0, IF(L6 = "", Q6 * N6, IF(ISNA(CONVERT(Q6, L6, "l")), CONVERT(Q6, L6, "kg") * IF(M6 &lt;&gt; 0, N6 / M6, 0), CONVERT(Q6, L6, "l"))), 0)</f>
        <v>0</v>
      </c>
      <c r="T6" s="11">
        <f>recipe15TotScale * IF(AND(R6 = 0, S6 = 0, J6 = "", L6 = ""), Q6, 0)</f>
        <v>22.5</v>
      </c>
      <c r="V6" s="41" t="b">
        <f t="shared" ref="V6" si="7">INDEX(itemPrepMethods, MATCH(K6, itemNames, 0))="chop"</f>
        <v>0</v>
      </c>
      <c r="W6" s="21" t="str">
        <f t="shared" ref="W6" si="8">IF(V6, Q6, "")</f>
        <v/>
      </c>
      <c r="X6" s="22" t="str">
        <f t="shared" ref="X6" si="9">IF(V6, IF(L6 = "", "", L6), "")</f>
        <v/>
      </c>
      <c r="Y6" s="22" t="str">
        <f t="shared" ref="Y6" si="10">IF(V6, K6, "")</f>
        <v/>
      </c>
      <c r="Z6" s="23"/>
      <c r="AA6" s="41" t="b">
        <f t="shared" ref="AA6" si="11">INDEX(itemPrepMethods, MATCH(K6, itemNames, 0))="soak"</f>
        <v>0</v>
      </c>
      <c r="AB6" s="22" t="str">
        <f t="shared" ref="AB6" si="12">IF(AA6, Q6, "")</f>
        <v/>
      </c>
      <c r="AC6" s="22" t="str">
        <f t="shared" ref="AC6" si="13">IF(AA6, IF(L6 = "", "", L6), "")</f>
        <v/>
      </c>
      <c r="AD6" s="22" t="str">
        <f t="shared" ref="AD6" si="14">IF(AA6, K6, "")</f>
        <v/>
      </c>
    </row>
    <row r="7" spans="1:30" s="41" customFormat="1" ht="15.75" thickBot="1" x14ac:dyDescent="0.3">
      <c r="A7" s="38" t="s">
        <v>21</v>
      </c>
      <c r="B7" s="16">
        <f t="shared" ref="B7:B8" si="15">Q7</f>
        <v>3</v>
      </c>
      <c r="C7" s="4" t="str">
        <f t="shared" ref="C7:C8" si="16">IF(L7="","",L7)</f>
        <v/>
      </c>
      <c r="D7" s="38" t="str">
        <f t="shared" ref="D7:D8" si="17">_xlfn.CONCAT(K7, U7)</f>
        <v>chopped apples</v>
      </c>
      <c r="E7" s="39" t="s">
        <v>285</v>
      </c>
      <c r="F7" s="14">
        <f>F6/F3</f>
        <v>6</v>
      </c>
      <c r="G7" s="15" t="s">
        <v>342</v>
      </c>
      <c r="I7" s="18">
        <v>2</v>
      </c>
      <c r="J7" s="19"/>
      <c r="K7" s="19" t="s">
        <v>347</v>
      </c>
      <c r="L7" s="20"/>
      <c r="M7" s="11">
        <f t="shared" ref="M7:M8" si="18">INDEX(itemGPerQty, MATCH(K7, itemNames, 0))</f>
        <v>0</v>
      </c>
      <c r="N7" s="11">
        <f t="shared" ref="N7:N8" si="19">INDEX(itemMlPerQty, MATCH(K7, itemNames, 0))</f>
        <v>0</v>
      </c>
      <c r="O7" s="11">
        <f t="shared" ref="O7:O8" si="20">IF(J7 = "", I7 * M7, IF(ISNA(CONVERT(I7, J7, "kg")), CONVERT(I7, J7, "l") * IF(N7 &lt;&gt; 0, M7 / N7, 0), CONVERT(I7, J7, "kg")))</f>
        <v>0</v>
      </c>
      <c r="P7" s="11">
        <f t="shared" ref="P7:P8" si="21">IF(J7 = "", I7 * N7, IF(ISNA(CONVERT(I7, J7, "l")), CONVERT(I7, J7, "kg") * IF(M7 &lt;&gt; 0, N7 / M7, 0), CONVERT(I7, J7, "l")))</f>
        <v>0</v>
      </c>
      <c r="Q7" s="11">
        <f>MROUND(IF(L7 = "", IF(J7 = "", I7, IF(M7 &lt;&gt; 0, O7 / M7, P7 / N7)) * recipe15DayScale, IF(ISNA(CONVERT(O7, "kg", L7)), CONVERT(P7 * recipe15DayScale, "l", L7), CONVERT(O7 * recipe15DayScale, "kg", L7))), roundTo)</f>
        <v>3</v>
      </c>
      <c r="R7" s="11">
        <f>recipe15TotScale * IF(L7 = "", Q7 * M7, IF(ISNA(CONVERT(Q7, L7, "kg")), CONVERT(Q7, L7, "l") * IF(N7 &lt;&gt; 0, M7 / N7, 0), CONVERT(Q7, L7, "kg")))</f>
        <v>0</v>
      </c>
      <c r="S7" s="11">
        <f>recipe15TotScale * IF(R7 = 0, IF(L7 = "", Q7 * N7, IF(ISNA(CONVERT(Q7, L7, "l")), CONVERT(Q7, L7, "kg") * IF(M7 &lt;&gt; 0, N7 / M7, 0), CONVERT(Q7, L7, "l"))), 0)</f>
        <v>0</v>
      </c>
      <c r="T7" s="11">
        <f>recipe15TotScale * IF(AND(R7 = 0, S7 = 0, J7 = "", L7 = ""), Q7, 0)</f>
        <v>18</v>
      </c>
      <c r="V7" s="41" t="b">
        <f t="shared" ref="V7:V8" si="22">INDEX(itemPrepMethods, MATCH(K7, itemNames, 0))="chop"</f>
        <v>1</v>
      </c>
      <c r="W7" s="21">
        <f t="shared" ref="W7:W8" si="23">IF(V7, Q7, "")</f>
        <v>3</v>
      </c>
      <c r="X7" s="22" t="str">
        <f t="shared" ref="X7:X8" si="24">IF(V7, IF(L7 = "", "", L7), "")</f>
        <v/>
      </c>
      <c r="Y7" s="22" t="str">
        <f t="shared" ref="Y7:Y8" si="25">IF(V7, K7, "")</f>
        <v>chopped apples</v>
      </c>
      <c r="Z7" s="23"/>
      <c r="AA7" s="41" t="b">
        <f t="shared" ref="AA7:AA8" si="26">INDEX(itemPrepMethods, MATCH(K7, itemNames, 0))="soak"</f>
        <v>0</v>
      </c>
      <c r="AB7" s="22" t="str">
        <f t="shared" ref="AB7:AB8" si="27">IF(AA7, Q7, "")</f>
        <v/>
      </c>
      <c r="AC7" s="22" t="str">
        <f t="shared" ref="AC7:AC8" si="28">IF(AA7, IF(L7 = "", "", L7), "")</f>
        <v/>
      </c>
      <c r="AD7" s="22" t="str">
        <f t="shared" ref="AD7:AD8" si="29">IF(AA7, K7, "")</f>
        <v/>
      </c>
    </row>
    <row r="8" spans="1:30" s="41" customFormat="1" x14ac:dyDescent="0.25">
      <c r="A8" s="38" t="s">
        <v>21</v>
      </c>
      <c r="B8" s="16">
        <f t="shared" si="15"/>
        <v>3</v>
      </c>
      <c r="C8" s="4" t="str">
        <f t="shared" si="16"/>
        <v/>
      </c>
      <c r="D8" s="38" t="str">
        <f t="shared" si="17"/>
        <v>sliced bananas</v>
      </c>
      <c r="I8" s="18">
        <v>2</v>
      </c>
      <c r="J8" s="19"/>
      <c r="K8" s="19" t="s">
        <v>348</v>
      </c>
      <c r="L8" s="20"/>
      <c r="M8" s="11">
        <f t="shared" si="18"/>
        <v>0</v>
      </c>
      <c r="N8" s="11">
        <f t="shared" si="19"/>
        <v>0</v>
      </c>
      <c r="O8" s="11">
        <f t="shared" si="20"/>
        <v>0</v>
      </c>
      <c r="P8" s="11">
        <f t="shared" si="21"/>
        <v>0</v>
      </c>
      <c r="Q8" s="11">
        <f>MROUND(IF(L8 = "", IF(J8 = "", I8, IF(M8 &lt;&gt; 0, O8 / M8, P8 / N8)) * recipe15DayScale, IF(ISNA(CONVERT(O8, "kg", L8)), CONVERT(P8 * recipe15DayScale, "l", L8), CONVERT(O8 * recipe15DayScale, "kg", L8))), roundTo)</f>
        <v>3</v>
      </c>
      <c r="R8" s="11">
        <f>recipe15TotScale * IF(L8 = "", Q8 * M8, IF(ISNA(CONVERT(Q8, L8, "kg")), CONVERT(Q8, L8, "l") * IF(N8 &lt;&gt; 0, M8 / N8, 0), CONVERT(Q8, L8, "kg")))</f>
        <v>0</v>
      </c>
      <c r="S8" s="11">
        <f>recipe15TotScale * IF(R8 = 0, IF(L8 = "", Q8 * N8, IF(ISNA(CONVERT(Q8, L8, "l")), CONVERT(Q8, L8, "kg") * IF(M8 &lt;&gt; 0, N8 / M8, 0), CONVERT(Q8, L8, "l"))), 0)</f>
        <v>0</v>
      </c>
      <c r="T8" s="11">
        <f>recipe15TotScale * IF(AND(R8 = 0, S8 = 0, J8 = "", L8 = ""), Q8, 0)</f>
        <v>18</v>
      </c>
      <c r="V8" s="41" t="b">
        <f t="shared" si="22"/>
        <v>1</v>
      </c>
      <c r="W8" s="21">
        <f t="shared" si="23"/>
        <v>3</v>
      </c>
      <c r="X8" s="22" t="str">
        <f t="shared" si="24"/>
        <v/>
      </c>
      <c r="Y8" s="22" t="str">
        <f t="shared" si="25"/>
        <v>sliced bananas</v>
      </c>
      <c r="Z8" s="23"/>
      <c r="AA8" s="41" t="b">
        <f t="shared" si="26"/>
        <v>0</v>
      </c>
      <c r="AB8" s="22" t="str">
        <f t="shared" si="27"/>
        <v/>
      </c>
      <c r="AC8" s="22" t="str">
        <f t="shared" si="28"/>
        <v/>
      </c>
      <c r="AD8" s="22" t="str">
        <f t="shared" si="29"/>
        <v/>
      </c>
    </row>
    <row r="9" spans="1:30" s="41" customFormat="1" x14ac:dyDescent="0.25">
      <c r="A9" s="38" t="s">
        <v>21</v>
      </c>
      <c r="B9" s="16">
        <f t="shared" ref="B9" si="30">Q9</f>
        <v>3</v>
      </c>
      <c r="C9" s="4" t="str">
        <f t="shared" ref="C9:C10" si="31">IF(L9="","",L9)</f>
        <v/>
      </c>
      <c r="D9" s="38" t="str">
        <f t="shared" ref="D9:D10" si="32">_xlfn.CONCAT(K9, U9)</f>
        <v>chopped pears</v>
      </c>
      <c r="I9" s="18">
        <v>2</v>
      </c>
      <c r="J9" s="19"/>
      <c r="K9" s="19" t="s">
        <v>349</v>
      </c>
      <c r="L9" s="20"/>
      <c r="M9" s="11">
        <f t="shared" ref="M9" si="33">INDEX(itemGPerQty, MATCH(K9, itemNames, 0))</f>
        <v>0</v>
      </c>
      <c r="N9" s="11">
        <f t="shared" ref="N9" si="34">INDEX(itemMlPerQty, MATCH(K9, itemNames, 0))</f>
        <v>0</v>
      </c>
      <c r="O9" s="11">
        <f t="shared" ref="O9" si="35">IF(J9 = "", I9 * M9, IF(ISNA(CONVERT(I9, J9, "kg")), CONVERT(I9, J9, "l") * IF(N9 &lt;&gt; 0, M9 / N9, 0), CONVERT(I9, J9, "kg")))</f>
        <v>0</v>
      </c>
      <c r="P9" s="11">
        <f t="shared" ref="P9" si="36">IF(J9 = "", I9 * N9, IF(ISNA(CONVERT(I9, J9, "l")), CONVERT(I9, J9, "kg") * IF(M9 &lt;&gt; 0, N9 / M9, 0), CONVERT(I9, J9, "l")))</f>
        <v>0</v>
      </c>
      <c r="Q9" s="11">
        <f>MROUND(IF(L9 = "", IF(J9 = "", I9, IF(M9 &lt;&gt; 0, O9 / M9, P9 / N9)) * recipe15DayScale, IF(ISNA(CONVERT(O9, "kg", L9)), CONVERT(P9 * recipe15DayScale, "l", L9), CONVERT(O9 * recipe15DayScale, "kg", L9))), roundTo)</f>
        <v>3</v>
      </c>
      <c r="R9" s="11">
        <f>recipe15TotScale * IF(L9 = "", Q9 * M9, IF(ISNA(CONVERT(Q9, L9, "kg")), CONVERT(Q9, L9, "l") * IF(N9 &lt;&gt; 0, M9 / N9, 0), CONVERT(Q9, L9, "kg")))</f>
        <v>0</v>
      </c>
      <c r="S9" s="11">
        <f>recipe15TotScale * IF(R9 = 0, IF(L9 = "", Q9 * N9, IF(ISNA(CONVERT(Q9, L9, "l")), CONVERT(Q9, L9, "kg") * IF(M9 &lt;&gt; 0, N9 / M9, 0), CONVERT(Q9, L9, "l"))), 0)</f>
        <v>0</v>
      </c>
      <c r="T9" s="11">
        <f>recipe15TotScale * IF(AND(R9 = 0, S9 = 0, J9 = "", L9 = ""), Q9, 0)</f>
        <v>18</v>
      </c>
      <c r="V9" s="41" t="b">
        <f t="shared" ref="V9:V10" si="37">INDEX(itemPrepMethods, MATCH(K9, itemNames, 0))="chop"</f>
        <v>1</v>
      </c>
      <c r="W9" s="21">
        <f t="shared" ref="W9:W10" si="38">IF(V9, Q9, "")</f>
        <v>3</v>
      </c>
      <c r="X9" s="22" t="str">
        <f t="shared" ref="X9:X10" si="39">IF(V9, IF(L9 = "", "", L9), "")</f>
        <v/>
      </c>
      <c r="Y9" s="22" t="str">
        <f t="shared" ref="Y9:Y10" si="40">IF(V9, K9, "")</f>
        <v>chopped pears</v>
      </c>
      <c r="Z9" s="23"/>
      <c r="AA9" s="41" t="b">
        <f t="shared" ref="AA9:AA10" si="41">INDEX(itemPrepMethods, MATCH(K9, itemNames, 0))="soak"</f>
        <v>0</v>
      </c>
      <c r="AB9" s="22" t="str">
        <f t="shared" ref="AB9:AB10" si="42">IF(AA9, Q9, "")</f>
        <v/>
      </c>
      <c r="AC9" s="22" t="str">
        <f t="shared" ref="AC9:AC10" si="43">IF(AA9, IF(L9 = "", "", L9), "")</f>
        <v/>
      </c>
      <c r="AD9" s="22" t="str">
        <f t="shared" ref="AD9:AD10" si="44">IF(AA9, K9, "")</f>
        <v/>
      </c>
    </row>
    <row r="10" spans="1:30" s="41" customFormat="1" x14ac:dyDescent="0.25">
      <c r="A10" s="38" t="s">
        <v>21</v>
      </c>
      <c r="B10" s="16"/>
      <c r="C10" s="4" t="str">
        <f t="shared" si="31"/>
        <v/>
      </c>
      <c r="D10" s="38" t="str">
        <f t="shared" si="32"/>
        <v>grapes, if available</v>
      </c>
      <c r="K10" s="19" t="s">
        <v>351</v>
      </c>
      <c r="R10" s="11"/>
      <c r="S10" s="11"/>
      <c r="U10" s="41" t="s">
        <v>195</v>
      </c>
      <c r="V10" s="41" t="b">
        <f t="shared" si="37"/>
        <v>0</v>
      </c>
      <c r="W10" s="21" t="str">
        <f t="shared" si="38"/>
        <v/>
      </c>
      <c r="X10" s="22" t="str">
        <f t="shared" si="39"/>
        <v/>
      </c>
      <c r="Y10" s="22" t="str">
        <f t="shared" si="40"/>
        <v/>
      </c>
      <c r="Z10" s="23"/>
      <c r="AA10" s="41" t="b">
        <f t="shared" si="41"/>
        <v>0</v>
      </c>
      <c r="AB10" s="22" t="str">
        <f t="shared" si="42"/>
        <v/>
      </c>
      <c r="AC10" s="22" t="str">
        <f t="shared" si="43"/>
        <v/>
      </c>
      <c r="AD10" s="22" t="str">
        <f t="shared" si="44"/>
        <v/>
      </c>
    </row>
    <row r="11" spans="1:30" s="41" customFormat="1" x14ac:dyDescent="0.25">
      <c r="A11" s="129"/>
      <c r="B11" s="129"/>
      <c r="C11" s="129"/>
      <c r="D11" s="129"/>
      <c r="I11" s="9"/>
      <c r="L11" s="10"/>
      <c r="M11" s="11"/>
      <c r="N11" s="11"/>
      <c r="O11" s="11"/>
      <c r="P11" s="11"/>
      <c r="Q11" s="11"/>
      <c r="R11" s="11"/>
      <c r="S11" s="11"/>
      <c r="T11" s="11"/>
      <c r="W11" s="12"/>
      <c r="Z11" s="13"/>
    </row>
    <row r="12" spans="1:30" s="41" customFormat="1" x14ac:dyDescent="0.25">
      <c r="A12" s="129" t="s">
        <v>352</v>
      </c>
      <c r="B12" s="129"/>
      <c r="C12" s="129"/>
      <c r="D12" s="129"/>
      <c r="I12" s="9"/>
      <c r="L12" s="10"/>
      <c r="M12" s="11"/>
      <c r="N12" s="11"/>
      <c r="O12" s="11"/>
      <c r="P12" s="11"/>
      <c r="Q12" s="11"/>
      <c r="R12" s="11"/>
      <c r="S12" s="11"/>
      <c r="T12" s="11"/>
      <c r="W12" s="12"/>
      <c r="Z12" s="13"/>
    </row>
    <row r="13" spans="1:30" s="30" customFormat="1" ht="15.75" x14ac:dyDescent="0.25">
      <c r="A13" s="130" t="s">
        <v>504</v>
      </c>
      <c r="B13" s="130"/>
      <c r="C13" s="130"/>
      <c r="D13" s="130"/>
      <c r="E13" s="7" t="s">
        <v>264</v>
      </c>
      <c r="F13" s="39" t="s">
        <v>361</v>
      </c>
      <c r="G13" s="39"/>
      <c r="I13" s="9"/>
      <c r="L13" s="10"/>
      <c r="M13" s="11"/>
      <c r="N13" s="11"/>
      <c r="O13" s="11"/>
      <c r="P13" s="11"/>
      <c r="Q13" s="11"/>
      <c r="R13" s="11"/>
      <c r="S13" s="11"/>
      <c r="T13" s="11"/>
      <c r="W13" s="12"/>
      <c r="Z13" s="13"/>
    </row>
    <row r="14" spans="1:30" s="30" customFormat="1" ht="24" x14ac:dyDescent="0.2">
      <c r="A14" s="130" t="s">
        <v>353</v>
      </c>
      <c r="B14" s="130"/>
      <c r="C14" s="130"/>
      <c r="D14" s="130"/>
      <c r="E14" s="29" t="s">
        <v>39</v>
      </c>
      <c r="F14" s="47">
        <v>10</v>
      </c>
      <c r="G14" s="11"/>
      <c r="I14" s="33" t="s">
        <v>355</v>
      </c>
      <c r="J14" s="34" t="s">
        <v>356</v>
      </c>
      <c r="K14" s="34" t="s">
        <v>17</v>
      </c>
      <c r="L14" s="35" t="s">
        <v>359</v>
      </c>
      <c r="M14" s="33" t="s">
        <v>115</v>
      </c>
      <c r="N14" s="33" t="s">
        <v>116</v>
      </c>
      <c r="O14" s="33" t="s">
        <v>357</v>
      </c>
      <c r="P14" s="33" t="s">
        <v>358</v>
      </c>
      <c r="Q14" s="34" t="s">
        <v>286</v>
      </c>
      <c r="R14" s="33" t="s">
        <v>287</v>
      </c>
      <c r="S14" s="33" t="s">
        <v>288</v>
      </c>
      <c r="T14" s="33" t="s">
        <v>289</v>
      </c>
      <c r="U14" s="34" t="s">
        <v>22</v>
      </c>
      <c r="V14" s="34" t="s">
        <v>169</v>
      </c>
      <c r="W14" s="36" t="s">
        <v>286</v>
      </c>
      <c r="X14" s="34" t="s">
        <v>167</v>
      </c>
      <c r="Y14" s="34" t="s">
        <v>168</v>
      </c>
      <c r="Z14" s="34" t="s">
        <v>263</v>
      </c>
      <c r="AA14" s="34" t="s">
        <v>170</v>
      </c>
      <c r="AB14" s="36" t="s">
        <v>286</v>
      </c>
      <c r="AC14" s="34" t="s">
        <v>171</v>
      </c>
      <c r="AD14" s="34" t="s">
        <v>172</v>
      </c>
    </row>
    <row r="15" spans="1:30" s="30" customFormat="1" ht="16.5" thickBot="1" x14ac:dyDescent="0.3">
      <c r="A15" s="131" t="str">
        <f>_xlfn.CONCAT(F15," servings")</f>
        <v>15 servings</v>
      </c>
      <c r="B15" s="131"/>
      <c r="C15" s="131"/>
      <c r="D15" s="131"/>
      <c r="E15" s="29" t="s">
        <v>281</v>
      </c>
      <c r="F15" s="37">
        <f>wkndSalad</f>
        <v>15</v>
      </c>
      <c r="G15" s="11"/>
      <c r="I15" s="11"/>
      <c r="L15" s="10"/>
      <c r="M15" s="11"/>
      <c r="N15" s="11"/>
      <c r="O15" s="11"/>
      <c r="P15" s="11"/>
      <c r="Q15" s="11"/>
      <c r="R15" s="11"/>
      <c r="S15" s="11"/>
      <c r="T15" s="11"/>
      <c r="W15" s="130" t="s">
        <v>521</v>
      </c>
      <c r="X15" s="130"/>
      <c r="Y15" s="130"/>
      <c r="Z15" s="130"/>
      <c r="AB15" s="130" t="s">
        <v>522</v>
      </c>
      <c r="AC15" s="130"/>
      <c r="AD15" s="130"/>
    </row>
    <row r="16" spans="1:30" s="41" customFormat="1" ht="16.5" thickBot="1" x14ac:dyDescent="0.3">
      <c r="A16" s="129"/>
      <c r="B16" s="129"/>
      <c r="C16" s="129"/>
      <c r="D16" s="129"/>
      <c r="E16" s="29" t="s">
        <v>284</v>
      </c>
      <c r="F16" s="14">
        <f>F15/F14</f>
        <v>1.5</v>
      </c>
      <c r="G16" s="15" t="s">
        <v>282</v>
      </c>
      <c r="I16" s="11"/>
      <c r="L16" s="10"/>
      <c r="M16" s="11"/>
      <c r="N16" s="11"/>
      <c r="O16" s="11"/>
      <c r="P16" s="11"/>
      <c r="Q16" s="11"/>
      <c r="R16" s="11"/>
      <c r="S16" s="11"/>
      <c r="T16" s="11"/>
      <c r="W16" s="130" t="str">
        <f>A13</f>
        <v>WEEKEND LUNCH</v>
      </c>
      <c r="X16" s="130"/>
      <c r="Y16" s="130"/>
      <c r="Z16" s="130"/>
      <c r="AB16" s="130" t="str">
        <f>A13</f>
        <v>WEEKEND LUNCH</v>
      </c>
      <c r="AC16" s="130"/>
      <c r="AD16" s="130"/>
    </row>
    <row r="17" spans="1:30" s="30" customFormat="1" ht="15.75" x14ac:dyDescent="0.25">
      <c r="A17" s="129" t="s">
        <v>272</v>
      </c>
      <c r="B17" s="129"/>
      <c r="C17" s="129"/>
      <c r="D17" s="129"/>
      <c r="I17" s="11"/>
      <c r="L17" s="10"/>
      <c r="M17" s="11"/>
      <c r="N17" s="11"/>
      <c r="O17" s="11"/>
      <c r="P17" s="11"/>
      <c r="Q17" s="11"/>
      <c r="R17" s="11"/>
      <c r="S17" s="11"/>
      <c r="T17" s="11"/>
      <c r="W17" s="130" t="str">
        <f>A14</f>
        <v>SALAD</v>
      </c>
      <c r="X17" s="130"/>
      <c r="Y17" s="130"/>
      <c r="Z17" s="130"/>
      <c r="AA17" s="41"/>
      <c r="AB17" s="130" t="str">
        <f>A14</f>
        <v>SALAD</v>
      </c>
      <c r="AC17" s="130"/>
      <c r="AD17" s="130"/>
    </row>
    <row r="18" spans="1:30" s="30" customFormat="1" ht="15.75" thickBot="1" x14ac:dyDescent="0.3">
      <c r="A18" s="28" t="s">
        <v>21</v>
      </c>
      <c r="B18" s="16">
        <f t="shared" ref="B18:B22" si="45">Q18</f>
        <v>0.75</v>
      </c>
      <c r="C18" s="4" t="str">
        <f t="shared" ref="C18:C25" si="46">IF(L18="","",L18)</f>
        <v/>
      </c>
      <c r="D18" s="28" t="str">
        <f t="shared" ref="D18:D25" si="47">_xlfn.CONCAT(K18, U18)</f>
        <v>sliced cucumbers</v>
      </c>
      <c r="E18" s="29" t="s">
        <v>273</v>
      </c>
      <c r="F18" s="30">
        <f>totSalad</f>
        <v>78</v>
      </c>
      <c r="H18" s="17"/>
      <c r="I18" s="18">
        <v>0.5</v>
      </c>
      <c r="J18" s="19"/>
      <c r="K18" s="19" t="s">
        <v>267</v>
      </c>
      <c r="L18" s="20"/>
      <c r="M18" s="11">
        <f t="shared" ref="M18:M22" si="48">INDEX(itemGPerQty, MATCH(K18, itemNames, 0))</f>
        <v>0</v>
      </c>
      <c r="N18" s="11">
        <f t="shared" ref="N18:N22" si="49">INDEX(itemMlPerQty, MATCH(K18, itemNames, 0))</f>
        <v>0</v>
      </c>
      <c r="O18" s="11">
        <f t="shared" ref="O18:O22" si="50">IF(J18 = "", I18 * M18, IF(ISNA(CONVERT(I18, J18, "kg")), CONVERT(I18, J18, "l") * IF(N18 &lt;&gt; 0, M18 / N18, 0), CONVERT(I18, J18, "kg")))</f>
        <v>0</v>
      </c>
      <c r="P18" s="11">
        <f t="shared" ref="P18:P22" si="51">IF(J18 = "", I18 * N18, IF(ISNA(CONVERT(I18, J18, "l")), CONVERT(I18, J18, "kg") * IF(M18 &lt;&gt; 0, N18 / M18, 0), CONVERT(I18, J18, "l")))</f>
        <v>0</v>
      </c>
      <c r="Q18" s="11">
        <f>MROUND(IF(L18 = "", IF(J18 = "", I18, IF(M18 &lt;&gt; 0, O18 / M18, P18 / N18)) * recipe14DayScale, IF(ISNA(CONVERT(O18, "kg", L18)), CONVERT(P18 * recipe14DayScale, "l", L18), CONVERT(O18 * recipe14DayScale, "kg", L18))), roundTo)</f>
        <v>0.75</v>
      </c>
      <c r="R18" s="11">
        <f t="shared" ref="R18:R22" si="52">recipe14TotScale * IF(L18 = "", Q18 * M18, IF(ISNA(CONVERT(Q18, L18, "kg")), CONVERT(Q18, L18, "l") * IF(N18 &lt;&gt; 0, M18 / N18, 0), CONVERT(Q18, L18, "kg")))</f>
        <v>0</v>
      </c>
      <c r="S18" s="11">
        <f t="shared" ref="S18:S22" si="53">recipe14TotScale * IF(R18 = 0, IF(L18 = "", Q18 * N18, IF(ISNA(CONVERT(Q18, L18, "l")), CONVERT(Q18, L18, "kg") * IF(M18 &lt;&gt; 0, N18 / M18, 0), CONVERT(Q18, L18, "l"))), 0)</f>
        <v>0</v>
      </c>
      <c r="T18" s="11">
        <f t="shared" ref="T18:T22" si="54">recipe14TotScale * IF(AND(R18 = 0, S18 = 0, J18 = "", L18 = ""), Q18, 0)</f>
        <v>3.9000000000000004</v>
      </c>
      <c r="V18" s="30" t="b">
        <f t="shared" ref="V18:V25" si="55">INDEX(itemPrepMethods, MATCH(K18, itemNames, 0))="chop"</f>
        <v>1</v>
      </c>
      <c r="W18" s="21">
        <f t="shared" ref="W18:W25" si="56">IF(V18, Q18, "")</f>
        <v>0.75</v>
      </c>
      <c r="X18" s="22" t="str">
        <f t="shared" ref="X18:X25" si="57">IF(V18, IF(L18 = "", "", L18), "")</f>
        <v/>
      </c>
      <c r="Y18" s="22" t="str">
        <f t="shared" ref="Y18:Y25" si="58">IF(V18, K18, "")</f>
        <v>sliced cucumbers</v>
      </c>
      <c r="Z18" s="23"/>
      <c r="AA18" s="30" t="b">
        <f t="shared" ref="AA18:AA25" si="59">INDEX(itemPrepMethods, MATCH(K18, itemNames, 0))="soak"</f>
        <v>0</v>
      </c>
      <c r="AB18" s="22" t="str">
        <f t="shared" ref="AB18:AB25" si="60">IF(AA18, Q18, "")</f>
        <v/>
      </c>
      <c r="AC18" s="22" t="str">
        <f t="shared" ref="AC18:AC25" si="61">IF(AA18, IF(L18 = "", "", L18), "")</f>
        <v/>
      </c>
      <c r="AD18" s="22" t="str">
        <f t="shared" ref="AD18:AD25" si="62">IF(AA18, K18, "")</f>
        <v/>
      </c>
    </row>
    <row r="19" spans="1:30" s="30" customFormat="1" ht="15.75" thickBot="1" x14ac:dyDescent="0.3">
      <c r="A19" s="28" t="s">
        <v>21</v>
      </c>
      <c r="B19" s="16">
        <f t="shared" si="45"/>
        <v>1</v>
      </c>
      <c r="C19" s="4" t="str">
        <f t="shared" si="46"/>
        <v>cup</v>
      </c>
      <c r="D19" s="28" t="str">
        <f t="shared" si="47"/>
        <v>grated carrots</v>
      </c>
      <c r="E19" s="29" t="s">
        <v>285</v>
      </c>
      <c r="F19" s="14">
        <f>F18/F15</f>
        <v>5.2</v>
      </c>
      <c r="G19" s="15" t="s">
        <v>283</v>
      </c>
      <c r="H19" s="17"/>
      <c r="I19" s="18">
        <v>0.5</v>
      </c>
      <c r="J19" s="19"/>
      <c r="K19" s="19" t="s">
        <v>268</v>
      </c>
      <c r="L19" s="20" t="s">
        <v>16</v>
      </c>
      <c r="M19" s="11">
        <f t="shared" si="48"/>
        <v>0.157</v>
      </c>
      <c r="N19" s="11">
        <f t="shared" si="49"/>
        <v>0.29573529999999998</v>
      </c>
      <c r="O19" s="11">
        <f t="shared" si="50"/>
        <v>7.85E-2</v>
      </c>
      <c r="P19" s="11">
        <f t="shared" si="51"/>
        <v>0.14786764999999999</v>
      </c>
      <c r="Q19" s="11">
        <f>MROUND(IF(L19 = "", IF(J19 = "", I19, IF(M19 &lt;&gt; 0, O19 / M19, P19 / N19)) * recipe14DayScale, IF(ISNA(CONVERT(O19, "kg", L19)), CONVERT(P19 * recipe14DayScale, "l", L19), CONVERT(O19 * recipe14DayScale, "kg", L19))), roundTo)</f>
        <v>1</v>
      </c>
      <c r="R19" s="11">
        <f t="shared" si="52"/>
        <v>0.6531199903379814</v>
      </c>
      <c r="S19" s="11">
        <f t="shared" si="53"/>
        <v>0</v>
      </c>
      <c r="T19" s="11">
        <f t="shared" si="54"/>
        <v>0</v>
      </c>
      <c r="V19" s="30" t="b">
        <f t="shared" si="55"/>
        <v>1</v>
      </c>
      <c r="W19" s="21">
        <f t="shared" si="56"/>
        <v>1</v>
      </c>
      <c r="X19" s="22" t="str">
        <f t="shared" si="57"/>
        <v>cup</v>
      </c>
      <c r="Y19" s="22" t="str">
        <f t="shared" si="58"/>
        <v>grated carrots</v>
      </c>
      <c r="Z19" s="23"/>
      <c r="AA19" s="30" t="b">
        <f t="shared" si="59"/>
        <v>0</v>
      </c>
      <c r="AB19" s="22" t="str">
        <f t="shared" si="60"/>
        <v/>
      </c>
      <c r="AC19" s="22" t="str">
        <f t="shared" si="61"/>
        <v/>
      </c>
      <c r="AD19" s="22" t="str">
        <f t="shared" si="62"/>
        <v/>
      </c>
    </row>
    <row r="20" spans="1:30" s="30" customFormat="1" x14ac:dyDescent="0.25">
      <c r="A20" s="28" t="s">
        <v>21</v>
      </c>
      <c r="B20" s="16">
        <f t="shared" si="45"/>
        <v>2</v>
      </c>
      <c r="C20" s="4" t="str">
        <f t="shared" si="46"/>
        <v>cup</v>
      </c>
      <c r="D20" s="28" t="str">
        <f t="shared" si="47"/>
        <v>sliced celery stalks</v>
      </c>
      <c r="H20" s="17"/>
      <c r="I20" s="18">
        <v>1.5</v>
      </c>
      <c r="J20" s="19"/>
      <c r="K20" s="19" t="s">
        <v>142</v>
      </c>
      <c r="L20" s="20" t="s">
        <v>16</v>
      </c>
      <c r="M20" s="11">
        <f t="shared" si="48"/>
        <v>0.1</v>
      </c>
      <c r="N20" s="11">
        <f t="shared" si="49"/>
        <v>0.2</v>
      </c>
      <c r="O20" s="11">
        <f t="shared" si="50"/>
        <v>0.15000000000000002</v>
      </c>
      <c r="P20" s="11">
        <f t="shared" si="51"/>
        <v>0.30000000000000004</v>
      </c>
      <c r="Q20" s="11">
        <f>MROUND(IF(L20 = "", IF(J20 = "", I20, IF(M20 &lt;&gt; 0, O20 / M20, P20 / N20)) * recipe14DayScale, IF(ISNA(CONVERT(O20, "kg", L20)), CONVERT(P20 * recipe14DayScale, "l", L20), CONVERT(O20 * recipe14DayScale, "kg", L20))), roundTo)</f>
        <v>2</v>
      </c>
      <c r="R20" s="11">
        <f t="shared" si="52"/>
        <v>1.2302588297999999</v>
      </c>
      <c r="S20" s="11">
        <f t="shared" si="53"/>
        <v>0</v>
      </c>
      <c r="T20" s="11">
        <f t="shared" si="54"/>
        <v>0</v>
      </c>
      <c r="V20" s="30" t="b">
        <f t="shared" si="55"/>
        <v>1</v>
      </c>
      <c r="W20" s="21">
        <f t="shared" si="56"/>
        <v>2</v>
      </c>
      <c r="X20" s="22" t="str">
        <f t="shared" si="57"/>
        <v>cup</v>
      </c>
      <c r="Y20" s="22" t="str">
        <f t="shared" si="58"/>
        <v>sliced celery stalks</v>
      </c>
      <c r="Z20" s="23"/>
      <c r="AA20" s="30" t="b">
        <f t="shared" si="59"/>
        <v>0</v>
      </c>
      <c r="AB20" s="22" t="str">
        <f t="shared" si="60"/>
        <v/>
      </c>
      <c r="AC20" s="22" t="str">
        <f t="shared" si="61"/>
        <v/>
      </c>
      <c r="AD20" s="22" t="str">
        <f t="shared" si="62"/>
        <v/>
      </c>
    </row>
    <row r="21" spans="1:30" s="30" customFormat="1" x14ac:dyDescent="0.25">
      <c r="A21" s="28" t="s">
        <v>21</v>
      </c>
      <c r="B21" s="16">
        <f t="shared" si="45"/>
        <v>1.5</v>
      </c>
      <c r="C21" s="4" t="str">
        <f t="shared" si="46"/>
        <v>cup</v>
      </c>
      <c r="D21" s="28" t="str">
        <f t="shared" si="47"/>
        <v>sliced red capsicums</v>
      </c>
      <c r="H21" s="17"/>
      <c r="I21" s="18">
        <v>0.5</v>
      </c>
      <c r="J21" s="19"/>
      <c r="K21" s="19" t="s">
        <v>544</v>
      </c>
      <c r="L21" s="20" t="s">
        <v>16</v>
      </c>
      <c r="M21" s="11">
        <f t="shared" si="48"/>
        <v>0.19900000000000001</v>
      </c>
      <c r="N21" s="11">
        <f t="shared" si="49"/>
        <v>0.45</v>
      </c>
      <c r="O21" s="11">
        <f t="shared" si="50"/>
        <v>9.9500000000000005E-2</v>
      </c>
      <c r="P21" s="11">
        <f t="shared" si="51"/>
        <v>0.22500000000000001</v>
      </c>
      <c r="Q21" s="11">
        <f>MROUND(IF(L21 = "", IF(J21 = "", I21, IF(M21 &lt;&gt; 0, O21 / M21, P21 / N21)) * recipe14DayScale, IF(ISNA(CONVERT(O21, "kg", L21)), CONVERT(P21 * recipe14DayScale, "l", L21), CONVERT(O21 * recipe14DayScale, "kg", L21))), roundTo)</f>
        <v>1.5</v>
      </c>
      <c r="R21" s="11">
        <f t="shared" si="52"/>
        <v>0.81607169043400007</v>
      </c>
      <c r="S21" s="11">
        <f t="shared" si="53"/>
        <v>0</v>
      </c>
      <c r="T21" s="11">
        <f t="shared" si="54"/>
        <v>0</v>
      </c>
      <c r="V21" s="30" t="b">
        <f t="shared" si="55"/>
        <v>1</v>
      </c>
      <c r="W21" s="21">
        <f t="shared" si="56"/>
        <v>1.5</v>
      </c>
      <c r="X21" s="22" t="str">
        <f t="shared" si="57"/>
        <v>cup</v>
      </c>
      <c r="Y21" s="22" t="str">
        <f t="shared" si="58"/>
        <v>sliced red capsicums</v>
      </c>
      <c r="Z21" s="23"/>
      <c r="AA21" s="30" t="b">
        <f t="shared" si="59"/>
        <v>0</v>
      </c>
      <c r="AB21" s="22" t="str">
        <f t="shared" si="60"/>
        <v/>
      </c>
      <c r="AC21" s="22" t="str">
        <f t="shared" si="61"/>
        <v/>
      </c>
      <c r="AD21" s="22" t="str">
        <f t="shared" si="62"/>
        <v/>
      </c>
    </row>
    <row r="22" spans="1:30" s="30" customFormat="1" x14ac:dyDescent="0.25">
      <c r="A22" s="28" t="s">
        <v>21</v>
      </c>
      <c r="B22" s="16">
        <f t="shared" si="45"/>
        <v>1.5</v>
      </c>
      <c r="C22" s="4" t="str">
        <f t="shared" si="46"/>
        <v/>
      </c>
      <c r="D22" s="28" t="str">
        <f t="shared" si="47"/>
        <v>coarsely chopped lettuces (into 2cm x 2cm cubes)</v>
      </c>
      <c r="H22" s="17"/>
      <c r="I22" s="18">
        <v>1</v>
      </c>
      <c r="J22" s="19"/>
      <c r="K22" s="19" t="s">
        <v>328</v>
      </c>
      <c r="L22" s="20"/>
      <c r="M22" s="11">
        <f t="shared" si="48"/>
        <v>0</v>
      </c>
      <c r="N22" s="11">
        <f t="shared" si="49"/>
        <v>0</v>
      </c>
      <c r="O22" s="11">
        <f t="shared" si="50"/>
        <v>0</v>
      </c>
      <c r="P22" s="11">
        <f t="shared" si="51"/>
        <v>0</v>
      </c>
      <c r="Q22" s="11">
        <f>MROUND(IF(L22 = "", IF(J22 = "", I22, IF(M22 &lt;&gt; 0, O22 / M22, P22 / N22)) * recipe14DayScale, IF(ISNA(CONVERT(O22, "kg", L22)), CONVERT(P22 * recipe14DayScale, "l", L22), CONVERT(O22 * recipe14DayScale, "kg", L22))), roundTo)</f>
        <v>1.5</v>
      </c>
      <c r="R22" s="11">
        <f t="shared" si="52"/>
        <v>0</v>
      </c>
      <c r="S22" s="11">
        <f t="shared" si="53"/>
        <v>0</v>
      </c>
      <c r="T22" s="11">
        <f t="shared" si="54"/>
        <v>7.8000000000000007</v>
      </c>
      <c r="U22" s="30" t="s">
        <v>543</v>
      </c>
      <c r="V22" s="30" t="b">
        <f t="shared" si="55"/>
        <v>1</v>
      </c>
      <c r="W22" s="21">
        <f t="shared" si="56"/>
        <v>1.5</v>
      </c>
      <c r="X22" s="22" t="str">
        <f t="shared" si="57"/>
        <v/>
      </c>
      <c r="Y22" s="22" t="str">
        <f t="shared" si="58"/>
        <v>coarsely chopped lettuces</v>
      </c>
      <c r="Z22" s="23" t="s">
        <v>360</v>
      </c>
      <c r="AA22" s="30" t="b">
        <f t="shared" si="59"/>
        <v>0</v>
      </c>
      <c r="AB22" s="22" t="str">
        <f t="shared" si="60"/>
        <v/>
      </c>
      <c r="AC22" s="22" t="str">
        <f t="shared" si="61"/>
        <v/>
      </c>
      <c r="AD22" s="22" t="str">
        <f t="shared" si="62"/>
        <v/>
      </c>
    </row>
    <row r="23" spans="1:30" s="30" customFormat="1" x14ac:dyDescent="0.25">
      <c r="A23" s="28" t="s">
        <v>21</v>
      </c>
      <c r="B23" s="16"/>
      <c r="C23" s="4" t="str">
        <f t="shared" si="46"/>
        <v/>
      </c>
      <c r="D23" s="28" t="str">
        <f t="shared" si="47"/>
        <v>fresh sprouts (just a sprinkling)</v>
      </c>
      <c r="H23" s="17"/>
      <c r="I23" s="9"/>
      <c r="J23" s="9"/>
      <c r="K23" s="19" t="s">
        <v>269</v>
      </c>
      <c r="L23" s="9"/>
      <c r="M23" s="9"/>
      <c r="N23" s="9"/>
      <c r="O23" s="9"/>
      <c r="P23" s="9"/>
      <c r="Q23" s="9"/>
      <c r="R23" s="9"/>
      <c r="S23" s="9"/>
      <c r="T23" s="9"/>
      <c r="U23" s="30" t="s">
        <v>362</v>
      </c>
      <c r="V23" s="30" t="b">
        <f t="shared" si="55"/>
        <v>0</v>
      </c>
      <c r="W23" s="21" t="str">
        <f t="shared" si="56"/>
        <v/>
      </c>
      <c r="X23" s="22" t="str">
        <f t="shared" si="57"/>
        <v/>
      </c>
      <c r="Y23" s="22" t="str">
        <f t="shared" si="58"/>
        <v/>
      </c>
      <c r="Z23" s="23"/>
      <c r="AA23" s="30" t="b">
        <f t="shared" si="59"/>
        <v>0</v>
      </c>
      <c r="AB23" s="22" t="str">
        <f t="shared" si="60"/>
        <v/>
      </c>
      <c r="AC23" s="22" t="str">
        <f t="shared" si="61"/>
        <v/>
      </c>
      <c r="AD23" s="22" t="str">
        <f t="shared" si="62"/>
        <v/>
      </c>
    </row>
    <row r="24" spans="1:30" s="30" customFormat="1" x14ac:dyDescent="0.25">
      <c r="A24" s="28" t="s">
        <v>21</v>
      </c>
      <c r="B24" s="16"/>
      <c r="C24" s="4" t="str">
        <f t="shared" si="46"/>
        <v/>
      </c>
      <c r="D24" s="28" t="str">
        <f t="shared" si="47"/>
        <v>fresh herbs, if available</v>
      </c>
      <c r="H24" s="17"/>
      <c r="I24" s="9"/>
      <c r="J24" s="9"/>
      <c r="K24" s="19" t="s">
        <v>270</v>
      </c>
      <c r="L24" s="9"/>
      <c r="M24" s="9"/>
      <c r="N24" s="9"/>
      <c r="O24" s="9"/>
      <c r="P24" s="9"/>
      <c r="Q24" s="9"/>
      <c r="R24" s="9"/>
      <c r="S24" s="9"/>
      <c r="T24" s="9"/>
      <c r="U24" s="30" t="s">
        <v>195</v>
      </c>
      <c r="V24" s="30" t="b">
        <f t="shared" si="55"/>
        <v>0</v>
      </c>
      <c r="W24" s="21" t="str">
        <f t="shared" si="56"/>
        <v/>
      </c>
      <c r="X24" s="22" t="str">
        <f t="shared" si="57"/>
        <v/>
      </c>
      <c r="Y24" s="22" t="str">
        <f t="shared" si="58"/>
        <v/>
      </c>
      <c r="Z24" s="23"/>
      <c r="AA24" s="30" t="b">
        <f t="shared" si="59"/>
        <v>0</v>
      </c>
      <c r="AB24" s="22" t="str">
        <f t="shared" si="60"/>
        <v/>
      </c>
      <c r="AC24" s="22" t="str">
        <f t="shared" si="61"/>
        <v/>
      </c>
      <c r="AD24" s="22" t="str">
        <f t="shared" si="62"/>
        <v/>
      </c>
    </row>
    <row r="25" spans="1:30" s="30" customFormat="1" x14ac:dyDescent="0.25">
      <c r="A25" s="28" t="s">
        <v>21</v>
      </c>
      <c r="B25" s="16"/>
      <c r="C25" s="4" t="str">
        <f t="shared" si="46"/>
        <v/>
      </c>
      <c r="D25" s="28" t="str">
        <f t="shared" si="47"/>
        <v>sunflower seeds</v>
      </c>
      <c r="H25" s="17"/>
      <c r="I25" s="9"/>
      <c r="J25" s="9"/>
      <c r="K25" s="19" t="s">
        <v>271</v>
      </c>
      <c r="L25" s="9"/>
      <c r="M25" s="9"/>
      <c r="N25" s="9"/>
      <c r="O25" s="9"/>
      <c r="P25" s="9"/>
      <c r="Q25" s="9"/>
      <c r="R25" s="9"/>
      <c r="S25" s="9"/>
      <c r="T25" s="9"/>
      <c r="V25" s="30" t="b">
        <f t="shared" si="55"/>
        <v>0</v>
      </c>
      <c r="W25" s="21" t="str">
        <f t="shared" si="56"/>
        <v/>
      </c>
      <c r="X25" s="22" t="str">
        <f t="shared" si="57"/>
        <v/>
      </c>
      <c r="Y25" s="22" t="str">
        <f t="shared" si="58"/>
        <v/>
      </c>
      <c r="Z25" s="23"/>
      <c r="AA25" s="30" t="b">
        <f t="shared" si="59"/>
        <v>0</v>
      </c>
      <c r="AB25" s="22" t="str">
        <f t="shared" si="60"/>
        <v/>
      </c>
      <c r="AC25" s="22" t="str">
        <f t="shared" si="61"/>
        <v/>
      </c>
      <c r="AD25" s="22" t="str">
        <f t="shared" si="62"/>
        <v/>
      </c>
    </row>
    <row r="26" spans="1:30" s="32" customFormat="1" x14ac:dyDescent="0.25">
      <c r="A26" s="129"/>
      <c r="B26" s="129"/>
      <c r="C26" s="129"/>
      <c r="D26" s="129"/>
      <c r="I26" s="9"/>
      <c r="L26" s="10"/>
      <c r="M26" s="11"/>
      <c r="N26" s="11"/>
      <c r="O26" s="11"/>
      <c r="P26" s="11"/>
      <c r="Q26" s="11"/>
      <c r="R26" s="11"/>
      <c r="S26" s="11"/>
      <c r="T26" s="11"/>
      <c r="W26" s="21" t="str">
        <f t="shared" ref="W26:W27" si="63">IF(V26, Q26, "")</f>
        <v/>
      </c>
      <c r="X26" s="22" t="str">
        <f t="shared" ref="X26:X27" si="64">IF(V26, IF(L26 = "", "", L26), "")</f>
        <v/>
      </c>
      <c r="Y26" s="22" t="str">
        <f t="shared" ref="Y26:Y27" si="65">IF(V26, K26, "")</f>
        <v/>
      </c>
      <c r="Z26" s="23"/>
      <c r="AB26" s="22" t="str">
        <f t="shared" ref="AB26:AB27" si="66">IF(AA26, Q26, "")</f>
        <v/>
      </c>
      <c r="AC26" s="22" t="str">
        <f t="shared" ref="AC26:AC27" si="67">IF(AA26, IF(L26 = "", "", L26), "")</f>
        <v/>
      </c>
      <c r="AD26" s="22" t="str">
        <f t="shared" ref="AD26:AD27" si="68">IF(AA26, K26, "")</f>
        <v/>
      </c>
    </row>
    <row r="27" spans="1:30" s="32" customFormat="1" x14ac:dyDescent="0.25">
      <c r="A27" s="129" t="s">
        <v>327</v>
      </c>
      <c r="B27" s="129"/>
      <c r="C27" s="129"/>
      <c r="D27" s="129"/>
      <c r="I27" s="9"/>
      <c r="L27" s="10"/>
      <c r="M27" s="11"/>
      <c r="N27" s="11"/>
      <c r="O27" s="11"/>
      <c r="P27" s="11"/>
      <c r="Q27" s="11"/>
      <c r="R27" s="11"/>
      <c r="S27" s="11"/>
      <c r="T27" s="11"/>
      <c r="W27" s="21" t="str">
        <f t="shared" si="63"/>
        <v/>
      </c>
      <c r="X27" s="22" t="str">
        <f t="shared" si="64"/>
        <v/>
      </c>
      <c r="Y27" s="22" t="str">
        <f t="shared" si="65"/>
        <v/>
      </c>
      <c r="Z27" s="23"/>
      <c r="AB27" s="22" t="str">
        <f t="shared" si="66"/>
        <v/>
      </c>
      <c r="AC27" s="22" t="str">
        <f t="shared" si="67"/>
        <v/>
      </c>
      <c r="AD27" s="22" t="str">
        <f t="shared" si="68"/>
        <v/>
      </c>
    </row>
    <row r="28" spans="1:30" s="30" customFormat="1" x14ac:dyDescent="0.25">
      <c r="A28" s="28" t="s">
        <v>21</v>
      </c>
      <c r="B28" s="16">
        <f>Q28</f>
        <v>6</v>
      </c>
      <c r="C28" s="4" t="str">
        <f>IF(L28="","",L28)</f>
        <v/>
      </c>
      <c r="D28" s="28" t="str">
        <f>_xlfn.CONCAT(K28, U28)</f>
        <v>chopped tomatoes</v>
      </c>
      <c r="H28" s="17"/>
      <c r="I28" s="18">
        <v>4</v>
      </c>
      <c r="J28" s="19"/>
      <c r="K28" s="19" t="s">
        <v>265</v>
      </c>
      <c r="L28" s="20"/>
      <c r="M28" s="11">
        <f>INDEX(itemGPerQty, MATCH(K28, itemNames, 0))</f>
        <v>0</v>
      </c>
      <c r="N28" s="11">
        <f>INDEX(itemMlPerQty, MATCH(K28, itemNames, 0))</f>
        <v>0</v>
      </c>
      <c r="O28" s="11">
        <f>IF(J28 = "", I28 * M28, IF(ISNA(CONVERT(I28, J28, "kg")), CONVERT(I28, J28, "l") * IF(N28 &lt;&gt; 0, M28 / N28, 0), CONVERT(I28, J28, "kg")))</f>
        <v>0</v>
      </c>
      <c r="P28" s="11">
        <f>IF(J28 = "", I28 * N28, IF(ISNA(CONVERT(I28, J28, "l")), CONVERT(I28, J28, "kg") * IF(M28 &lt;&gt; 0, N28 / M28, 0), CONVERT(I28, J28, "l")))</f>
        <v>0</v>
      </c>
      <c r="Q28" s="11">
        <f>MROUND(IF(L28 = "", IF(J28 = "", I28, IF(M28 &lt;&gt; 0, O28 / M28, P28 / N28)) * recipe14DayScale, IF(ISNA(CONVERT(O28, "kg", L28)), CONVERT(P28 * recipe14DayScale, "l", L28), CONVERT(O28 * recipe14DayScale, "kg", L28))), roundTo)</f>
        <v>6</v>
      </c>
      <c r="R28" s="11">
        <f>recipe14TotScale * IF(L28 = "", Q28 * M28, IF(ISNA(CONVERT(Q28, L28, "kg")), CONVERT(Q28, L28, "l") * IF(N28 &lt;&gt; 0, M28 / N28, 0), CONVERT(Q28, L28, "kg")))</f>
        <v>0</v>
      </c>
      <c r="S28" s="11">
        <f>recipe14TotScale * IF(R28 = 0, IF(L28 = "", Q28 * N28, IF(ISNA(CONVERT(Q28, L28, "l")), CONVERT(Q28, L28, "kg") * IF(M28 &lt;&gt; 0, N28 / M28, 0), CONVERT(Q28, L28, "l"))), 0)</f>
        <v>0</v>
      </c>
      <c r="T28" s="11">
        <f>recipe14TotScale * IF(AND(R28 = 0, S28 = 0, J28 = "", L28 = ""), Q28, 0)</f>
        <v>31.200000000000003</v>
      </c>
      <c r="V28" s="30" t="b">
        <f>INDEX(itemPrepMethods, MATCH(K28, itemNames, 0))="chop"</f>
        <v>1</v>
      </c>
      <c r="W28" s="21">
        <f>IF(V28, Q28, "")</f>
        <v>6</v>
      </c>
      <c r="X28" s="22" t="str">
        <f>IF(V28, IF(L28 = "", "", L28), "")</f>
        <v/>
      </c>
      <c r="Y28" s="22" t="str">
        <f>IF(V28, K28, "")</f>
        <v>chopped tomatoes</v>
      </c>
      <c r="Z28" s="23"/>
      <c r="AA28" s="30" t="b">
        <f>INDEX(itemPrepMethods, MATCH(K28, itemNames, 0))="soak"</f>
        <v>0</v>
      </c>
      <c r="AB28" s="22" t="str">
        <f>IF(AA28, Q28, "")</f>
        <v/>
      </c>
      <c r="AC28" s="22" t="str">
        <f>IF(AA28, IF(L28 = "", "", L28), "")</f>
        <v/>
      </c>
      <c r="AD28" s="22" t="str">
        <f>IF(AA28, K28, "")</f>
        <v/>
      </c>
    </row>
    <row r="29" spans="1:30" s="32" customFormat="1" x14ac:dyDescent="0.25">
      <c r="A29" s="129"/>
      <c r="B29" s="129"/>
      <c r="C29" s="129"/>
      <c r="D29" s="129"/>
      <c r="I29" s="9"/>
      <c r="L29" s="10"/>
      <c r="M29" s="11"/>
      <c r="N29" s="11"/>
      <c r="O29" s="11"/>
      <c r="P29" s="11"/>
      <c r="Q29" s="11"/>
      <c r="R29" s="11"/>
      <c r="S29" s="11"/>
      <c r="T29" s="11"/>
      <c r="W29" s="12"/>
      <c r="Z29" s="13"/>
    </row>
    <row r="30" spans="1:30" s="32" customFormat="1" x14ac:dyDescent="0.25">
      <c r="A30" s="129" t="s">
        <v>326</v>
      </c>
      <c r="B30" s="129"/>
      <c r="C30" s="129"/>
      <c r="D30" s="129"/>
      <c r="I30" s="9"/>
      <c r="L30" s="10"/>
      <c r="M30" s="11"/>
      <c r="N30" s="11"/>
      <c r="O30" s="11"/>
      <c r="P30" s="11"/>
      <c r="Q30" s="11"/>
      <c r="R30" s="11"/>
      <c r="S30" s="11"/>
      <c r="T30" s="11"/>
      <c r="W30" s="12"/>
      <c r="Z30" s="13"/>
    </row>
    <row r="31" spans="1:30" ht="15.75" x14ac:dyDescent="0.25">
      <c r="A31" s="130" t="s">
        <v>506</v>
      </c>
      <c r="B31" s="130"/>
      <c r="C31" s="130"/>
      <c r="D31" s="130"/>
      <c r="E31" s="7" t="s">
        <v>154</v>
      </c>
      <c r="F31" s="39"/>
      <c r="G31" s="39"/>
    </row>
    <row r="32" spans="1:30" ht="24" x14ac:dyDescent="0.2">
      <c r="A32" s="130" t="s">
        <v>317</v>
      </c>
      <c r="B32" s="130"/>
      <c r="C32" s="130"/>
      <c r="D32" s="130"/>
      <c r="E32" s="6" t="s">
        <v>39</v>
      </c>
      <c r="F32" s="37">
        <v>4</v>
      </c>
      <c r="G32" s="11"/>
      <c r="I32" s="33" t="s">
        <v>355</v>
      </c>
      <c r="J32" s="34" t="s">
        <v>356</v>
      </c>
      <c r="K32" s="34" t="s">
        <v>17</v>
      </c>
      <c r="L32" s="35" t="s">
        <v>359</v>
      </c>
      <c r="M32" s="33" t="s">
        <v>115</v>
      </c>
      <c r="N32" s="33" t="s">
        <v>116</v>
      </c>
      <c r="O32" s="33" t="s">
        <v>357</v>
      </c>
      <c r="P32" s="33" t="s">
        <v>358</v>
      </c>
      <c r="Q32" s="34" t="s">
        <v>286</v>
      </c>
      <c r="R32" s="33" t="s">
        <v>287</v>
      </c>
      <c r="S32" s="33" t="s">
        <v>288</v>
      </c>
      <c r="T32" s="33" t="s">
        <v>289</v>
      </c>
      <c r="U32" s="34" t="s">
        <v>22</v>
      </c>
      <c r="V32" s="34" t="s">
        <v>169</v>
      </c>
      <c r="W32" s="36" t="s">
        <v>286</v>
      </c>
      <c r="X32" s="34" t="s">
        <v>167</v>
      </c>
      <c r="Y32" s="34" t="s">
        <v>168</v>
      </c>
      <c r="Z32" s="34" t="s">
        <v>263</v>
      </c>
      <c r="AA32" s="34" t="s">
        <v>170</v>
      </c>
      <c r="AB32" s="36" t="s">
        <v>286</v>
      </c>
      <c r="AC32" s="34" t="s">
        <v>171</v>
      </c>
      <c r="AD32" s="34" t="s">
        <v>172</v>
      </c>
    </row>
    <row r="33" spans="1:30" ht="16.5" thickBot="1" x14ac:dyDescent="0.3">
      <c r="A33" s="131" t="str">
        <f>_xlfn.CONCAT(F33," servings")</f>
        <v>4 servings</v>
      </c>
      <c r="B33" s="131"/>
      <c r="C33" s="131"/>
      <c r="D33" s="131"/>
      <c r="E33" s="6" t="s">
        <v>281</v>
      </c>
      <c r="F33" s="37">
        <v>4</v>
      </c>
      <c r="G33" s="11"/>
      <c r="I33" s="11"/>
      <c r="W33" s="130" t="s">
        <v>521</v>
      </c>
      <c r="X33" s="130"/>
      <c r="Y33" s="130"/>
      <c r="Z33" s="130"/>
      <c r="AB33" s="130" t="s">
        <v>522</v>
      </c>
      <c r="AC33" s="130"/>
      <c r="AD33" s="130"/>
    </row>
    <row r="34" spans="1:30" s="41" customFormat="1" ht="16.5" thickBot="1" x14ac:dyDescent="0.3">
      <c r="A34" s="129"/>
      <c r="B34" s="129"/>
      <c r="C34" s="129"/>
      <c r="D34" s="129"/>
      <c r="E34" s="6" t="s">
        <v>284</v>
      </c>
      <c r="F34" s="14">
        <f>F33/F32</f>
        <v>1</v>
      </c>
      <c r="G34" s="15" t="s">
        <v>290</v>
      </c>
      <c r="I34" s="11"/>
      <c r="L34" s="10"/>
      <c r="M34" s="11"/>
      <c r="N34" s="11"/>
      <c r="O34" s="11"/>
      <c r="P34" s="11"/>
      <c r="Q34" s="11"/>
      <c r="R34" s="11"/>
      <c r="S34" s="11"/>
      <c r="T34" s="11"/>
      <c r="W34" s="130" t="str">
        <f>A31</f>
        <v>DAILY SAFE MEAL</v>
      </c>
      <c r="X34" s="130"/>
      <c r="Y34" s="130"/>
      <c r="Z34" s="130"/>
      <c r="AB34" s="130" t="str">
        <f>A31</f>
        <v>DAILY SAFE MEAL</v>
      </c>
      <c r="AC34" s="130"/>
      <c r="AD34" s="130"/>
    </row>
    <row r="35" spans="1:30" ht="15.75" x14ac:dyDescent="0.25">
      <c r="A35" s="129" t="s">
        <v>318</v>
      </c>
      <c r="B35" s="129"/>
      <c r="C35" s="129"/>
      <c r="D35" s="129"/>
      <c r="I35" s="11"/>
      <c r="W35" s="130" t="str">
        <f>A32</f>
        <v>TOFU VEGETABLE STIR FRY</v>
      </c>
      <c r="X35" s="130"/>
      <c r="Y35" s="130"/>
      <c r="Z35" s="130"/>
      <c r="AA35" s="41"/>
      <c r="AB35" s="130" t="str">
        <f>A32</f>
        <v>TOFU VEGETABLE STIR FRY</v>
      </c>
      <c r="AC35" s="130"/>
      <c r="AD35" s="130"/>
    </row>
    <row r="36" spans="1:30" ht="15.75" thickBot="1" x14ac:dyDescent="0.3">
      <c r="A36" s="5" t="s">
        <v>21</v>
      </c>
      <c r="B36" s="16">
        <f>Q36</f>
        <v>2</v>
      </c>
      <c r="C36" s="4" t="str">
        <f>IF(L36="","",L36)</f>
        <v>tbs</v>
      </c>
      <c r="D36" s="28" t="str">
        <f t="shared" ref="D36:D38" si="69">_xlfn.CONCAT(K36, U36)</f>
        <v>minced fresh ginger</v>
      </c>
      <c r="E36" s="29" t="s">
        <v>273</v>
      </c>
      <c r="F36" s="30">
        <f>totSafeLunch + totSafeDinner</f>
        <v>26</v>
      </c>
      <c r="G36" s="30"/>
      <c r="H36" s="17"/>
      <c r="I36" s="18">
        <v>2</v>
      </c>
      <c r="J36" s="19" t="s">
        <v>15</v>
      </c>
      <c r="K36" s="19" t="s">
        <v>188</v>
      </c>
      <c r="L36" s="20" t="s">
        <v>15</v>
      </c>
      <c r="M36" s="11">
        <f>INDEX(itemGPerQty, MATCH(K36, itemNames, 0))</f>
        <v>2.4E-2</v>
      </c>
      <c r="N36" s="11">
        <f>INDEX(itemMlPerQty, MATCH(K36, itemNames, 0))</f>
        <v>3.4501958300000003E-2</v>
      </c>
      <c r="O36" s="11">
        <f>IF(J36 = "", I36 * M36, IF(ISNA(CONVERT(I36, J36, "kg")), CONVERT(I36, J36, "l") * IF(N36 &lt;&gt; 0, M36 / N36, 0), CONVERT(I36, J36, "kg")))</f>
        <v>2.0571722431767008E-2</v>
      </c>
      <c r="P36" s="11">
        <f>IF(J36 = "", I36 * N36, IF(ISNA(CONVERT(I36, J36, "l")), CONVERT(I36, J36, "kg") * IF(M36 &lt;&gt; 0, N36 / M36, 0), CONVERT(I36, J36, "l")))</f>
        <v>2.9573529562499999E-2</v>
      </c>
      <c r="Q36" s="11">
        <f>MROUND(IF(L36 = "", IF(J36 = "", I36, IF(M36 &lt;&gt; 0, O36 / M36, P36 / N36)) * recipe13DayScale, IF(ISNA(CONVERT(O36, "kg", L36)), CONVERT(P36 * recipe13DayScale, "l", L36), CONVERT(O36 * recipe13DayScale, "kg", L36))), roundTo)</f>
        <v>2</v>
      </c>
      <c r="R36" s="11">
        <f>recipe13TotScale * IF(L36 = "", Q36 * M36, IF(ISNA(CONVERT(Q36, L36, "kg")), CONVERT(Q36, L36, "l") * IF(N36 &lt;&gt; 0, M36 / N36, 0), CONVERT(Q36, L36, "kg")))</f>
        <v>0.13371619580648555</v>
      </c>
      <c r="S36" s="11">
        <f>recipe13TotScale * IF(R36 = 0, IF(L36 = "", Q36 * N36, IF(ISNA(CONVERT(Q36, L36, "l")), CONVERT(Q36, L36, "kg") * IF(M36 &lt;&gt; 0, N36 / M36, 0), CONVERT(Q36, L36, "l"))), 0)</f>
        <v>0</v>
      </c>
      <c r="T36" s="11">
        <f>recipe13TotScale * IF(AND(R36 = 0, S36 = 0, J36 = "", L36 = ""), Q36, 0)</f>
        <v>0</v>
      </c>
      <c r="V36" s="8" t="b">
        <f>INDEX(itemPrepMethods, MATCH(K36, itemNames, 0))="chop"</f>
        <v>1</v>
      </c>
      <c r="W36" s="21">
        <f>IF(V36, Q36, "")</f>
        <v>2</v>
      </c>
      <c r="X36" s="22" t="str">
        <f>IF(V36, IF(L36 = "", "", L36), "")</f>
        <v>tbs</v>
      </c>
      <c r="Y36" s="22" t="str">
        <f>IF(V36, K36, "")</f>
        <v>minced fresh ginger</v>
      </c>
      <c r="Z36" s="23"/>
      <c r="AA36" s="8" t="b">
        <f>INDEX(itemPrepMethods, MATCH(K36, itemNames, 0))="soak"</f>
        <v>0</v>
      </c>
      <c r="AB36" s="22" t="str">
        <f>IF(AA36, Q36, "")</f>
        <v/>
      </c>
      <c r="AC36" s="22" t="str">
        <f>IF(AA36, IF(L36 = "", "", L36), "")</f>
        <v/>
      </c>
      <c r="AD36" s="22" t="str">
        <f>IF(AA36, K36, "")</f>
        <v/>
      </c>
    </row>
    <row r="37" spans="1:30" ht="15.75" thickBot="1" x14ac:dyDescent="0.3">
      <c r="A37" s="5" t="s">
        <v>21</v>
      </c>
      <c r="B37" s="16">
        <f>Q37</f>
        <v>1</v>
      </c>
      <c r="C37" s="4" t="str">
        <f>IF(L37="","",L37)</f>
        <v>tbs</v>
      </c>
      <c r="D37" s="28" t="str">
        <f t="shared" si="69"/>
        <v>finely chopped fresh coriander</v>
      </c>
      <c r="E37" s="29" t="s">
        <v>285</v>
      </c>
      <c r="F37" s="14">
        <f>F36/F33</f>
        <v>6.5</v>
      </c>
      <c r="G37" s="15" t="s">
        <v>291</v>
      </c>
      <c r="H37" s="17"/>
      <c r="I37" s="18">
        <v>1</v>
      </c>
      <c r="J37" s="19" t="s">
        <v>15</v>
      </c>
      <c r="K37" s="19" t="s">
        <v>524</v>
      </c>
      <c r="L37" s="20" t="s">
        <v>15</v>
      </c>
      <c r="M37" s="11">
        <f>INDEX(itemGPerQty, MATCH(K37, itemNames, 0))</f>
        <v>0</v>
      </c>
      <c r="N37" s="11">
        <f>INDEX(itemMlPerQty, MATCH(K37, itemNames, 0))</f>
        <v>0</v>
      </c>
      <c r="O37" s="11">
        <f>IF(J37 = "", I37 * M37, IF(ISNA(CONVERT(I37, J37, "kg")), CONVERT(I37, J37, "l") * IF(N37 &lt;&gt; 0, M37 / N37, 0), CONVERT(I37, J37, "kg")))</f>
        <v>0</v>
      </c>
      <c r="P37" s="11">
        <f>IF(J37 = "", I37 * N37, IF(ISNA(CONVERT(I37, J37, "l")), CONVERT(I37, J37, "kg") * IF(M37 &lt;&gt; 0, N37 / M37, 0), CONVERT(I37, J37, "l")))</f>
        <v>1.478676478125E-2</v>
      </c>
      <c r="Q37" s="11">
        <f>MROUND(IF(L37 = "", IF(J37 = "", I37, IF(M37 &lt;&gt; 0, O37 / M37, P37 / N37)) * recipe13DayScale, IF(ISNA(CONVERT(O37, "kg", L37)), CONVERT(P37 * recipe13DayScale, "l", L37), CONVERT(O37 * recipe13DayScale, "kg", L37))), roundTo)</f>
        <v>1</v>
      </c>
      <c r="R37" s="11">
        <f>recipe13TotScale * IF(L37 = "", Q37 * M37, IF(ISNA(CONVERT(Q37, L37, "kg")), CONVERT(Q37, L37, "l") * IF(N37 &lt;&gt; 0, M37 / N37, 0), CONVERT(Q37, L37, "kg")))</f>
        <v>0</v>
      </c>
      <c r="S37" s="11">
        <f>recipe13TotScale * IF(R37 = 0, IF(L37 = "", Q37 * N37, IF(ISNA(CONVERT(Q37, L37, "l")), CONVERT(Q37, L37, "kg") * IF(M37 &lt;&gt; 0, N37 / M37, 0), CONVERT(Q37, L37, "l"))), 0)</f>
        <v>9.6113971078124999E-2</v>
      </c>
      <c r="T37" s="11">
        <f>recipe13TotScale * IF(AND(R37 = 0, S37 = 0, J37 = "", L37 = ""), Q37, 0)</f>
        <v>0</v>
      </c>
      <c r="V37" s="8" t="b">
        <f>INDEX(itemPrepMethods, MATCH(K37, itemNames, 0))="chop"</f>
        <v>1</v>
      </c>
      <c r="W37" s="21">
        <f>IF(V37, Q37, "")</f>
        <v>1</v>
      </c>
      <c r="X37" s="22" t="str">
        <f>IF(V37, IF(L37 = "", "", L37), "")</f>
        <v>tbs</v>
      </c>
      <c r="Y37" s="22" t="str">
        <f>IF(V37, K37, "")</f>
        <v>finely chopped fresh coriander</v>
      </c>
      <c r="Z37" s="23"/>
      <c r="AA37" s="8" t="b">
        <f>INDEX(itemPrepMethods, MATCH(K37, itemNames, 0))="soak"</f>
        <v>0</v>
      </c>
      <c r="AB37" s="22" t="str">
        <f>IF(AA37, Q37, "")</f>
        <v/>
      </c>
      <c r="AC37" s="22" t="str">
        <f>IF(AA37, IF(L37 = "", "", L37), "")</f>
        <v/>
      </c>
      <c r="AD37" s="22" t="str">
        <f>IF(AA37, K37, "")</f>
        <v/>
      </c>
    </row>
    <row r="38" spans="1:30" x14ac:dyDescent="0.25">
      <c r="A38" s="5" t="s">
        <v>21</v>
      </c>
      <c r="B38" s="16">
        <f>Q38</f>
        <v>1.5</v>
      </c>
      <c r="C38" s="4" t="str">
        <f>IF(L38="","",L38)</f>
        <v/>
      </c>
      <c r="D38" s="28" t="str">
        <f t="shared" si="69"/>
        <v>blocks tofu, cut into cubes</v>
      </c>
      <c r="H38" s="17"/>
      <c r="I38" s="18">
        <v>3</v>
      </c>
      <c r="J38" s="19" t="s">
        <v>16</v>
      </c>
      <c r="K38" s="19" t="s">
        <v>227</v>
      </c>
      <c r="L38" s="20"/>
      <c r="M38" s="11">
        <f>INDEX(itemGPerQty, MATCH(K38, itemNames, 0))</f>
        <v>0.311</v>
      </c>
      <c r="N38" s="11">
        <f>INDEX(itemMlPerQty, MATCH(K38, itemNames, 0))</f>
        <v>0.5</v>
      </c>
      <c r="O38" s="11">
        <f>IF(J38 = "", I38 * M38, IF(ISNA(CONVERT(I38, J38, "kg")), CONVERT(I38, J38, "l") * IF(N38 &lt;&gt; 0, M38 / N38, 0), CONVERT(I38, J38, "kg")))</f>
        <v>0.44147364930899996</v>
      </c>
      <c r="P38" s="11">
        <f>IF(J38 = "", I38 * N38, IF(ISNA(CONVERT(I38, J38, "l")), CONVERT(I38, J38, "kg") * IF(M38 &lt;&gt; 0, N38 / M38, 0), CONVERT(I38, J38, "l")))</f>
        <v>0.70976470949999992</v>
      </c>
      <c r="Q38" s="11">
        <f>MROUND(IF(L38 = "", IF(J38 = "", I38, IF(M38 &lt;&gt; 0, O38 / M38, P38 / N38)) * recipe13DayScale, IF(ISNA(CONVERT(O38, "kg", L38)), CONVERT(P38 * recipe13DayScale, "l", L38), CONVERT(O38 * recipe13DayScale, "kg", L38))), roundTo)</f>
        <v>1.5</v>
      </c>
      <c r="R38" s="11">
        <f>recipe13TotScale * IF(L38 = "", Q38 * M38, IF(ISNA(CONVERT(Q38, L38, "kg")), CONVERT(Q38, L38, "l") * IF(N38 &lt;&gt; 0, M38 / N38, 0), CONVERT(Q38, L38, "kg")))</f>
        <v>3.0322500000000003</v>
      </c>
      <c r="S38" s="11">
        <f>recipe13TotScale * IF(R38 = 0, IF(L38 = "", Q38 * N38, IF(ISNA(CONVERT(Q38, L38, "l")), CONVERT(Q38, L38, "kg") * IF(M38 &lt;&gt; 0, N38 / M38, 0), CONVERT(Q38, L38, "l"))), 0)</f>
        <v>0</v>
      </c>
      <c r="T38" s="11">
        <f>recipe13TotScale * IF(AND(R38 = 0, S38 = 0, J38 = "", L38 = ""), Q38, 0)</f>
        <v>0</v>
      </c>
      <c r="V38" s="8" t="b">
        <f>INDEX(itemPrepMethods, MATCH(K38, itemNames, 0))="chop"</f>
        <v>1</v>
      </c>
      <c r="W38" s="21">
        <f>IF(V38, Q38, "")</f>
        <v>1.5</v>
      </c>
      <c r="X38" s="22" t="str">
        <f>IF(V38, IF(L38 = "", "", L38), "")</f>
        <v/>
      </c>
      <c r="Y38" s="22" t="str">
        <f>IF(V38, K38, "")</f>
        <v>blocks tofu, cut into cubes</v>
      </c>
      <c r="Z38" s="23"/>
      <c r="AA38" s="8" t="b">
        <f>INDEX(itemPrepMethods, MATCH(K38, itemNames, 0))="soak"</f>
        <v>0</v>
      </c>
      <c r="AB38" s="22" t="str">
        <f>IF(AA38, Q38, "")</f>
        <v/>
      </c>
      <c r="AC38" s="22" t="str">
        <f>IF(AA38, IF(L38 = "", "", L38), "")</f>
        <v/>
      </c>
      <c r="AD38" s="22" t="str">
        <f>IF(AA38, K38, "")</f>
        <v/>
      </c>
    </row>
    <row r="39" spans="1:30" x14ac:dyDescent="0.25">
      <c r="A39" s="129"/>
      <c r="B39" s="129"/>
      <c r="C39" s="129"/>
      <c r="D39" s="129"/>
      <c r="I39" s="11"/>
      <c r="W39" s="21"/>
      <c r="X39" s="21"/>
      <c r="Y39" s="21"/>
      <c r="Z39" s="21"/>
      <c r="AA39" s="30"/>
      <c r="AB39" s="21"/>
      <c r="AC39" s="21"/>
      <c r="AD39" s="21"/>
    </row>
    <row r="40" spans="1:30" x14ac:dyDescent="0.25">
      <c r="A40" s="129" t="s">
        <v>91</v>
      </c>
      <c r="B40" s="129"/>
      <c r="C40" s="129"/>
      <c r="D40" s="129"/>
      <c r="I40" s="11"/>
      <c r="W40" s="21"/>
      <c r="X40" s="21"/>
      <c r="Y40" s="21"/>
      <c r="Z40" s="21"/>
      <c r="AA40" s="30"/>
      <c r="AB40" s="21"/>
      <c r="AC40" s="21"/>
      <c r="AD40" s="21"/>
    </row>
    <row r="41" spans="1:30" x14ac:dyDescent="0.25">
      <c r="A41" s="5" t="s">
        <v>21</v>
      </c>
      <c r="B41" s="16">
        <f t="shared" ref="B41:B52" si="70">Q41</f>
        <v>1</v>
      </c>
      <c r="C41" s="4" t="str">
        <f t="shared" ref="C41:C52" si="71">IF(L41="","",L41)</f>
        <v>cup</v>
      </c>
      <c r="D41" s="28" t="str">
        <f t="shared" ref="D41:D52" si="72">_xlfn.CONCAT(K41, U41)</f>
        <v>chopped carrots</v>
      </c>
      <c r="H41" s="17"/>
      <c r="I41" s="18">
        <v>1</v>
      </c>
      <c r="J41" s="19" t="s">
        <v>16</v>
      </c>
      <c r="K41" s="19" t="s">
        <v>5</v>
      </c>
      <c r="L41" s="20" t="s">
        <v>16</v>
      </c>
      <c r="M41" s="11">
        <f t="shared" ref="M41:M52" si="73">INDEX(itemGPerQty, MATCH(K41, itemNames, 0))</f>
        <v>0.14833333333333334</v>
      </c>
      <c r="N41" s="11">
        <f t="shared" ref="N41:N52" si="74">INDEX(itemMlPerQty, MATCH(K41, itemNames, 0))</f>
        <v>0.19999999999999998</v>
      </c>
      <c r="O41" s="11">
        <f t="shared" ref="O41:O52" si="75">IF(J41 = "", I41 * M41, IF(ISNA(CONVERT(I41, J41, "kg")), CONVERT(I41, J41, "l") * IF(N41 &lt;&gt; 0, M41 / N41, 0), CONVERT(I41, J41, "kg")))</f>
        <v>0.17546960873750003</v>
      </c>
      <c r="P41" s="11">
        <f t="shared" ref="P41:P52" si="76">IF(J41 = "", I41 * N41, IF(ISNA(CONVERT(I41, J41, "l")), CONVERT(I41, J41, "kg") * IF(M41 &lt;&gt; 0, N41 / M41, 0), CONVERT(I41, J41, "l")))</f>
        <v>0.23658823649999999</v>
      </c>
      <c r="Q41" s="11">
        <f>MROUND(IF(L41 = "", IF(J41 = "", I41, IF(M41 &lt;&gt; 0, O41 / M41, P41 / N41)) * recipe13DayScale, IF(ISNA(CONVERT(O41, "kg", L41)), CONVERT(P41 * recipe13DayScale, "l", L41), CONVERT(O41 * recipe13DayScale, "kg", L41))), roundTo)</f>
        <v>1</v>
      </c>
      <c r="R41" s="11">
        <f t="shared" ref="R41:R52" si="77">recipe13TotScale * IF(L41 = "", Q41 * M41, IF(ISNA(CONVERT(Q41, L41, "kg")), CONVERT(Q41, L41, "l") * IF(N41 &lt;&gt; 0, M41 / N41, 0), CONVERT(Q41, L41, "kg")))</f>
        <v>1.1405524567937502</v>
      </c>
      <c r="S41" s="11">
        <f t="shared" ref="S41:S52" si="78">recipe13TotScale * IF(R41 = 0, IF(L41 = "", Q41 * N41, IF(ISNA(CONVERT(Q41, L41, "l")), CONVERT(Q41, L41, "kg") * IF(M41 &lt;&gt; 0, N41 / M41, 0), CONVERT(Q41, L41, "l"))), 0)</f>
        <v>0</v>
      </c>
      <c r="T41" s="11">
        <f t="shared" ref="T41:T52" si="79">recipe13TotScale * IF(AND(R41 = 0, S41 = 0, J41 = "", L41 = ""), Q41, 0)</f>
        <v>0</v>
      </c>
      <c r="V41" s="8" t="b">
        <f t="shared" ref="V41:V52" si="80">INDEX(itemPrepMethods, MATCH(K41, itemNames, 0))="chop"</f>
        <v>1</v>
      </c>
      <c r="W41" s="21">
        <f t="shared" ref="W41:W52" si="81">IF(V41, Q41, "")</f>
        <v>1</v>
      </c>
      <c r="X41" s="22" t="str">
        <f t="shared" ref="X41:X52" si="82">IF(V41, IF(L41 = "", "", L41), "")</f>
        <v>cup</v>
      </c>
      <c r="Y41" s="22" t="str">
        <f t="shared" ref="Y41:Y52" si="83">IF(V41, K41, "")</f>
        <v>chopped carrots</v>
      </c>
      <c r="Z41" s="23"/>
      <c r="AA41" s="8" t="b">
        <f t="shared" ref="AA41:AA52" si="84">INDEX(itemPrepMethods, MATCH(K41, itemNames, 0))="soak"</f>
        <v>0</v>
      </c>
      <c r="AB41" s="22" t="str">
        <f t="shared" ref="AB41:AB52" si="85">IF(AA41, Q41, "")</f>
        <v/>
      </c>
      <c r="AC41" s="22" t="str">
        <f t="shared" ref="AC41:AC52" si="86">IF(AA41, IF(L41 = "", "", L41), "")</f>
        <v/>
      </c>
      <c r="AD41" s="22" t="str">
        <f t="shared" ref="AD41:AD52" si="87">IF(AA41, K41, "")</f>
        <v/>
      </c>
    </row>
    <row r="42" spans="1:30" x14ac:dyDescent="0.25">
      <c r="A42" s="5" t="s">
        <v>21</v>
      </c>
      <c r="B42" s="16">
        <f t="shared" si="70"/>
        <v>2</v>
      </c>
      <c r="C42" s="4" t="str">
        <f t="shared" si="71"/>
        <v>cup</v>
      </c>
      <c r="D42" s="28" t="str">
        <f t="shared" si="72"/>
        <v>chopped kumara</v>
      </c>
      <c r="H42" s="17"/>
      <c r="I42" s="18">
        <v>2</v>
      </c>
      <c r="J42" s="19" t="s">
        <v>16</v>
      </c>
      <c r="K42" s="19" t="s">
        <v>124</v>
      </c>
      <c r="L42" s="20" t="s">
        <v>16</v>
      </c>
      <c r="M42" s="11">
        <f t="shared" si="73"/>
        <v>0.30149999999999999</v>
      </c>
      <c r="N42" s="11">
        <f t="shared" si="74"/>
        <v>0.57499999999999996</v>
      </c>
      <c r="O42" s="11">
        <f t="shared" si="75"/>
        <v>0.24810905497304347</v>
      </c>
      <c r="P42" s="11">
        <f t="shared" si="76"/>
        <v>0.47317647299999999</v>
      </c>
      <c r="Q42" s="11">
        <f>MROUND(IF(L42 = "", IF(J42 = "", I42, IF(M42 &lt;&gt; 0, O42 / M42, P42 / N42)) * recipe13DayScale, IF(ISNA(CONVERT(O42, "kg", L42)), CONVERT(P42 * recipe13DayScale, "l", L42), CONVERT(O42 * recipe13DayScale, "kg", L42))), roundTo)</f>
        <v>2</v>
      </c>
      <c r="R42" s="11">
        <f t="shared" si="77"/>
        <v>1.6127088573247825</v>
      </c>
      <c r="S42" s="11">
        <f t="shared" si="78"/>
        <v>0</v>
      </c>
      <c r="T42" s="11">
        <f t="shared" si="79"/>
        <v>0</v>
      </c>
      <c r="V42" s="8" t="b">
        <f t="shared" si="80"/>
        <v>1</v>
      </c>
      <c r="W42" s="21">
        <f t="shared" si="81"/>
        <v>2</v>
      </c>
      <c r="X42" s="22" t="str">
        <f t="shared" si="82"/>
        <v>cup</v>
      </c>
      <c r="Y42" s="22" t="str">
        <f t="shared" si="83"/>
        <v>chopped kumara</v>
      </c>
      <c r="Z42" s="23"/>
      <c r="AA42" s="8" t="b">
        <f t="shared" si="84"/>
        <v>0</v>
      </c>
      <c r="AB42" s="22" t="str">
        <f t="shared" si="85"/>
        <v/>
      </c>
      <c r="AC42" s="22" t="str">
        <f t="shared" si="86"/>
        <v/>
      </c>
      <c r="AD42" s="22" t="str">
        <f t="shared" si="87"/>
        <v/>
      </c>
    </row>
    <row r="43" spans="1:30" x14ac:dyDescent="0.25">
      <c r="A43" s="5" t="s">
        <v>21</v>
      </c>
      <c r="B43" s="16">
        <f t="shared" si="70"/>
        <v>1.5</v>
      </c>
      <c r="C43" s="4" t="str">
        <f t="shared" si="71"/>
        <v>cup</v>
      </c>
      <c r="D43" s="28" t="str">
        <f t="shared" si="72"/>
        <v>chopped broccoli florets</v>
      </c>
      <c r="H43" s="17"/>
      <c r="I43" s="18">
        <v>1.5</v>
      </c>
      <c r="J43" s="19" t="s">
        <v>16</v>
      </c>
      <c r="K43" s="19" t="s">
        <v>432</v>
      </c>
      <c r="L43" s="20" t="s">
        <v>16</v>
      </c>
      <c r="M43" s="11">
        <f t="shared" si="73"/>
        <v>0.27300000000000002</v>
      </c>
      <c r="N43" s="11">
        <f t="shared" si="74"/>
        <v>1.1000000000000001</v>
      </c>
      <c r="O43" s="11">
        <f t="shared" si="75"/>
        <v>8.8075348042499987E-2</v>
      </c>
      <c r="P43" s="11">
        <f t="shared" si="76"/>
        <v>0.35488235474999996</v>
      </c>
      <c r="Q43" s="11">
        <f>MROUND(IF(L43 = "", IF(J43 = "", I43, IF(M43 &lt;&gt; 0, O43 / M43, P43 / N43)) * recipe13DayScale, IF(ISNA(CONVERT(O43, "kg", L43)), CONVERT(P43 * recipe13DayScale, "l", L43), CONVERT(O43 * recipe13DayScale, "kg", L43))), roundTo)</f>
        <v>1.5</v>
      </c>
      <c r="R43" s="11">
        <f t="shared" si="77"/>
        <v>0.57248976227624992</v>
      </c>
      <c r="S43" s="11">
        <f t="shared" si="78"/>
        <v>0</v>
      </c>
      <c r="T43" s="11">
        <f t="shared" si="79"/>
        <v>0</v>
      </c>
      <c r="V43" s="8" t="b">
        <f t="shared" si="80"/>
        <v>1</v>
      </c>
      <c r="W43" s="21">
        <f t="shared" si="81"/>
        <v>1.5</v>
      </c>
      <c r="X43" s="22" t="str">
        <f t="shared" si="82"/>
        <v>cup</v>
      </c>
      <c r="Y43" s="22" t="str">
        <f t="shared" si="83"/>
        <v>chopped broccoli florets</v>
      </c>
      <c r="Z43" s="23"/>
      <c r="AA43" s="8" t="b">
        <f t="shared" si="84"/>
        <v>0</v>
      </c>
      <c r="AB43" s="22" t="str">
        <f t="shared" si="85"/>
        <v/>
      </c>
      <c r="AC43" s="22" t="str">
        <f t="shared" si="86"/>
        <v/>
      </c>
      <c r="AD43" s="22" t="str">
        <f t="shared" si="87"/>
        <v/>
      </c>
    </row>
    <row r="44" spans="1:30" x14ac:dyDescent="0.25">
      <c r="A44" s="5" t="s">
        <v>21</v>
      </c>
      <c r="B44" s="16">
        <f t="shared" si="70"/>
        <v>1</v>
      </c>
      <c r="C44" s="4" t="str">
        <f t="shared" si="71"/>
        <v>cup</v>
      </c>
      <c r="D44" s="28" t="str">
        <f t="shared" si="72"/>
        <v>chopped red capsicums</v>
      </c>
      <c r="H44" s="17"/>
      <c r="I44" s="18">
        <v>1</v>
      </c>
      <c r="J44" s="19" t="s">
        <v>16</v>
      </c>
      <c r="K44" s="19" t="s">
        <v>319</v>
      </c>
      <c r="L44" s="20" t="s">
        <v>16</v>
      </c>
      <c r="M44" s="11">
        <f t="shared" si="73"/>
        <v>0.1885</v>
      </c>
      <c r="N44" s="11">
        <f t="shared" si="74"/>
        <v>0.25</v>
      </c>
      <c r="O44" s="11">
        <f t="shared" si="75"/>
        <v>0.17838753032099999</v>
      </c>
      <c r="P44" s="11">
        <f t="shared" si="76"/>
        <v>0.23658823649999999</v>
      </c>
      <c r="Q44" s="11">
        <f>MROUND(IF(L44 = "", IF(J44 = "", I44, IF(M44 &lt;&gt; 0, O44 / M44, P44 / N44)) * recipe13DayScale, IF(ISNA(CONVERT(O44, "kg", L44)), CONVERT(P44 * recipe13DayScale, "l", L44), CONVERT(O44 * recipe13DayScale, "kg", L44))), roundTo)</f>
        <v>1</v>
      </c>
      <c r="R44" s="11">
        <f t="shared" si="77"/>
        <v>1.1595189470864999</v>
      </c>
      <c r="S44" s="11">
        <f t="shared" si="78"/>
        <v>0</v>
      </c>
      <c r="T44" s="11">
        <f t="shared" si="79"/>
        <v>0</v>
      </c>
      <c r="V44" s="8" t="b">
        <f t="shared" si="80"/>
        <v>1</v>
      </c>
      <c r="W44" s="21">
        <f t="shared" si="81"/>
        <v>1</v>
      </c>
      <c r="X44" s="22" t="str">
        <f t="shared" si="82"/>
        <v>cup</v>
      </c>
      <c r="Y44" s="22" t="str">
        <f t="shared" si="83"/>
        <v>chopped red capsicums</v>
      </c>
      <c r="Z44" s="23"/>
      <c r="AA44" s="8" t="b">
        <f t="shared" si="84"/>
        <v>0</v>
      </c>
      <c r="AB44" s="22" t="str">
        <f t="shared" si="85"/>
        <v/>
      </c>
      <c r="AC44" s="22" t="str">
        <f t="shared" si="86"/>
        <v/>
      </c>
      <c r="AD44" s="22" t="str">
        <f t="shared" si="87"/>
        <v/>
      </c>
    </row>
    <row r="45" spans="1:30" s="32" customFormat="1" x14ac:dyDescent="0.25">
      <c r="A45" s="129"/>
      <c r="B45" s="129"/>
      <c r="C45" s="129"/>
      <c r="D45" s="129"/>
      <c r="I45" s="11"/>
      <c r="L45" s="10"/>
      <c r="M45" s="11"/>
      <c r="N45" s="11"/>
      <c r="O45" s="11"/>
      <c r="P45" s="11"/>
      <c r="Q45" s="11"/>
      <c r="R45" s="11"/>
      <c r="S45" s="11"/>
      <c r="T45" s="11"/>
      <c r="W45" s="21"/>
      <c r="X45" s="21"/>
      <c r="Y45" s="21"/>
      <c r="Z45" s="21"/>
      <c r="AB45" s="21"/>
      <c r="AC45" s="21"/>
      <c r="AD45" s="21"/>
    </row>
    <row r="46" spans="1:30" s="32" customFormat="1" x14ac:dyDescent="0.25">
      <c r="A46" s="129" t="s">
        <v>321</v>
      </c>
      <c r="B46" s="129"/>
      <c r="C46" s="129"/>
      <c r="D46" s="129"/>
      <c r="I46" s="11"/>
      <c r="L46" s="10"/>
      <c r="M46" s="11"/>
      <c r="N46" s="11"/>
      <c r="O46" s="11"/>
      <c r="P46" s="11"/>
      <c r="Q46" s="11"/>
      <c r="R46" s="11"/>
      <c r="S46" s="11"/>
      <c r="T46" s="11"/>
      <c r="W46" s="21"/>
      <c r="X46" s="21"/>
      <c r="Y46" s="21"/>
      <c r="Z46" s="21"/>
      <c r="AB46" s="21"/>
      <c r="AC46" s="21"/>
      <c r="AD46" s="21"/>
    </row>
    <row r="47" spans="1:30" x14ac:dyDescent="0.25">
      <c r="A47" s="5" t="s">
        <v>21</v>
      </c>
      <c r="B47" s="16">
        <f t="shared" si="70"/>
        <v>1</v>
      </c>
      <c r="C47" s="4" t="str">
        <f t="shared" si="71"/>
        <v>cup</v>
      </c>
      <c r="D47" s="28" t="str">
        <f t="shared" si="72"/>
        <v>tinned coconut milk</v>
      </c>
      <c r="H47" s="17"/>
      <c r="I47" s="18">
        <v>1</v>
      </c>
      <c r="J47" s="19" t="s">
        <v>16</v>
      </c>
      <c r="K47" s="19" t="s">
        <v>368</v>
      </c>
      <c r="L47" s="20" t="s">
        <v>16</v>
      </c>
      <c r="M47" s="11">
        <f t="shared" si="73"/>
        <v>0</v>
      </c>
      <c r="N47" s="11">
        <f t="shared" si="74"/>
        <v>0</v>
      </c>
      <c r="O47" s="11">
        <f t="shared" si="75"/>
        <v>0</v>
      </c>
      <c r="P47" s="11">
        <f t="shared" si="76"/>
        <v>0.23658823649999999</v>
      </c>
      <c r="Q47" s="11">
        <f>MROUND(IF(L47 = "", IF(J47 = "", I47, IF(M47 &lt;&gt; 0, O47 / M47, P47 / N47)) * recipe13DayScale, IF(ISNA(CONVERT(O47, "kg", L47)), CONVERT(P47 * recipe13DayScale, "l", L47), CONVERT(O47 * recipe13DayScale, "kg", L47))), roundTo)</f>
        <v>1</v>
      </c>
      <c r="R47" s="11">
        <f t="shared" si="77"/>
        <v>0</v>
      </c>
      <c r="S47" s="11">
        <f t="shared" si="78"/>
        <v>1.53782353725</v>
      </c>
      <c r="T47" s="11">
        <f t="shared" si="79"/>
        <v>0</v>
      </c>
      <c r="V47" s="8" t="b">
        <f t="shared" si="80"/>
        <v>0</v>
      </c>
      <c r="W47" s="21" t="str">
        <f t="shared" si="81"/>
        <v/>
      </c>
      <c r="X47" s="22" t="str">
        <f t="shared" si="82"/>
        <v/>
      </c>
      <c r="Y47" s="22" t="str">
        <f t="shared" si="83"/>
        <v/>
      </c>
      <c r="Z47" s="23"/>
      <c r="AA47" s="8" t="b">
        <f t="shared" si="84"/>
        <v>0</v>
      </c>
      <c r="AB47" s="22" t="str">
        <f t="shared" si="85"/>
        <v/>
      </c>
      <c r="AC47" s="22" t="str">
        <f t="shared" si="86"/>
        <v/>
      </c>
      <c r="AD47" s="22" t="str">
        <f t="shared" si="87"/>
        <v/>
      </c>
    </row>
    <row r="48" spans="1:30" s="32" customFormat="1" x14ac:dyDescent="0.25">
      <c r="A48" s="129"/>
      <c r="B48" s="129"/>
      <c r="C48" s="129"/>
      <c r="D48" s="129"/>
      <c r="I48" s="11"/>
      <c r="L48" s="10"/>
      <c r="M48" s="11"/>
      <c r="N48" s="11"/>
      <c r="O48" s="11"/>
      <c r="P48" s="11"/>
      <c r="Q48" s="11"/>
      <c r="R48" s="11"/>
      <c r="S48" s="11"/>
      <c r="T48" s="11"/>
      <c r="W48" s="21"/>
      <c r="X48" s="21"/>
      <c r="Y48" s="21"/>
      <c r="Z48" s="21"/>
      <c r="AB48" s="21"/>
      <c r="AC48" s="21"/>
      <c r="AD48" s="21"/>
    </row>
    <row r="49" spans="1:30" s="32" customFormat="1" x14ac:dyDescent="0.25">
      <c r="A49" s="129" t="s">
        <v>322</v>
      </c>
      <c r="B49" s="129"/>
      <c r="C49" s="129"/>
      <c r="D49" s="129"/>
      <c r="I49" s="11"/>
      <c r="L49" s="10"/>
      <c r="M49" s="11"/>
      <c r="N49" s="11"/>
      <c r="O49" s="11"/>
      <c r="P49" s="11"/>
      <c r="Q49" s="11"/>
      <c r="R49" s="11"/>
      <c r="S49" s="11"/>
      <c r="T49" s="11"/>
      <c r="W49" s="21"/>
      <c r="X49" s="21"/>
      <c r="Y49" s="21"/>
      <c r="Z49" s="21"/>
      <c r="AB49" s="21"/>
      <c r="AC49" s="21"/>
      <c r="AD49" s="21"/>
    </row>
    <row r="50" spans="1:30" s="32" customFormat="1" x14ac:dyDescent="0.25">
      <c r="A50" s="31" t="s">
        <v>21</v>
      </c>
      <c r="B50" s="16">
        <f t="shared" ref="B50" si="88">Q50</f>
        <v>8</v>
      </c>
      <c r="C50" s="4" t="str">
        <f t="shared" ref="C50" si="89">IF(L50="","",L50)</f>
        <v>tbs</v>
      </c>
      <c r="D50" s="31" t="str">
        <f t="shared" ref="D50" si="90">_xlfn.CONCAT(K50, U50)</f>
        <v>gluten free soy sauce</v>
      </c>
      <c r="H50" s="17"/>
      <c r="I50" s="18">
        <v>8</v>
      </c>
      <c r="J50" s="19" t="s">
        <v>15</v>
      </c>
      <c r="K50" s="19" t="s">
        <v>156</v>
      </c>
      <c r="L50" s="20" t="s">
        <v>15</v>
      </c>
      <c r="M50" s="11">
        <f t="shared" ref="M50" si="91">INDEX(itemGPerQty, MATCH(K50, itemNames, 0))</f>
        <v>0</v>
      </c>
      <c r="N50" s="11">
        <f t="shared" ref="N50" si="92">INDEX(itemMlPerQty, MATCH(K50, itemNames, 0))</f>
        <v>0</v>
      </c>
      <c r="O50" s="11">
        <f t="shared" ref="O50" si="93">IF(J50 = "", I50 * M50, IF(ISNA(CONVERT(I50, J50, "kg")), CONVERT(I50, J50, "l") * IF(N50 &lt;&gt; 0, M50 / N50, 0), CONVERT(I50, J50, "kg")))</f>
        <v>0</v>
      </c>
      <c r="P50" s="11">
        <f t="shared" ref="P50" si="94">IF(J50 = "", I50 * N50, IF(ISNA(CONVERT(I50, J50, "l")), CONVERT(I50, J50, "kg") * IF(M50 &lt;&gt; 0, N50 / M50, 0), CONVERT(I50, J50, "l")))</f>
        <v>0.11829411825</v>
      </c>
      <c r="Q50" s="11">
        <f>MROUND(IF(L50 = "", IF(J50 = "", I50, IF(M50 &lt;&gt; 0, O50 / M50, P50 / N50)) * recipe13DayScale, IF(ISNA(CONVERT(O50, "kg", L50)), CONVERT(P50 * recipe13DayScale, "l", L50), CONVERT(O50 * recipe13DayScale, "kg", L50))), roundTo)</f>
        <v>8</v>
      </c>
      <c r="R50" s="11">
        <f t="shared" ref="R50" si="95">recipe13TotScale * IF(L50 = "", Q50 * M50, IF(ISNA(CONVERT(Q50, L50, "kg")), CONVERT(Q50, L50, "l") * IF(N50 &lt;&gt; 0, M50 / N50, 0), CONVERT(Q50, L50, "kg")))</f>
        <v>0</v>
      </c>
      <c r="S50" s="11">
        <f t="shared" ref="S50" si="96">recipe13TotScale * IF(R50 = 0, IF(L50 = "", Q50 * N50, IF(ISNA(CONVERT(Q50, L50, "l")), CONVERT(Q50, L50, "kg") * IF(M50 &lt;&gt; 0, N50 / M50, 0), CONVERT(Q50, L50, "l"))), 0)</f>
        <v>0.76891176862499999</v>
      </c>
      <c r="T50" s="11">
        <f t="shared" ref="T50" si="97">recipe13TotScale * IF(AND(R50 = 0, S50 = 0, J50 = "", L50 = ""), Q50, 0)</f>
        <v>0</v>
      </c>
      <c r="V50" s="32" t="b">
        <f t="shared" ref="V50" si="98">INDEX(itemPrepMethods, MATCH(K50, itemNames, 0))="chop"</f>
        <v>0</v>
      </c>
      <c r="W50" s="21" t="str">
        <f t="shared" ref="W50" si="99">IF(V50, Q50, "")</f>
        <v/>
      </c>
      <c r="X50" s="22" t="str">
        <f t="shared" ref="X50" si="100">IF(V50, IF(L50 = "", "", L50), "")</f>
        <v/>
      </c>
      <c r="Y50" s="22" t="str">
        <f t="shared" ref="Y50" si="101">IF(V50, K50, "")</f>
        <v/>
      </c>
      <c r="Z50" s="23"/>
      <c r="AA50" s="32" t="b">
        <f t="shared" ref="AA50" si="102">INDEX(itemPrepMethods, MATCH(K50, itemNames, 0))="soak"</f>
        <v>0</v>
      </c>
      <c r="AB50" s="22" t="str">
        <f t="shared" ref="AB50" si="103">IF(AA50, Q50, "")</f>
        <v/>
      </c>
      <c r="AC50" s="22" t="str">
        <f t="shared" ref="AC50" si="104">IF(AA50, IF(L50 = "", "", L50), "")</f>
        <v/>
      </c>
      <c r="AD50" s="22" t="str">
        <f t="shared" ref="AD50" si="105">IF(AA50, K50, "")</f>
        <v/>
      </c>
    </row>
    <row r="51" spans="1:30" s="32" customFormat="1" x14ac:dyDescent="0.25">
      <c r="A51" s="31" t="s">
        <v>21</v>
      </c>
      <c r="B51" s="16">
        <f t="shared" ref="B51" si="106">Q51</f>
        <v>1</v>
      </c>
      <c r="C51" s="4" t="str">
        <f t="shared" ref="C51" si="107">IF(L51="","",L51)</f>
        <v>cup</v>
      </c>
      <c r="D51" s="31" t="str">
        <f t="shared" ref="D51" si="108">_xlfn.CONCAT(K51, U51)</f>
        <v>chopped spinach</v>
      </c>
      <c r="H51" s="17"/>
      <c r="I51" s="18">
        <v>1</v>
      </c>
      <c r="J51" s="19" t="s">
        <v>16</v>
      </c>
      <c r="K51" s="19" t="s">
        <v>520</v>
      </c>
      <c r="L51" s="20" t="s">
        <v>16</v>
      </c>
      <c r="M51" s="11">
        <f t="shared" ref="M51" si="109">INDEX(itemGPerQty, MATCH(K51, itemNames, 0))</f>
        <v>0.13400000000000001</v>
      </c>
      <c r="N51" s="11">
        <f t="shared" ref="N51" si="110">INDEX(itemMlPerQty, MATCH(K51, itemNames, 0))</f>
        <v>0.75</v>
      </c>
      <c r="O51" s="11">
        <f t="shared" ref="O51" si="111">IF(J51 = "", I51 * M51, IF(ISNA(CONVERT(I51, J51, "kg")), CONVERT(I51, J51, "l") * IF(N51 &lt;&gt; 0, M51 / N51, 0), CONVERT(I51, J51, "kg")))</f>
        <v>4.2270431588E-2</v>
      </c>
      <c r="P51" s="11">
        <f t="shared" ref="P51" si="112">IF(J51 = "", I51 * N51, IF(ISNA(CONVERT(I51, J51, "l")), CONVERT(I51, J51, "kg") * IF(M51 &lt;&gt; 0, N51 / M51, 0), CONVERT(I51, J51, "l")))</f>
        <v>0.23658823649999999</v>
      </c>
      <c r="Q51" s="11">
        <f>MROUND(IF(L51 = "", IF(J51 = "", I51, IF(M51 &lt;&gt; 0, O51 / M51, P51 / N51)) * recipe13DayScale, IF(ISNA(CONVERT(O51, "kg", L51)), CONVERT(P51 * recipe13DayScale, "l", L51), CONVERT(O51 * recipe13DayScale, "kg", L51))), roundTo)</f>
        <v>1</v>
      </c>
      <c r="R51" s="11">
        <f t="shared" ref="R51" si="113">recipe13TotScale * IF(L51 = "", Q51 * M51, IF(ISNA(CONVERT(Q51, L51, "kg")), CONVERT(Q51, L51, "l") * IF(N51 &lt;&gt; 0, M51 / N51, 0), CONVERT(Q51, L51, "kg")))</f>
        <v>0.274757805322</v>
      </c>
      <c r="S51" s="11">
        <f t="shared" ref="S51" si="114">recipe13TotScale * IF(R51 = 0, IF(L51 = "", Q51 * N51, IF(ISNA(CONVERT(Q51, L51, "l")), CONVERT(Q51, L51, "kg") * IF(M51 &lt;&gt; 0, N51 / M51, 0), CONVERT(Q51, L51, "l"))), 0)</f>
        <v>0</v>
      </c>
      <c r="T51" s="11">
        <f t="shared" ref="T51" si="115">recipe13TotScale * IF(AND(R51 = 0, S51 = 0, J51 = "", L51 = ""), Q51, 0)</f>
        <v>0</v>
      </c>
      <c r="V51" s="32" t="b">
        <f t="shared" ref="V51" si="116">INDEX(itemPrepMethods, MATCH(K51, itemNames, 0))="chop"</f>
        <v>1</v>
      </c>
      <c r="W51" s="21">
        <f t="shared" ref="W51" si="117">IF(V51, Q51, "")</f>
        <v>1</v>
      </c>
      <c r="X51" s="22" t="str">
        <f t="shared" ref="X51" si="118">IF(V51, IF(L51 = "", "", L51), "")</f>
        <v>cup</v>
      </c>
      <c r="Y51" s="22" t="str">
        <f t="shared" ref="Y51" si="119">IF(V51, K51, "")</f>
        <v>chopped spinach</v>
      </c>
      <c r="Z51" s="23"/>
      <c r="AA51" s="32" t="b">
        <f t="shared" ref="AA51" si="120">INDEX(itemPrepMethods, MATCH(K51, itemNames, 0))="soak"</f>
        <v>0</v>
      </c>
      <c r="AB51" s="22" t="str">
        <f t="shared" ref="AB51" si="121">IF(AA51, Q51, "")</f>
        <v/>
      </c>
      <c r="AC51" s="22" t="str">
        <f t="shared" ref="AC51" si="122">IF(AA51, IF(L51 = "", "", L51), "")</f>
        <v/>
      </c>
      <c r="AD51" s="22" t="str">
        <f t="shared" ref="AD51" si="123">IF(AA51, K51, "")</f>
        <v/>
      </c>
    </row>
    <row r="52" spans="1:30" x14ac:dyDescent="0.25">
      <c r="A52" s="5" t="s">
        <v>21</v>
      </c>
      <c r="B52" s="16">
        <f t="shared" si="70"/>
        <v>2</v>
      </c>
      <c r="C52" s="4" t="str">
        <f t="shared" si="71"/>
        <v>tsp</v>
      </c>
      <c r="D52" s="28" t="str">
        <f t="shared" si="72"/>
        <v>ground coriander</v>
      </c>
      <c r="H52" s="17"/>
      <c r="I52" s="18">
        <v>2</v>
      </c>
      <c r="J52" s="19" t="s">
        <v>13</v>
      </c>
      <c r="K52" s="19" t="s">
        <v>525</v>
      </c>
      <c r="L52" s="20" t="s">
        <v>13</v>
      </c>
      <c r="M52" s="11">
        <f t="shared" si="73"/>
        <v>1.0999999999999999E-2</v>
      </c>
      <c r="N52" s="11">
        <f t="shared" si="74"/>
        <v>2.2180100000000001E-2</v>
      </c>
      <c r="O52" s="11">
        <f t="shared" si="75"/>
        <v>4.8888992864098892E-3</v>
      </c>
      <c r="P52" s="11">
        <f t="shared" si="76"/>
        <v>9.8578431874999997E-3</v>
      </c>
      <c r="Q52" s="11">
        <f>MROUND(IF(L52 = "", IF(J52 = "", I52, IF(M52 &lt;&gt; 0, O52 / M52, P52 / N52)) * recipe13DayScale, IF(ISNA(CONVERT(O52, "kg", L52)), CONVERT(P52 * recipe13DayScale, "l", L52), CONVERT(O52 * recipe13DayScale, "kg", L52))), roundTo)</f>
        <v>2</v>
      </c>
      <c r="R52" s="11">
        <f t="shared" si="77"/>
        <v>3.1777845361664281E-2</v>
      </c>
      <c r="S52" s="11">
        <f t="shared" si="78"/>
        <v>0</v>
      </c>
      <c r="T52" s="11">
        <f t="shared" si="79"/>
        <v>0</v>
      </c>
      <c r="V52" s="8" t="b">
        <f t="shared" si="80"/>
        <v>0</v>
      </c>
      <c r="W52" s="21" t="str">
        <f t="shared" si="81"/>
        <v/>
      </c>
      <c r="X52" s="22" t="str">
        <f t="shared" si="82"/>
        <v/>
      </c>
      <c r="Y52" s="22" t="str">
        <f t="shared" si="83"/>
        <v/>
      </c>
      <c r="Z52" s="23"/>
      <c r="AA52" s="8" t="b">
        <f t="shared" si="84"/>
        <v>0</v>
      </c>
      <c r="AB52" s="22" t="str">
        <f t="shared" si="85"/>
        <v/>
      </c>
      <c r="AC52" s="22" t="str">
        <f t="shared" si="86"/>
        <v/>
      </c>
      <c r="AD52" s="22" t="str">
        <f t="shared" si="87"/>
        <v/>
      </c>
    </row>
    <row r="53" spans="1:30" ht="15.75" x14ac:dyDescent="0.25">
      <c r="A53" s="130" t="s">
        <v>505</v>
      </c>
      <c r="B53" s="130"/>
      <c r="C53" s="130"/>
      <c r="D53" s="130"/>
      <c r="E53" s="6" t="s">
        <v>99</v>
      </c>
      <c r="F53" s="39" t="s">
        <v>65</v>
      </c>
      <c r="G53" s="39"/>
    </row>
    <row r="54" spans="1:30" ht="24" x14ac:dyDescent="0.2">
      <c r="A54" s="132" t="s">
        <v>20</v>
      </c>
      <c r="B54" s="132"/>
      <c r="C54" s="132"/>
      <c r="D54" s="132"/>
      <c r="E54" s="6" t="s">
        <v>39</v>
      </c>
      <c r="F54" s="37">
        <v>11</v>
      </c>
      <c r="G54" s="11"/>
      <c r="H54" s="11"/>
      <c r="I54" s="33" t="s">
        <v>355</v>
      </c>
      <c r="J54" s="34" t="s">
        <v>356</v>
      </c>
      <c r="K54" s="34" t="s">
        <v>17</v>
      </c>
      <c r="L54" s="35" t="s">
        <v>359</v>
      </c>
      <c r="M54" s="33" t="s">
        <v>115</v>
      </c>
      <c r="N54" s="33" t="s">
        <v>116</v>
      </c>
      <c r="O54" s="33" t="s">
        <v>357</v>
      </c>
      <c r="P54" s="33" t="s">
        <v>358</v>
      </c>
      <c r="Q54" s="34" t="s">
        <v>286</v>
      </c>
      <c r="R54" s="33" t="s">
        <v>287</v>
      </c>
      <c r="S54" s="33" t="s">
        <v>288</v>
      </c>
      <c r="T54" s="33" t="s">
        <v>289</v>
      </c>
      <c r="U54" s="34" t="s">
        <v>22</v>
      </c>
      <c r="V54" s="34" t="s">
        <v>169</v>
      </c>
      <c r="W54" s="36" t="s">
        <v>286</v>
      </c>
      <c r="X54" s="34" t="s">
        <v>167</v>
      </c>
      <c r="Y54" s="34" t="s">
        <v>168</v>
      </c>
      <c r="Z54" s="34" t="s">
        <v>263</v>
      </c>
      <c r="AA54" s="34" t="s">
        <v>170</v>
      </c>
      <c r="AB54" s="36" t="s">
        <v>286</v>
      </c>
      <c r="AC54" s="34" t="s">
        <v>171</v>
      </c>
      <c r="AD54" s="34" t="s">
        <v>172</v>
      </c>
    </row>
    <row r="55" spans="1:30" ht="16.5" thickBot="1" x14ac:dyDescent="0.3">
      <c r="A55" s="131" t="str">
        <f>_xlfn.CONCAT(F55," servings")</f>
        <v>12 servings</v>
      </c>
      <c r="B55" s="131"/>
      <c r="C55" s="131"/>
      <c r="D55" s="131"/>
      <c r="E55" s="29" t="s">
        <v>281</v>
      </c>
      <c r="F55" s="37">
        <f>wkndRegLunch</f>
        <v>12</v>
      </c>
      <c r="G55" s="11"/>
      <c r="H55" s="11"/>
      <c r="I55" s="26"/>
      <c r="J55" s="6"/>
      <c r="K55" s="6"/>
      <c r="L55" s="27"/>
      <c r="M55" s="26"/>
      <c r="N55" s="26"/>
      <c r="O55" s="26"/>
      <c r="P55" s="26"/>
      <c r="Q55" s="6"/>
      <c r="R55" s="26"/>
      <c r="S55" s="26"/>
      <c r="T55" s="26"/>
      <c r="U55" s="6"/>
      <c r="W55" s="130" t="s">
        <v>521</v>
      </c>
      <c r="X55" s="130"/>
      <c r="Y55" s="130"/>
      <c r="Z55" s="130"/>
      <c r="AB55" s="130" t="s">
        <v>522</v>
      </c>
      <c r="AC55" s="130"/>
      <c r="AD55" s="130"/>
    </row>
    <row r="56" spans="1:30" s="41" customFormat="1" ht="16.5" thickBot="1" x14ac:dyDescent="0.3">
      <c r="A56" s="129"/>
      <c r="B56" s="129"/>
      <c r="C56" s="129"/>
      <c r="D56" s="129"/>
      <c r="E56" s="29" t="s">
        <v>284</v>
      </c>
      <c r="F56" s="14">
        <f>F55/F54</f>
        <v>1.0909090909090908</v>
      </c>
      <c r="G56" s="15" t="s">
        <v>292</v>
      </c>
      <c r="H56" s="11"/>
      <c r="I56" s="26"/>
      <c r="J56" s="39"/>
      <c r="K56" s="39"/>
      <c r="L56" s="27"/>
      <c r="M56" s="26"/>
      <c r="N56" s="26"/>
      <c r="O56" s="26"/>
      <c r="P56" s="26"/>
      <c r="Q56" s="39"/>
      <c r="R56" s="26"/>
      <c r="S56" s="26"/>
      <c r="T56" s="26"/>
      <c r="U56" s="39"/>
      <c r="W56" s="130" t="str">
        <f>A53</f>
        <v>SATURDAY LUNCH</v>
      </c>
      <c r="X56" s="130"/>
      <c r="Y56" s="130"/>
      <c r="Z56" s="130"/>
      <c r="AB56" s="130" t="str">
        <f>A53</f>
        <v>SATURDAY LUNCH</v>
      </c>
      <c r="AC56" s="130"/>
      <c r="AD56" s="130"/>
    </row>
    <row r="57" spans="1:30" ht="15.75" x14ac:dyDescent="0.25">
      <c r="A57" s="129" t="s">
        <v>325</v>
      </c>
      <c r="B57" s="129"/>
      <c r="C57" s="129"/>
      <c r="D57" s="129"/>
      <c r="E57" s="30"/>
      <c r="F57" s="30"/>
      <c r="G57" s="30"/>
      <c r="H57" s="11"/>
      <c r="I57" s="11"/>
      <c r="W57" s="130" t="str">
        <f>A54</f>
        <v>SPLIT PEA COMBINATION CURRY</v>
      </c>
      <c r="X57" s="130"/>
      <c r="Y57" s="130"/>
      <c r="Z57" s="130"/>
      <c r="AA57" s="41"/>
      <c r="AB57" s="130" t="str">
        <f>A54</f>
        <v>SPLIT PEA COMBINATION CURRY</v>
      </c>
      <c r="AC57" s="130"/>
      <c r="AD57" s="130"/>
    </row>
    <row r="58" spans="1:30" ht="15.75" thickBot="1" x14ac:dyDescent="0.3">
      <c r="A58" s="5" t="s">
        <v>21</v>
      </c>
      <c r="B58" s="16">
        <f>Q58</f>
        <v>3.25</v>
      </c>
      <c r="C58" s="4" t="str">
        <f>IF(L58="","",L58)</f>
        <v>lt</v>
      </c>
      <c r="D58" s="5" t="str">
        <f>_xlfn.CONCAT(K58, U58)</f>
        <v>chopped potatoes</v>
      </c>
      <c r="E58" s="29" t="s">
        <v>273</v>
      </c>
      <c r="F58" s="30">
        <f>wkndRegLunch</f>
        <v>12</v>
      </c>
      <c r="G58" s="30"/>
      <c r="H58" s="17"/>
      <c r="I58" s="18">
        <v>2</v>
      </c>
      <c r="J58" s="19" t="s">
        <v>12</v>
      </c>
      <c r="K58" s="19" t="s">
        <v>4</v>
      </c>
      <c r="L58" s="20" t="s">
        <v>542</v>
      </c>
      <c r="M58" s="11">
        <f>INDEX(itemGPerQty, MATCH(K58, itemNames, 0))</f>
        <v>0.22500000000000001</v>
      </c>
      <c r="N58" s="11">
        <f>INDEX(itemMlPerQty, MATCH(K58, itemNames, 0))</f>
        <v>0.33750000000000002</v>
      </c>
      <c r="O58" s="11">
        <f t="shared" ref="O58:O59" si="124">IF(J58 = "", I58 * M58, IF(ISNA(CONVERT(I58, J58, "kg")), CONVERT(I58, J58, "l") * IF(N58 &lt;&gt; 0, M58 / N58, 0), CONVERT(I58, J58, "kg")))</f>
        <v>2</v>
      </c>
      <c r="P58" s="11">
        <f t="shared" ref="P58:P59" si="125">IF(J58 = "", I58 * N58, IF(ISNA(CONVERT(I58, J58, "l")), CONVERT(I58, J58, "kg") * IF(M58 &lt;&gt; 0, N58 / M58, 0), CONVERT(I58, J58, "l")))</f>
        <v>3</v>
      </c>
      <c r="Q58" s="11">
        <f>MROUND(IF(L58 = "", IF(J58 = "", I58, IF(M58 &lt;&gt; 0, O58 / M58, P58 / N58)) * recipe01DayScale, IF(ISNA(CONVERT(O58, "kg", L58)), CONVERT(P58 * recipe01DayScale, "l", L58), CONVERT(O58 * recipe01DayScale, "kg", L58))), roundTo)</f>
        <v>3.25</v>
      </c>
      <c r="R58" s="11">
        <f>recipe01TotScale * IF(L58 = "", Q58 * M58, IF(ISNA(CONVERT(Q58, L58, "kg")), CONVERT(Q58, L58, "l") * IF(N58 &lt;&gt; 0, M58 / N58, 0), CONVERT(Q58, L58, "kg")))</f>
        <v>2.1666666666666665</v>
      </c>
      <c r="S58" s="11">
        <f>recipe01TotScale * IF(R58 = 0, IF(L58 = "", Q58 * N58, IF(ISNA(CONVERT(Q58, L58, "l")), CONVERT(Q58, L58, "kg") * IF(M58 &lt;&gt; 0, N58 / M58, 0), CONVERT(Q58, L58, "l"))), 0)</f>
        <v>0</v>
      </c>
      <c r="T58" s="11">
        <f>recipe01TotScale * IF(AND(R58 = 0, S58 = 0, J58 = "", L58 = ""), Q58, 0)</f>
        <v>0</v>
      </c>
      <c r="V58" s="8" t="b">
        <f>INDEX(itemPrepMethods, MATCH(K58, itemNames, 0))="chop"</f>
        <v>1</v>
      </c>
      <c r="W58" s="21">
        <f>IF(V58, Q58, "")</f>
        <v>3.25</v>
      </c>
      <c r="X58" s="22" t="str">
        <f>IF(V58, IF(L58 = "", "", L58), "")</f>
        <v>lt</v>
      </c>
      <c r="Y58" s="22" t="str">
        <f>IF(V58, K58, "")</f>
        <v>chopped potatoes</v>
      </c>
      <c r="Z58" s="23"/>
      <c r="AA58" s="8" t="b">
        <f>INDEX(itemPrepMethods, MATCH(K58, itemNames, 0))="soak"</f>
        <v>0</v>
      </c>
      <c r="AB58" s="22" t="str">
        <f>IF(AA58, Q58, "")</f>
        <v/>
      </c>
      <c r="AC58" s="22" t="str">
        <f>IF(AA58, IF(L58 = "", "", L58), "")</f>
        <v/>
      </c>
      <c r="AD58" s="22" t="str">
        <f>IF(AA58, K58, "")</f>
        <v/>
      </c>
    </row>
    <row r="59" spans="1:30" ht="15.75" thickBot="1" x14ac:dyDescent="0.3">
      <c r="A59" s="5" t="s">
        <v>21</v>
      </c>
      <c r="B59" s="16">
        <f>Q59</f>
        <v>4.25</v>
      </c>
      <c r="C59" s="4" t="str">
        <f>IF(L59="","",L59)</f>
        <v>cup</v>
      </c>
      <c r="D59" s="5" t="str">
        <f>_xlfn.CONCAT(K59, U59)</f>
        <v>split peas. Soaked by Tenzo the night before. Rinse and drain first</v>
      </c>
      <c r="E59" s="29" t="s">
        <v>285</v>
      </c>
      <c r="F59" s="14">
        <f>F58/F55</f>
        <v>1</v>
      </c>
      <c r="G59" s="15" t="s">
        <v>293</v>
      </c>
      <c r="I59" s="18">
        <v>4</v>
      </c>
      <c r="J59" s="19" t="s">
        <v>16</v>
      </c>
      <c r="K59" s="19" t="s">
        <v>7</v>
      </c>
      <c r="L59" s="20" t="s">
        <v>16</v>
      </c>
      <c r="M59" s="11">
        <f>INDEX(itemGPerQty, MATCH(K59, itemNames, 0))</f>
        <v>0.84699999999999998</v>
      </c>
      <c r="N59" s="11">
        <f>INDEX(itemMlPerQty, MATCH(K59, itemNames, 0))</f>
        <v>0.946353</v>
      </c>
      <c r="O59" s="11">
        <f t="shared" si="124"/>
        <v>0.84699995166919739</v>
      </c>
      <c r="P59" s="11">
        <f t="shared" si="125"/>
        <v>0.94635294599999997</v>
      </c>
      <c r="Q59" s="11">
        <f>MROUND(IF(L59 = "", IF(J59 = "", I59, IF(M59 &lt;&gt; 0, O59 / M59, P59 / N59)) * recipe01DayScale, IF(ISNA(CONVERT(O59, "kg", L59)), CONVERT(P59 * recipe01DayScale, "l", L59), CONVERT(O59 * recipe01DayScale, "kg", L59))), roundTo)</f>
        <v>4.25</v>
      </c>
      <c r="R59" s="11">
        <f>recipe01TotScale * IF(L59 = "", Q59 * M59, IF(ISNA(CONVERT(Q59, L59, "kg")), CONVERT(Q59, L59, "l") * IF(N59 &lt;&gt; 0, M59 / N59, 0), CONVERT(Q59, L59, "kg")))</f>
        <v>0.89993744864852221</v>
      </c>
      <c r="S59" s="11">
        <f>recipe01TotScale * IF(R59 = 0, IF(L59 = "", Q59 * N59, IF(ISNA(CONVERT(Q59, L59, "l")), CONVERT(Q59, L59, "kg") * IF(M59 &lt;&gt; 0, N59 / M59, 0), CONVERT(Q59, L59, "l"))), 0)</f>
        <v>0</v>
      </c>
      <c r="T59" s="11">
        <f>recipe01TotScale * IF(AND(R59 = 0, S59 = 0, J59 = "", L59 = ""), Q59, 0)</f>
        <v>0</v>
      </c>
      <c r="U59" s="8" t="s">
        <v>201</v>
      </c>
      <c r="V59" s="8" t="b">
        <f>INDEX(itemPrepMethods, MATCH(K59, itemNames, 0))="chop"</f>
        <v>0</v>
      </c>
      <c r="W59" s="21" t="str">
        <f>IF(V59, Q59, "")</f>
        <v/>
      </c>
      <c r="X59" s="22" t="str">
        <f>IF(V59, IF(L59 = "", "", L59), "")</f>
        <v/>
      </c>
      <c r="Y59" s="22" t="str">
        <f>IF(V59, K59, "")</f>
        <v/>
      </c>
      <c r="Z59" s="23"/>
      <c r="AA59" s="8" t="b">
        <f>INDEX(itemPrepMethods, MATCH(K59, itemNames, 0))="soak"</f>
        <v>1</v>
      </c>
      <c r="AB59" s="22">
        <f>IF(AA59, Q59, "")</f>
        <v>4.25</v>
      </c>
      <c r="AC59" s="22" t="str">
        <f>IF(AA59, IF(L59 = "", "", L59), "")</f>
        <v>cup</v>
      </c>
      <c r="AD59" s="22" t="str">
        <f>IF(AA59, K59, "")</f>
        <v>split peas</v>
      </c>
    </row>
    <row r="60" spans="1:30" x14ac:dyDescent="0.25">
      <c r="A60" s="129"/>
      <c r="B60" s="129"/>
      <c r="C60" s="129"/>
      <c r="D60" s="129"/>
      <c r="I60" s="11"/>
      <c r="M60" s="8"/>
      <c r="N60" s="8"/>
      <c r="W60" s="21"/>
      <c r="X60" s="21"/>
      <c r="Y60" s="21"/>
      <c r="Z60" s="21"/>
      <c r="AA60" s="30"/>
      <c r="AB60" s="21"/>
      <c r="AC60" s="21"/>
      <c r="AD60" s="21"/>
    </row>
    <row r="61" spans="1:30" x14ac:dyDescent="0.25">
      <c r="A61" s="129" t="s">
        <v>19</v>
      </c>
      <c r="B61" s="129"/>
      <c r="C61" s="129"/>
      <c r="D61" s="129"/>
      <c r="I61" s="11"/>
      <c r="M61" s="8"/>
      <c r="N61" s="8"/>
      <c r="W61" s="21"/>
      <c r="X61" s="21"/>
      <c r="Y61" s="21"/>
      <c r="Z61" s="21"/>
      <c r="AA61" s="30"/>
      <c r="AB61" s="21"/>
      <c r="AC61" s="21"/>
      <c r="AD61" s="21"/>
    </row>
    <row r="62" spans="1:30" x14ac:dyDescent="0.25">
      <c r="A62" s="5" t="s">
        <v>21</v>
      </c>
      <c r="B62" s="16">
        <f>Q62</f>
        <v>7.75</v>
      </c>
      <c r="C62" s="4" t="str">
        <f>IF(L62="","",L62)</f>
        <v/>
      </c>
      <c r="D62" s="5" t="str">
        <f>_xlfn.CONCAT(K62, U62)</f>
        <v>garlic cloves. Remove from oil once cooked</v>
      </c>
      <c r="I62" s="18">
        <v>7</v>
      </c>
      <c r="J62" s="19"/>
      <c r="K62" s="19" t="s">
        <v>8</v>
      </c>
      <c r="L62" s="20"/>
      <c r="M62" s="11">
        <f>INDEX(itemGPerQty, MATCH(K62, itemNames, 0))</f>
        <v>0</v>
      </c>
      <c r="N62" s="11">
        <f>INDEX(itemMlPerQty, MATCH(K62, itemNames, 0))</f>
        <v>0</v>
      </c>
      <c r="O62" s="11">
        <f t="shared" ref="O62" si="126">IF(J62 = "", I62 * M62, IF(ISNA(CONVERT(I62, J62, "kg")), CONVERT(I62, J62, "l") * IF(N62 &lt;&gt; 0, M62 / N62, 0), CONVERT(I62, J62, "kg")))</f>
        <v>0</v>
      </c>
      <c r="P62" s="11">
        <f t="shared" ref="P62" si="127">IF(J62 = "", I62 * N62, IF(ISNA(CONVERT(I62, J62, "l")), CONVERT(I62, J62, "kg") * IF(M62 &lt;&gt; 0, N62 / M62, 0), CONVERT(I62, J62, "l")))</f>
        <v>0</v>
      </c>
      <c r="Q62" s="11">
        <f>MROUND(IF(L62 = "", IF(J62 = "", I62, IF(M62 &lt;&gt; 0, O62 / M62, P62 / N62)) * recipe01DayScale, IF(ISNA(CONVERT(O62, "kg", L62)), CONVERT(P62 * recipe01DayScale, "l", L62), CONVERT(O62 * recipe01DayScale, "kg", L62))), roundTo)</f>
        <v>7.75</v>
      </c>
      <c r="R62" s="11">
        <f>recipe01TotScale * IF(L62 = "", Q62 * M62, IF(ISNA(CONVERT(Q62, L62, "kg")), CONVERT(Q62, L62, "l") * IF(N62 &lt;&gt; 0, M62 / N62, 0), CONVERT(Q62, L62, "kg")))</f>
        <v>0</v>
      </c>
      <c r="S62" s="11">
        <f>recipe01TotScale * IF(R62 = 0, IF(L62 = "", Q62 * N62, IF(ISNA(CONVERT(Q62, L62, "l")), CONVERT(Q62, L62, "kg") * IF(M62 &lt;&gt; 0, N62 / M62, 0), CONVERT(Q62, L62, "l"))), 0)</f>
        <v>0</v>
      </c>
      <c r="T62" s="11">
        <f>recipe01TotScale * IF(AND(R62 = 0, S62 = 0, J62 = "", L62 = ""), Q62, 0)</f>
        <v>7.75</v>
      </c>
      <c r="U62" s="8" t="s">
        <v>200</v>
      </c>
      <c r="V62" s="8" t="b">
        <f>INDEX(itemPrepMethods, MATCH(K62, itemNames, 0))="chop"</f>
        <v>0</v>
      </c>
      <c r="W62" s="21" t="str">
        <f>IF(V62, Q62, "")</f>
        <v/>
      </c>
      <c r="X62" s="22" t="str">
        <f>IF(V62, IF(L62 = "", "", L62), "")</f>
        <v/>
      </c>
      <c r="Y62" s="22" t="str">
        <f>IF(V62, K62, "")</f>
        <v/>
      </c>
      <c r="Z62" s="23"/>
      <c r="AA62" s="8" t="b">
        <f>INDEX(itemPrepMethods, MATCH(K62, itemNames, 0))="soak"</f>
        <v>0</v>
      </c>
      <c r="AB62" s="22" t="str">
        <f>IF(AA62, Q62, "")</f>
        <v/>
      </c>
      <c r="AC62" s="22" t="str">
        <f>IF(AA62, IF(L62 = "", "", L62), "")</f>
        <v/>
      </c>
      <c r="AD62" s="22" t="str">
        <f>IF(AA62, K62, "")</f>
        <v/>
      </c>
    </row>
    <row r="63" spans="1:30" x14ac:dyDescent="0.25">
      <c r="A63" s="5" t="s">
        <v>21</v>
      </c>
      <c r="B63" s="16">
        <f>Q63</f>
        <v>3</v>
      </c>
      <c r="C63" s="4" t="str">
        <f>IF(L63="","",L63)</f>
        <v>cup</v>
      </c>
      <c r="D63" s="5" t="str">
        <f>_xlfn.CONCAT(K63, U63)</f>
        <v>chopped onions</v>
      </c>
      <c r="I63" s="18">
        <v>2.25</v>
      </c>
      <c r="J63" s="19"/>
      <c r="K63" s="19" t="s">
        <v>6</v>
      </c>
      <c r="L63" s="20" t="s">
        <v>16</v>
      </c>
      <c r="M63" s="11">
        <f>INDEX(itemGPerQty, MATCH(K63, itemNames, 0))</f>
        <v>0.185</v>
      </c>
      <c r="N63" s="11">
        <f>INDEX(itemMlPerQty, MATCH(K63, itemNames, 0))</f>
        <v>0.3</v>
      </c>
      <c r="O63" s="11">
        <f>IF(J63 = "", I63 * M63, IF(ISNA(CONVERT(I63, J63, "kg")), CONVERT(I63, J63, "l") * IF(N63 &lt;&gt; 0, M63 / N63, 0), CONVERT(I63, J63, "kg")))</f>
        <v>0.41625000000000001</v>
      </c>
      <c r="P63" s="11">
        <f>IF(J63 = "", I63 * N63, IF(ISNA(CONVERT(I63, J63, "l")), CONVERT(I63, J63, "kg") * IF(M63 &lt;&gt; 0, N63 / M63, 0), CONVERT(I63, J63, "l")))</f>
        <v>0.67499999999999993</v>
      </c>
      <c r="Q63" s="11">
        <f>MROUND(IF(L63 = "", IF(J63 = "", I63, IF(M63 &lt;&gt; 0, O63 / M63, P63 / N63)) * recipe01DayScale, IF(ISNA(CONVERT(O63, "kg", L63)), CONVERT(P63 * recipe01DayScale, "l", L63), CONVERT(O63 * recipe01DayScale, "kg", L63))), roundTo)</f>
        <v>3</v>
      </c>
      <c r="R63" s="11">
        <f>recipe01TotScale * IF(L63 = "", Q63 * M63, IF(ISNA(CONVERT(Q63, L63, "kg")), CONVERT(Q63, L63, "l") * IF(N63 &lt;&gt; 0, M63 / N63, 0), CONVERT(Q63, L63, "kg")))</f>
        <v>0.43768823752499997</v>
      </c>
      <c r="S63" s="11">
        <f>recipe01TotScale * IF(R63 = 0, IF(L63 = "", Q63 * N63, IF(ISNA(CONVERT(Q63, L63, "l")), CONVERT(Q63, L63, "kg") * IF(M63 &lt;&gt; 0, N63 / M63, 0), CONVERT(Q63, L63, "l"))), 0)</f>
        <v>0</v>
      </c>
      <c r="T63" s="11">
        <f>recipe01TotScale * IF(AND(R63 = 0, S63 = 0, J63 = "", L63 = ""), Q63, 0)</f>
        <v>0</v>
      </c>
      <c r="V63" s="8" t="b">
        <f>INDEX(itemPrepMethods, MATCH(K63, itemNames, 0))="chop"</f>
        <v>1</v>
      </c>
      <c r="W63" s="21">
        <f>IF(V63, Q63, "")</f>
        <v>3</v>
      </c>
      <c r="X63" s="22" t="str">
        <f>IF(V63, IF(L63 = "", "", L63), "")</f>
        <v>cup</v>
      </c>
      <c r="Y63" s="22" t="str">
        <f>IF(V63, K63, "")</f>
        <v>chopped onions</v>
      </c>
      <c r="Z63" s="23"/>
      <c r="AA63" s="8" t="b">
        <f>INDEX(itemPrepMethods, MATCH(K63, itemNames, 0))="soak"</f>
        <v>0</v>
      </c>
      <c r="AB63" s="22" t="str">
        <f>IF(AA63, Q63, "")</f>
        <v/>
      </c>
      <c r="AC63" s="22" t="str">
        <f>IF(AA63, IF(L63 = "", "", L63), "")</f>
        <v/>
      </c>
      <c r="AD63" s="22" t="str">
        <f>IF(AA63, K63, "")</f>
        <v/>
      </c>
    </row>
    <row r="64" spans="1:30" x14ac:dyDescent="0.25">
      <c r="A64" s="129"/>
      <c r="B64" s="129"/>
      <c r="C64" s="129"/>
      <c r="D64" s="129"/>
      <c r="I64" s="11"/>
      <c r="M64" s="8"/>
      <c r="N64" s="8"/>
      <c r="W64" s="21"/>
      <c r="X64" s="21"/>
      <c r="Y64" s="21"/>
      <c r="Z64" s="21"/>
      <c r="AA64" s="30"/>
      <c r="AB64" s="21"/>
      <c r="AC64" s="21"/>
      <c r="AD64" s="21"/>
    </row>
    <row r="65" spans="1:30" x14ac:dyDescent="0.25">
      <c r="A65" s="129" t="s">
        <v>176</v>
      </c>
      <c r="B65" s="129"/>
      <c r="C65" s="129"/>
      <c r="D65" s="129"/>
      <c r="I65" s="11"/>
      <c r="M65" s="8"/>
      <c r="N65" s="8"/>
      <c r="W65" s="21"/>
      <c r="X65" s="21"/>
      <c r="Y65" s="21"/>
      <c r="Z65" s="21"/>
      <c r="AA65" s="30"/>
      <c r="AB65" s="21"/>
      <c r="AC65" s="21"/>
      <c r="AD65" s="21"/>
    </row>
    <row r="66" spans="1:30" x14ac:dyDescent="0.25">
      <c r="A66" s="5" t="s">
        <v>21</v>
      </c>
      <c r="B66" s="16">
        <f>Q66</f>
        <v>5.5</v>
      </c>
      <c r="C66" s="4" t="str">
        <f>IF(L66="","",L66)</f>
        <v>tbs</v>
      </c>
      <c r="D66" s="5" t="str">
        <f>_xlfn.CONCAT(K66, U66)</f>
        <v>curry powder</v>
      </c>
      <c r="I66" s="18">
        <v>5</v>
      </c>
      <c r="J66" s="19" t="s">
        <v>15</v>
      </c>
      <c r="K66" s="19" t="s">
        <v>9</v>
      </c>
      <c r="L66" s="20" t="s">
        <v>15</v>
      </c>
      <c r="M66" s="11">
        <f>INDEX(itemGPerQty, MATCH(K66, itemNames, 0))</f>
        <v>1.2E-2</v>
      </c>
      <c r="N66" s="11">
        <f>INDEX(itemMlPerQty, MATCH(K66, itemNames, 0))</f>
        <v>2.2180100000000001E-2</v>
      </c>
      <c r="O66" s="11">
        <f t="shared" ref="O66:O70" si="128">IF(J66 = "", I66 * M66, IF(ISNA(CONVERT(I66, J66, "kg")), CONVERT(I66, J66, "l") * IF(N66 &lt;&gt; 0, M66 / N66, 0), CONVERT(I66, J66, "kg")))</f>
        <v>4.0000085070626371E-2</v>
      </c>
      <c r="P66" s="11">
        <f t="shared" ref="P66:P70" si="129">IF(J66 = "", I66 * N66, IF(ISNA(CONVERT(I66, J66, "l")), CONVERT(I66, J66, "kg") * IF(M66 &lt;&gt; 0, N66 / M66, 0), CONVERT(I66, J66, "l")))</f>
        <v>7.3933823906250001E-2</v>
      </c>
      <c r="Q66" s="11">
        <f>MROUND(IF(L66 = "", IF(J66 = "", I66, IF(M66 &lt;&gt; 0, O66 / M66, P66 / N66)) * recipe01DayScale, IF(ISNA(CONVERT(O66, "kg", L66)), CONVERT(P66 * recipe01DayScale, "l", L66), CONVERT(O66 * recipe01DayScale, "kg", L66))), roundTo)</f>
        <v>5.5</v>
      </c>
      <c r="R66" s="11">
        <f>recipe01TotScale * IF(L66 = "", Q66 * M66, IF(ISNA(CONVERT(Q66, L66, "kg")), CONVERT(Q66, L66, "l") * IF(N66 &lt;&gt; 0, M66 / N66, 0), CONVERT(Q66, L66, "kg")))</f>
        <v>4.4000093577689012E-2</v>
      </c>
      <c r="S66" s="11">
        <f>recipe01TotScale * IF(R66 = 0, IF(L66 = "", Q66 * N66, IF(ISNA(CONVERT(Q66, L66, "l")), CONVERT(Q66, L66, "kg") * IF(M66 &lt;&gt; 0, N66 / M66, 0), CONVERT(Q66, L66, "l"))), 0)</f>
        <v>0</v>
      </c>
      <c r="T66" s="11">
        <f>recipe01TotScale * IF(AND(R66 = 0, S66 = 0, J66 = "", L66 = ""), Q66, 0)</f>
        <v>0</v>
      </c>
      <c r="V66" s="8" t="b">
        <f>INDEX(itemPrepMethods, MATCH(K66, itemNames, 0))="chop"</f>
        <v>0</v>
      </c>
      <c r="W66" s="21" t="str">
        <f>IF(V66, Q66, "")</f>
        <v/>
      </c>
      <c r="X66" s="22" t="str">
        <f>IF(V66, IF(L66 = "", "", L66), "")</f>
        <v/>
      </c>
      <c r="Y66" s="22" t="str">
        <f>IF(V66, K66, "")</f>
        <v/>
      </c>
      <c r="Z66" s="23"/>
      <c r="AA66" s="8" t="b">
        <f>INDEX(itemPrepMethods, MATCH(K66, itemNames, 0))="soak"</f>
        <v>0</v>
      </c>
      <c r="AB66" s="22" t="str">
        <f>IF(AA66, Q66, "")</f>
        <v/>
      </c>
      <c r="AC66" s="22" t="str">
        <f>IF(AA66, IF(L66 = "", "", L66), "")</f>
        <v/>
      </c>
      <c r="AD66" s="22" t="str">
        <f>IF(AA66, K66, "")</f>
        <v/>
      </c>
    </row>
    <row r="67" spans="1:30" x14ac:dyDescent="0.25">
      <c r="A67" s="5" t="s">
        <v>21</v>
      </c>
      <c r="B67" s="16">
        <f>Q67</f>
        <v>4.25</v>
      </c>
      <c r="C67" s="4" t="str">
        <f>IF(L67="","",L67)</f>
        <v>tbs</v>
      </c>
      <c r="D67" s="5" t="str">
        <f>_xlfn.CONCAT(K67, U67)</f>
        <v>garam masala</v>
      </c>
      <c r="I67" s="18">
        <v>4</v>
      </c>
      <c r="J67" s="19" t="s">
        <v>15</v>
      </c>
      <c r="K67" s="19" t="s">
        <v>10</v>
      </c>
      <c r="L67" s="20" t="s">
        <v>15</v>
      </c>
      <c r="M67" s="11">
        <f>INDEX(itemGPerQty, MATCH(K67, itemNames, 0))</f>
        <v>0.01</v>
      </c>
      <c r="N67" s="11">
        <f>INDEX(itemMlPerQty, MATCH(K67, itemNames, 0))</f>
        <v>2.2180100000000001E-2</v>
      </c>
      <c r="O67" s="11">
        <f t="shared" si="128"/>
        <v>2.6666723380417583E-2</v>
      </c>
      <c r="P67" s="11">
        <f t="shared" si="129"/>
        <v>5.9147059124999998E-2</v>
      </c>
      <c r="Q67" s="11">
        <f>MROUND(IF(L67 = "", IF(J67 = "", I67, IF(M67 &lt;&gt; 0, O67 / M67, P67 / N67)) * recipe01DayScale, IF(ISNA(CONVERT(O67, "kg", L67)), CONVERT(P67 * recipe01DayScale, "l", L67), CONVERT(O67 * recipe01DayScale, "kg", L67))), roundTo)</f>
        <v>4.25</v>
      </c>
      <c r="R67" s="11">
        <f>recipe01TotScale * IF(L67 = "", Q67 * M67, IF(ISNA(CONVERT(Q67, L67, "kg")), CONVERT(Q67, L67, "l") * IF(N67 &lt;&gt; 0, M67 / N67, 0), CONVERT(Q67, L67, "kg")))</f>
        <v>2.8333393591693682E-2</v>
      </c>
      <c r="S67" s="11">
        <f>recipe01TotScale * IF(R67 = 0, IF(L67 = "", Q67 * N67, IF(ISNA(CONVERT(Q67, L67, "l")), CONVERT(Q67, L67, "kg") * IF(M67 &lt;&gt; 0, N67 / M67, 0), CONVERT(Q67, L67, "l"))), 0)</f>
        <v>0</v>
      </c>
      <c r="T67" s="11">
        <f>recipe01TotScale * IF(AND(R67 = 0, S67 = 0, J67 = "", L67 = ""), Q67, 0)</f>
        <v>0</v>
      </c>
      <c r="V67" s="8" t="b">
        <f>INDEX(itemPrepMethods, MATCH(K67, itemNames, 0))="chop"</f>
        <v>0</v>
      </c>
      <c r="W67" s="21" t="str">
        <f>IF(V67, Q67, "")</f>
        <v/>
      </c>
      <c r="X67" s="22" t="str">
        <f>IF(V67, IF(L67 = "", "", L67), "")</f>
        <v/>
      </c>
      <c r="Y67" s="22" t="str">
        <f>IF(V67, K67, "")</f>
        <v/>
      </c>
      <c r="Z67" s="23"/>
      <c r="AA67" s="8" t="b">
        <f>INDEX(itemPrepMethods, MATCH(K67, itemNames, 0))="soak"</f>
        <v>0</v>
      </c>
      <c r="AB67" s="22" t="str">
        <f>IF(AA67, Q67, "")</f>
        <v/>
      </c>
      <c r="AC67" s="22" t="str">
        <f>IF(AA67, IF(L67 = "", "", L67), "")</f>
        <v/>
      </c>
      <c r="AD67" s="22" t="str">
        <f>IF(AA67, K67, "")</f>
        <v/>
      </c>
    </row>
    <row r="68" spans="1:30" x14ac:dyDescent="0.25">
      <c r="A68" s="5" t="s">
        <v>21</v>
      </c>
      <c r="B68" s="16">
        <f>Q68</f>
        <v>3.25</v>
      </c>
      <c r="C68" s="4" t="str">
        <f>IF(L68="","",L68)</f>
        <v>tsp</v>
      </c>
      <c r="D68" s="5" t="str">
        <f>_xlfn.CONCAT(K68, U68)</f>
        <v>ground turmeric</v>
      </c>
      <c r="I68" s="18">
        <v>3</v>
      </c>
      <c r="J68" s="19" t="s">
        <v>13</v>
      </c>
      <c r="K68" s="19" t="s">
        <v>266</v>
      </c>
      <c r="L68" s="20" t="s">
        <v>13</v>
      </c>
      <c r="M68" s="11">
        <f>INDEX(itemGPerQty, MATCH(K68, itemNames, 0))</f>
        <v>1.4E-2</v>
      </c>
      <c r="N68" s="11">
        <f>INDEX(itemMlPerQty, MATCH(K68, itemNames, 0))</f>
        <v>2.2180100000000001E-2</v>
      </c>
      <c r="O68" s="11">
        <f t="shared" si="128"/>
        <v>9.3333531831461536E-3</v>
      </c>
      <c r="P68" s="11">
        <f t="shared" si="129"/>
        <v>1.478676478125E-2</v>
      </c>
      <c r="Q68" s="11">
        <f>MROUND(IF(L68 = "", IF(J68 = "", I68, IF(M68 &lt;&gt; 0, O68 / M68, P68 / N68)) * recipe01DayScale, IF(ISNA(CONVERT(O68, "kg", L68)), CONVERT(P68 * recipe01DayScale, "l", L68), CONVERT(O68 * recipe01DayScale, "kg", L68))), roundTo)</f>
        <v>3.25</v>
      </c>
      <c r="R68" s="11">
        <f>recipe01TotScale * IF(L68 = "", Q68 * M68, IF(ISNA(CONVERT(Q68, L68, "kg")), CONVERT(Q68, L68, "l") * IF(N68 &lt;&gt; 0, M68 / N68, 0), CONVERT(Q68, L68, "kg")))</f>
        <v>1.0111132615075E-2</v>
      </c>
      <c r="S68" s="11">
        <f>recipe01TotScale * IF(R68 = 0, IF(L68 = "", Q68 * N68, IF(ISNA(CONVERT(Q68, L68, "l")), CONVERT(Q68, L68, "kg") * IF(M68 &lt;&gt; 0, N68 / M68, 0), CONVERT(Q68, L68, "l"))), 0)</f>
        <v>0</v>
      </c>
      <c r="T68" s="11">
        <f>recipe01TotScale * IF(AND(R68 = 0, S68 = 0, J68 = "", L68 = ""), Q68, 0)</f>
        <v>0</v>
      </c>
      <c r="V68" s="8" t="b">
        <f>INDEX(itemPrepMethods, MATCH(K68, itemNames, 0))="chop"</f>
        <v>0</v>
      </c>
      <c r="W68" s="21" t="str">
        <f>IF(V68, Q68, "")</f>
        <v/>
      </c>
      <c r="X68" s="22" t="str">
        <f>IF(V68, IF(L68 = "", "", L68), "")</f>
        <v/>
      </c>
      <c r="Y68" s="22" t="str">
        <f>IF(V68, K68, "")</f>
        <v/>
      </c>
      <c r="Z68" s="23"/>
      <c r="AA68" s="8" t="b">
        <f>INDEX(itemPrepMethods, MATCH(K68, itemNames, 0))="soak"</f>
        <v>0</v>
      </c>
      <c r="AB68" s="22" t="str">
        <f>IF(AA68, Q68, "")</f>
        <v/>
      </c>
      <c r="AC68" s="22" t="str">
        <f>IF(AA68, IF(L68 = "", "", L68), "")</f>
        <v/>
      </c>
      <c r="AD68" s="22" t="str">
        <f>IF(AA68, K68, "")</f>
        <v/>
      </c>
    </row>
    <row r="69" spans="1:30" x14ac:dyDescent="0.25">
      <c r="A69" s="5" t="s">
        <v>21</v>
      </c>
      <c r="B69" s="16">
        <f>Q69</f>
        <v>3.25</v>
      </c>
      <c r="C69" s="4" t="str">
        <f>IF(L69="","",L69)</f>
        <v>tsp</v>
      </c>
      <c r="D69" s="5" t="str">
        <f>_xlfn.CONCAT(K69, U69)</f>
        <v>ground cumin</v>
      </c>
      <c r="I69" s="18">
        <v>3</v>
      </c>
      <c r="J69" s="19" t="s">
        <v>13</v>
      </c>
      <c r="K69" s="19" t="s">
        <v>14</v>
      </c>
      <c r="L69" s="20" t="s">
        <v>13</v>
      </c>
      <c r="M69" s="11">
        <f>INDEX(itemGPerQty, MATCH(K69, itemNames, 0))</f>
        <v>1.0999999999999999E-2</v>
      </c>
      <c r="N69" s="11">
        <f>INDEX(itemMlPerQty, MATCH(K69, itemNames, 0))</f>
        <v>2.2180100000000001E-2</v>
      </c>
      <c r="O69" s="11">
        <f t="shared" si="128"/>
        <v>7.3333489296148338E-3</v>
      </c>
      <c r="P69" s="11">
        <f t="shared" si="129"/>
        <v>1.478676478125E-2</v>
      </c>
      <c r="Q69" s="11">
        <f>MROUND(IF(L69 = "", IF(J69 = "", I69, IF(M69 &lt;&gt; 0, O69 / M69, P69 / N69)) * recipe01DayScale, IF(ISNA(CONVERT(O69, "kg", L69)), CONVERT(P69 * recipe01DayScale, "l", L69), CONVERT(O69 * recipe01DayScale, "kg", L69))), roundTo)</f>
        <v>3.25</v>
      </c>
      <c r="R69" s="11">
        <f>recipe01TotScale * IF(L69 = "", Q69 * M69, IF(ISNA(CONVERT(Q69, L69, "kg")), CONVERT(Q69, L69, "l") * IF(N69 &lt;&gt; 0, M69 / N69, 0), CONVERT(Q69, L69, "kg")))</f>
        <v>7.9444613404160702E-3</v>
      </c>
      <c r="S69" s="11">
        <f>recipe01TotScale * IF(R69 = 0, IF(L69 = "", Q69 * N69, IF(ISNA(CONVERT(Q69, L69, "l")), CONVERT(Q69, L69, "kg") * IF(M69 &lt;&gt; 0, N69 / M69, 0), CONVERT(Q69, L69, "l"))), 0)</f>
        <v>0</v>
      </c>
      <c r="T69" s="11">
        <f>recipe01TotScale * IF(AND(R69 = 0, S69 = 0, J69 = "", L69 = ""), Q69, 0)</f>
        <v>0</v>
      </c>
      <c r="V69" s="8" t="b">
        <f>INDEX(itemPrepMethods, MATCH(K69, itemNames, 0))="chop"</f>
        <v>0</v>
      </c>
      <c r="W69" s="21" t="str">
        <f>IF(V69, Q69, "")</f>
        <v/>
      </c>
      <c r="X69" s="22" t="str">
        <f>IF(V69, IF(L69 = "", "", L69), "")</f>
        <v/>
      </c>
      <c r="Y69" s="22" t="str">
        <f>IF(V69, K69, "")</f>
        <v/>
      </c>
      <c r="Z69" s="23"/>
      <c r="AA69" s="8" t="b">
        <f>INDEX(itemPrepMethods, MATCH(K69, itemNames, 0))="soak"</f>
        <v>0</v>
      </c>
      <c r="AB69" s="22" t="str">
        <f>IF(AA69, Q69, "")</f>
        <v/>
      </c>
      <c r="AC69" s="22" t="str">
        <f>IF(AA69, IF(L69 = "", "", L69), "")</f>
        <v/>
      </c>
      <c r="AD69" s="22" t="str">
        <f>IF(AA69, K69, "")</f>
        <v/>
      </c>
    </row>
    <row r="70" spans="1:30" x14ac:dyDescent="0.25">
      <c r="A70" s="5" t="s">
        <v>21</v>
      </c>
      <c r="B70" s="16">
        <f>Q70</f>
        <v>2.25</v>
      </c>
      <c r="C70" s="4" t="str">
        <f>IF(L70="","",L70)</f>
        <v>tsp</v>
      </c>
      <c r="D70" s="5" t="str">
        <f>_xlfn.CONCAT(K70, U70)</f>
        <v>salt</v>
      </c>
      <c r="I70" s="18">
        <v>2</v>
      </c>
      <c r="J70" s="19" t="s">
        <v>13</v>
      </c>
      <c r="K70" s="19" t="s">
        <v>11</v>
      </c>
      <c r="L70" s="20" t="s">
        <v>13</v>
      </c>
      <c r="M70" s="11">
        <f>INDEX(itemGPerQty, MATCH(K70, itemNames, 0))</f>
        <v>2.5000000000000001E-2</v>
      </c>
      <c r="N70" s="11">
        <f>INDEX(itemMlPerQty, MATCH(K70, itemNames, 0))</f>
        <v>2.2180100000000001E-2</v>
      </c>
      <c r="O70" s="11">
        <f t="shared" si="128"/>
        <v>1.111113474184066E-2</v>
      </c>
      <c r="P70" s="11">
        <f t="shared" si="129"/>
        <v>9.8578431874999997E-3</v>
      </c>
      <c r="Q70" s="11">
        <f>MROUND(IF(L70 = "", IF(J70 = "", I70, IF(M70 &lt;&gt; 0, O70 / M70, P70 / N70)) * recipe01DayScale, IF(ISNA(CONVERT(O70, "kg", L70)), CONVERT(P70 * recipe01DayScale, "l", L70), CONVERT(O70 * recipe01DayScale, "kg", L70))), roundTo)</f>
        <v>2.25</v>
      </c>
      <c r="R70" s="11">
        <f>recipe01TotScale * IF(L70 = "", Q70 * M70, IF(ISNA(CONVERT(Q70, L70, "kg")), CONVERT(Q70, L70, "l") * IF(N70 &lt;&gt; 0, M70 / N70, 0), CONVERT(Q70, L70, "kg")))</f>
        <v>1.2500026584570742E-2</v>
      </c>
      <c r="S70" s="11">
        <f>recipe01TotScale * IF(R70 = 0, IF(L70 = "", Q70 * N70, IF(ISNA(CONVERT(Q70, L70, "l")), CONVERT(Q70, L70, "kg") * IF(M70 &lt;&gt; 0, N70 / M70, 0), CONVERT(Q70, L70, "l"))), 0)</f>
        <v>0</v>
      </c>
      <c r="T70" s="11">
        <f>recipe01TotScale * IF(AND(R70 = 0, S70 = 0, J70 = "", L70 = ""), Q70, 0)</f>
        <v>0</v>
      </c>
      <c r="V70" s="8" t="b">
        <f>INDEX(itemPrepMethods, MATCH(K70, itemNames, 0))="chop"</f>
        <v>0</v>
      </c>
      <c r="W70" s="21" t="str">
        <f>IF(V70, Q70, "")</f>
        <v/>
      </c>
      <c r="X70" s="22" t="str">
        <f>IF(V70, IF(L70 = "", "", L70), "")</f>
        <v/>
      </c>
      <c r="Y70" s="22" t="str">
        <f>IF(V70, K70, "")</f>
        <v/>
      </c>
      <c r="Z70" s="23"/>
      <c r="AA70" s="8" t="b">
        <f>INDEX(itemPrepMethods, MATCH(K70, itemNames, 0))="soak"</f>
        <v>0</v>
      </c>
      <c r="AB70" s="22" t="str">
        <f>IF(AA70, Q70, "")</f>
        <v/>
      </c>
      <c r="AC70" s="22" t="str">
        <f>IF(AA70, IF(L70 = "", "", L70), "")</f>
        <v/>
      </c>
      <c r="AD70" s="22" t="str">
        <f>IF(AA70, K70, "")</f>
        <v/>
      </c>
    </row>
    <row r="71" spans="1:30" x14ac:dyDescent="0.25">
      <c r="B71" s="16"/>
      <c r="I71" s="8"/>
      <c r="L71" s="8"/>
      <c r="W71" s="8"/>
    </row>
    <row r="72" spans="1:30" x14ac:dyDescent="0.25">
      <c r="A72" s="129" t="s">
        <v>197</v>
      </c>
      <c r="B72" s="129"/>
      <c r="C72" s="129"/>
      <c r="D72" s="129"/>
      <c r="I72" s="8"/>
      <c r="L72" s="8"/>
      <c r="W72" s="8"/>
    </row>
    <row r="73" spans="1:30" x14ac:dyDescent="0.25">
      <c r="A73" s="5" t="s">
        <v>21</v>
      </c>
      <c r="D73" s="5" t="str">
        <f>_xlfn.CONCAT(K73, U73)</f>
        <v>cooked split peas from step 1</v>
      </c>
      <c r="I73" s="11"/>
      <c r="U73" s="8" t="s">
        <v>198</v>
      </c>
      <c r="W73" s="8"/>
    </row>
    <row r="74" spans="1:30" x14ac:dyDescent="0.25">
      <c r="A74" s="5" t="s">
        <v>21</v>
      </c>
      <c r="C74" s="4" t="str">
        <f>IF(L74="","",L74)</f>
        <v/>
      </c>
      <c r="D74" s="5" t="str">
        <f>_xlfn.CONCAT(K74, U74)</f>
        <v>cooked potatoes from step 1. Should be soft but recognisable when served</v>
      </c>
      <c r="I74" s="11"/>
      <c r="J74" s="12"/>
      <c r="L74" s="12"/>
      <c r="M74" s="12"/>
      <c r="N74" s="12"/>
      <c r="O74" s="12"/>
      <c r="P74" s="12"/>
      <c r="U74" s="8" t="s">
        <v>199</v>
      </c>
      <c r="W74" s="8"/>
    </row>
    <row r="75" spans="1:30" x14ac:dyDescent="0.25">
      <c r="A75" s="5" t="s">
        <v>21</v>
      </c>
      <c r="D75" s="5" t="str">
        <f>_xlfn.CONCAT(K75, U75)</f>
        <v>NOTE: sauce will form around potatoes and peas</v>
      </c>
      <c r="I75" s="11"/>
      <c r="U75" s="8" t="s">
        <v>177</v>
      </c>
    </row>
    <row r="76" spans="1:30" ht="15.75" x14ac:dyDescent="0.25">
      <c r="A76" s="130" t="s">
        <v>507</v>
      </c>
      <c r="B76" s="130"/>
      <c r="C76" s="130"/>
      <c r="D76" s="130"/>
      <c r="E76" s="24" t="s">
        <v>100</v>
      </c>
      <c r="F76" s="39" t="s">
        <v>66</v>
      </c>
      <c r="G76" s="39"/>
    </row>
    <row r="77" spans="1:30" ht="24" x14ac:dyDescent="0.2">
      <c r="A77" s="130" t="s">
        <v>23</v>
      </c>
      <c r="B77" s="130"/>
      <c r="C77" s="130"/>
      <c r="D77" s="130"/>
      <c r="E77" s="6" t="s">
        <v>39</v>
      </c>
      <c r="F77" s="37">
        <v>11</v>
      </c>
      <c r="I77" s="33" t="s">
        <v>355</v>
      </c>
      <c r="J77" s="34" t="s">
        <v>356</v>
      </c>
      <c r="K77" s="34" t="s">
        <v>17</v>
      </c>
      <c r="L77" s="35" t="s">
        <v>359</v>
      </c>
      <c r="M77" s="33" t="s">
        <v>115</v>
      </c>
      <c r="N77" s="33" t="s">
        <v>116</v>
      </c>
      <c r="O77" s="33" t="s">
        <v>357</v>
      </c>
      <c r="P77" s="33" t="s">
        <v>358</v>
      </c>
      <c r="Q77" s="34" t="s">
        <v>286</v>
      </c>
      <c r="R77" s="33" t="s">
        <v>287</v>
      </c>
      <c r="S77" s="33" t="s">
        <v>288</v>
      </c>
      <c r="T77" s="33" t="s">
        <v>289</v>
      </c>
      <c r="U77" s="34" t="s">
        <v>22</v>
      </c>
      <c r="V77" s="34" t="s">
        <v>169</v>
      </c>
      <c r="W77" s="36" t="s">
        <v>286</v>
      </c>
      <c r="X77" s="34" t="s">
        <v>167</v>
      </c>
      <c r="Y77" s="34" t="s">
        <v>168</v>
      </c>
      <c r="Z77" s="34" t="s">
        <v>263</v>
      </c>
      <c r="AA77" s="34" t="s">
        <v>170</v>
      </c>
      <c r="AB77" s="36" t="s">
        <v>286</v>
      </c>
      <c r="AC77" s="34" t="s">
        <v>171</v>
      </c>
      <c r="AD77" s="34" t="s">
        <v>172</v>
      </c>
    </row>
    <row r="78" spans="1:30" ht="16.5" thickBot="1" x14ac:dyDescent="0.3">
      <c r="A78" s="131" t="str">
        <f>_xlfn.CONCAT(F78," servings")</f>
        <v>12 servings</v>
      </c>
      <c r="B78" s="131"/>
      <c r="C78" s="131"/>
      <c r="D78" s="131"/>
      <c r="E78" s="29" t="s">
        <v>281</v>
      </c>
      <c r="F78" s="37">
        <f>wkndRegDinner</f>
        <v>12</v>
      </c>
      <c r="G78" s="11"/>
      <c r="I78" s="26"/>
      <c r="J78" s="6"/>
      <c r="K78" s="6"/>
      <c r="L78" s="27"/>
      <c r="M78" s="26"/>
      <c r="N78" s="26"/>
      <c r="O78" s="26"/>
      <c r="P78" s="26"/>
      <c r="Q78" s="6"/>
      <c r="R78" s="26"/>
      <c r="S78" s="26"/>
      <c r="T78" s="26"/>
      <c r="U78" s="6"/>
      <c r="W78" s="130" t="s">
        <v>521</v>
      </c>
      <c r="X78" s="130"/>
      <c r="Y78" s="130"/>
      <c r="Z78" s="130"/>
      <c r="AB78" s="130" t="s">
        <v>522</v>
      </c>
      <c r="AC78" s="130"/>
      <c r="AD78" s="130"/>
    </row>
    <row r="79" spans="1:30" s="41" customFormat="1" ht="16.5" thickBot="1" x14ac:dyDescent="0.3">
      <c r="A79" s="129"/>
      <c r="B79" s="129"/>
      <c r="C79" s="129"/>
      <c r="D79" s="129"/>
      <c r="E79" s="29" t="s">
        <v>284</v>
      </c>
      <c r="F79" s="14">
        <f>F78/F77</f>
        <v>1.0909090909090908</v>
      </c>
      <c r="G79" s="15" t="s">
        <v>294</v>
      </c>
      <c r="I79" s="26"/>
      <c r="J79" s="39"/>
      <c r="K79" s="39"/>
      <c r="L79" s="27"/>
      <c r="M79" s="26"/>
      <c r="N79" s="26"/>
      <c r="O79" s="26"/>
      <c r="P79" s="26"/>
      <c r="Q79" s="39"/>
      <c r="R79" s="26"/>
      <c r="S79" s="26"/>
      <c r="T79" s="26"/>
      <c r="U79" s="39"/>
      <c r="W79" s="130" t="str">
        <f>A76</f>
        <v>SATURDAY DINNER</v>
      </c>
      <c r="X79" s="130"/>
      <c r="Y79" s="130"/>
      <c r="Z79" s="130"/>
      <c r="AB79" s="130" t="str">
        <f>A76</f>
        <v>SATURDAY DINNER</v>
      </c>
      <c r="AC79" s="130"/>
      <c r="AD79" s="130"/>
    </row>
    <row r="80" spans="1:30" ht="15.75" x14ac:dyDescent="0.25">
      <c r="A80" s="129" t="s">
        <v>18</v>
      </c>
      <c r="B80" s="129"/>
      <c r="C80" s="129"/>
      <c r="D80" s="129"/>
      <c r="E80" s="30"/>
      <c r="F80" s="30"/>
      <c r="G80" s="30"/>
      <c r="H80" s="11"/>
      <c r="I80" s="11"/>
      <c r="W80" s="130" t="str">
        <f>A77</f>
        <v>GYPSY SOUP</v>
      </c>
      <c r="X80" s="130"/>
      <c r="Y80" s="130"/>
      <c r="Z80" s="130"/>
      <c r="AA80" s="41"/>
      <c r="AB80" s="130" t="str">
        <f>A77</f>
        <v>GYPSY SOUP</v>
      </c>
      <c r="AC80" s="130"/>
      <c r="AD80" s="130"/>
    </row>
    <row r="81" spans="1:30" ht="15.75" thickBot="1" x14ac:dyDescent="0.3">
      <c r="A81" s="5" t="s">
        <v>21</v>
      </c>
      <c r="B81" s="16">
        <f>Q81</f>
        <v>2</v>
      </c>
      <c r="C81" s="4" t="str">
        <f>IF(L81="","",L81)</f>
        <v>cup</v>
      </c>
      <c r="D81" s="5" t="str">
        <f>_xlfn.CONCAT(K81, U81)</f>
        <v>chickpeas. Soaked by Tenzo the night before. Rinse and drain first</v>
      </c>
      <c r="E81" s="29" t="s">
        <v>273</v>
      </c>
      <c r="F81" s="30">
        <f>wkndRegDinner</f>
        <v>12</v>
      </c>
      <c r="G81" s="30"/>
      <c r="H81" s="17"/>
      <c r="I81" s="18">
        <v>1.75</v>
      </c>
      <c r="J81" s="19" t="s">
        <v>16</v>
      </c>
      <c r="K81" s="19" t="s">
        <v>68</v>
      </c>
      <c r="L81" s="20" t="s">
        <v>16</v>
      </c>
      <c r="M81" s="11">
        <f>INDEX(itemGPerQty, MATCH(K81, itemNames, 0))</f>
        <v>0.76300000000000001</v>
      </c>
      <c r="N81" s="11">
        <f>INDEX(itemMlPerQty, MATCH(K81, itemNames, 0))</f>
        <v>0.946353</v>
      </c>
      <c r="O81" s="11">
        <f>IF(J81 = "", I81 * M81, IF(ISNA(CONVERT(I81, J81, "kg")), CONVERT(I81, J81, "l") * IF(N81 &lt;&gt; 0, M81 / N81, 0), CONVERT(I81, J81, "kg")))</f>
        <v>0.33381248095227151</v>
      </c>
      <c r="P81" s="11">
        <f>IF(J81 = "", I81 * N81, IF(ISNA(CONVERT(I81, J81, "l")), CONVERT(I81, J81, "kg") * IF(M81 &lt;&gt; 0, N81 / M81, 0), CONVERT(I81, J81, "l")))</f>
        <v>0.41402941387499997</v>
      </c>
      <c r="Q81" s="11">
        <f>MROUND(IF(L81 = "", IF(J81 = "", I81, IF(M81 &lt;&gt; 0, O81 / M81, P81 / N81)) * recipe02DayScale, IF(ISNA(CONVERT(O81, "kg", L81)), CONVERT(P81 * recipe02DayScale, "l", L81), CONVERT(O81 * recipe02DayScale, "kg", L81))), roundTo)</f>
        <v>2</v>
      </c>
      <c r="R81" s="11">
        <f>recipe02TotScale * IF(L81 = "", Q81 * M81, IF(ISNA(CONVERT(Q81, L81, "kg")), CONVERT(Q81, L81, "l") * IF(N81 &lt;&gt; 0, M81 / N81, 0), CONVERT(Q81, L81, "kg")))</f>
        <v>0.38149997823116744</v>
      </c>
      <c r="S81" s="11">
        <f>recipe02TotScale * IF(R81 = 0, IF(L81 = "", Q81 * N81, IF(ISNA(CONVERT(Q81, L81, "l")), CONVERT(Q81, L81, "kg") * IF(M81 &lt;&gt; 0, N81 / M81, 0), CONVERT(Q81, L81, "l"))), 0)</f>
        <v>0</v>
      </c>
      <c r="T81" s="11">
        <f>recipe02TotScale * IF(AND(R81 = 0, S81 = 0, J81 = "", L81 = ""), Q81, 0)</f>
        <v>0</v>
      </c>
      <c r="U81" s="8" t="s">
        <v>201</v>
      </c>
      <c r="V81" s="8" t="b">
        <f>INDEX(itemPrepMethods, MATCH(K81, itemNames, 0))="chop"</f>
        <v>0</v>
      </c>
      <c r="W81" s="21" t="str">
        <f>IF(V81, Q81, "")</f>
        <v/>
      </c>
      <c r="X81" s="22" t="str">
        <f>IF(V81, IF(L81 = "", "", L81), "")</f>
        <v/>
      </c>
      <c r="Y81" s="22" t="str">
        <f>IF(V81, K81, "")</f>
        <v/>
      </c>
      <c r="Z81" s="23"/>
      <c r="AA81" s="8" t="b">
        <f>INDEX(itemPrepMethods, MATCH(K81, itemNames, 0))="soak"</f>
        <v>1</v>
      </c>
      <c r="AB81" s="22">
        <f>IF(AA81, Q81, "")</f>
        <v>2</v>
      </c>
      <c r="AC81" s="22" t="str">
        <f>IF(AA81, IF(L81 = "", "", L81), "")</f>
        <v>cup</v>
      </c>
      <c r="AD81" s="22" t="str">
        <f>IF(AA81, K81, "")</f>
        <v>chickpeas</v>
      </c>
    </row>
    <row r="82" spans="1:30" ht="15.75" thickBot="1" x14ac:dyDescent="0.3">
      <c r="A82" s="129"/>
      <c r="B82" s="129"/>
      <c r="C82" s="129"/>
      <c r="D82" s="129"/>
      <c r="E82" s="29" t="s">
        <v>285</v>
      </c>
      <c r="F82" s="14">
        <f>F81/F78</f>
        <v>1</v>
      </c>
      <c r="G82" s="15" t="s">
        <v>295</v>
      </c>
      <c r="I82" s="11"/>
      <c r="M82" s="8"/>
      <c r="N82" s="8"/>
      <c r="O82" s="8"/>
      <c r="P82" s="8"/>
      <c r="W82" s="21"/>
      <c r="X82" s="21"/>
      <c r="Y82" s="21"/>
      <c r="Z82" s="21"/>
      <c r="AA82" s="30"/>
      <c r="AB82" s="21"/>
      <c r="AC82" s="21"/>
      <c r="AD82" s="21"/>
    </row>
    <row r="83" spans="1:30" x14ac:dyDescent="0.25">
      <c r="A83" s="129" t="s">
        <v>178</v>
      </c>
      <c r="B83" s="129"/>
      <c r="C83" s="129"/>
      <c r="D83" s="129"/>
      <c r="I83" s="11"/>
      <c r="M83" s="8"/>
      <c r="N83" s="8"/>
      <c r="O83" s="8"/>
      <c r="P83" s="8"/>
      <c r="W83" s="21"/>
      <c r="X83" s="21"/>
      <c r="Y83" s="21"/>
      <c r="Z83" s="21"/>
      <c r="AA83" s="30"/>
      <c r="AB83" s="21"/>
      <c r="AC83" s="21"/>
      <c r="AD83" s="21"/>
    </row>
    <row r="84" spans="1:30" x14ac:dyDescent="0.25">
      <c r="A84" s="5" t="s">
        <v>21</v>
      </c>
      <c r="B84" s="16">
        <f t="shared" ref="B84:B86" si="130">Q84</f>
        <v>1.5</v>
      </c>
      <c r="C84" s="4" t="str">
        <f>IF(L84="","",L84)</f>
        <v>cup</v>
      </c>
      <c r="D84" s="5" t="str">
        <f>_xlfn.CONCAT(K84, U84)</f>
        <v>diced celery stalks</v>
      </c>
      <c r="I84" s="18">
        <v>3</v>
      </c>
      <c r="J84" s="19"/>
      <c r="K84" s="19" t="s">
        <v>72</v>
      </c>
      <c r="L84" s="20" t="s">
        <v>16</v>
      </c>
      <c r="M84" s="11">
        <f>INDEX(itemGPerQty, MATCH(K84, itemNames, 0))</f>
        <v>5.4666666666666669E-2</v>
      </c>
      <c r="N84" s="11">
        <f>INDEX(itemMlPerQty, MATCH(K84, itemNames, 0))</f>
        <v>0.11</v>
      </c>
      <c r="O84" s="11">
        <f t="shared" ref="O84:O86" si="131">IF(J84 = "", I84 * M84, IF(ISNA(CONVERT(I84, J84, "kg")), CONVERT(I84, J84, "l") * IF(N84 &lt;&gt; 0, M84 / N84, 0), CONVERT(I84, J84, "kg")))</f>
        <v>0.16400000000000001</v>
      </c>
      <c r="P84" s="11">
        <f t="shared" ref="P84:P86" si="132">IF(J84 = "", I84 * N84, IF(ISNA(CONVERT(I84, J84, "l")), CONVERT(I84, J84, "kg") * IF(M84 &lt;&gt; 0, N84 / M84, 0), CONVERT(I84, J84, "l")))</f>
        <v>0.33</v>
      </c>
      <c r="Q84" s="11">
        <f>MROUND(IF(L84 = "", IF(J84 = "", I84, IF(M84 &lt;&gt; 0, O84 / M84, P84 / N84)) * recipe02DayScale, IF(ISNA(CONVERT(O84, "kg", L84)), CONVERT(P84 * recipe02DayScale, "l", L84), CONVERT(O84 * recipe02DayScale, "kg", L84))), roundTo)</f>
        <v>1.5</v>
      </c>
      <c r="R84" s="11">
        <f>recipe02TotScale * IF(L84 = "", Q84 * M84, IF(ISNA(CONVERT(Q84, L84, "kg")), CONVERT(Q84, L84, "l") * IF(N84 &lt;&gt; 0, M84 / N84, 0), CONVERT(Q84, L84, "kg")))</f>
        <v>0.1763657763</v>
      </c>
      <c r="S84" s="11">
        <f>recipe02TotScale * IF(R84 = 0, IF(L84 = "", Q84 * N84, IF(ISNA(CONVERT(Q84, L84, "l")), CONVERT(Q84, L84, "kg") * IF(M84 &lt;&gt; 0, N84 / M84, 0), CONVERT(Q84, L84, "l"))), 0)</f>
        <v>0</v>
      </c>
      <c r="T84" s="11">
        <f>recipe02TotScale * IF(AND(R84 = 0, S84 = 0, J84 = "", L84 = ""), Q84, 0)</f>
        <v>0</v>
      </c>
      <c r="V84" s="8" t="b">
        <f>INDEX(itemPrepMethods, MATCH(K84, itemNames, 0))="chop"</f>
        <v>1</v>
      </c>
      <c r="W84" s="21">
        <f>IF(V84, Q84, "")</f>
        <v>1.5</v>
      </c>
      <c r="X84" s="22" t="str">
        <f>IF(V84, IF(L84 = "", "", L84), "")</f>
        <v>cup</v>
      </c>
      <c r="Y84" s="22" t="str">
        <f>IF(V84, K84, "")</f>
        <v>diced celery stalks</v>
      </c>
      <c r="Z84" s="23"/>
      <c r="AA84" s="8" t="b">
        <f>INDEX(itemPrepMethods, MATCH(K84, itemNames, 0))="soak"</f>
        <v>0</v>
      </c>
      <c r="AB84" s="22" t="str">
        <f>IF(AA84, Q84, "")</f>
        <v/>
      </c>
      <c r="AC84" s="22" t="str">
        <f>IF(AA84, IF(L84 = "", "", L84), "")</f>
        <v/>
      </c>
      <c r="AD84" s="22" t="str">
        <f>IF(AA84, K84, "")</f>
        <v/>
      </c>
    </row>
    <row r="85" spans="1:30" x14ac:dyDescent="0.25">
      <c r="A85" s="5" t="s">
        <v>21</v>
      </c>
      <c r="B85" s="16">
        <f t="shared" si="130"/>
        <v>1.75</v>
      </c>
      <c r="C85" s="4" t="str">
        <f>IF(L85="","",L85)</f>
        <v>lt</v>
      </c>
      <c r="D85" s="5" t="str">
        <f>_xlfn.CONCAT(K85, U85)</f>
        <v>diced carrots</v>
      </c>
      <c r="I85" s="18">
        <v>8</v>
      </c>
      <c r="J85" s="19"/>
      <c r="K85" s="19" t="s">
        <v>71</v>
      </c>
      <c r="L85" s="20" t="s">
        <v>542</v>
      </c>
      <c r="M85" s="11">
        <f>INDEX(itemGPerQty, MATCH(K85, itemNames, 0))</f>
        <v>0.1265</v>
      </c>
      <c r="N85" s="11">
        <f>INDEX(itemMlPerQty, MATCH(K85, itemNames, 0))</f>
        <v>0.2</v>
      </c>
      <c r="O85" s="11">
        <f t="shared" si="131"/>
        <v>1.012</v>
      </c>
      <c r="P85" s="11">
        <f t="shared" si="132"/>
        <v>1.6</v>
      </c>
      <c r="Q85" s="11">
        <f>MROUND(IF(L85 = "", IF(J85 = "", I85, IF(M85 &lt;&gt; 0, O85 / M85, P85 / N85)) * recipe02DayScale, IF(ISNA(CONVERT(O85, "kg", L85)), CONVERT(P85 * recipe02DayScale, "l", L85), CONVERT(O85 * recipe02DayScale, "kg", L85))), roundTo)</f>
        <v>1.75</v>
      </c>
      <c r="R85" s="11">
        <f>recipe02TotScale * IF(L85 = "", Q85 * M85, IF(ISNA(CONVERT(Q85, L85, "kg")), CONVERT(Q85, L85, "l") * IF(N85 &lt;&gt; 0, M85 / N85, 0), CONVERT(Q85, L85, "kg")))</f>
        <v>1.1068749999999998</v>
      </c>
      <c r="S85" s="11">
        <f>recipe02TotScale * IF(R85 = 0, IF(L85 = "", Q85 * N85, IF(ISNA(CONVERT(Q85, L85, "l")), CONVERT(Q85, L85, "kg") * IF(M85 &lt;&gt; 0, N85 / M85, 0), CONVERT(Q85, L85, "l"))), 0)</f>
        <v>0</v>
      </c>
      <c r="T85" s="11">
        <f>recipe02TotScale * IF(AND(R85 = 0, S85 = 0, J85 = "", L85 = ""), Q85, 0)</f>
        <v>0</v>
      </c>
      <c r="V85" s="8" t="b">
        <f>INDEX(itemPrepMethods, MATCH(K85, itemNames, 0))="chop"</f>
        <v>1</v>
      </c>
      <c r="W85" s="21">
        <f>IF(V85, Q85, "")</f>
        <v>1.75</v>
      </c>
      <c r="X85" s="22" t="str">
        <f>IF(V85, IF(L85 = "", "", L85), "")</f>
        <v>lt</v>
      </c>
      <c r="Y85" s="22" t="str">
        <f>IF(V85, K85, "")</f>
        <v>diced carrots</v>
      </c>
      <c r="Z85" s="23"/>
      <c r="AA85" s="8" t="b">
        <f>INDEX(itemPrepMethods, MATCH(K85, itemNames, 0))="soak"</f>
        <v>0</v>
      </c>
      <c r="AB85" s="22" t="str">
        <f>IF(AA85, Q85, "")</f>
        <v/>
      </c>
      <c r="AC85" s="22" t="str">
        <f>IF(AA85, IF(L85 = "", "", L85), "")</f>
        <v/>
      </c>
      <c r="AD85" s="22" t="str">
        <f>IF(AA85, K85, "")</f>
        <v/>
      </c>
    </row>
    <row r="86" spans="1:30" x14ac:dyDescent="0.25">
      <c r="A86" s="5" t="s">
        <v>21</v>
      </c>
      <c r="B86" s="16">
        <f t="shared" si="130"/>
        <v>2.25</v>
      </c>
      <c r="C86" s="4" t="str">
        <f>IF(L86="","",L86)</f>
        <v>tsp</v>
      </c>
      <c r="D86" s="5" t="str">
        <f>_xlfn.CONCAT(K86, U86)</f>
        <v>salt</v>
      </c>
      <c r="I86" s="18">
        <v>2</v>
      </c>
      <c r="J86" s="19" t="s">
        <v>13</v>
      </c>
      <c r="K86" s="19" t="s">
        <v>11</v>
      </c>
      <c r="L86" s="20" t="s">
        <v>13</v>
      </c>
      <c r="M86" s="11">
        <f>INDEX(itemGPerQty, MATCH(K86, itemNames, 0))</f>
        <v>2.5000000000000001E-2</v>
      </c>
      <c r="N86" s="11">
        <f>INDEX(itemMlPerQty, MATCH(K86, itemNames, 0))</f>
        <v>2.2180100000000001E-2</v>
      </c>
      <c r="O86" s="11">
        <f t="shared" si="131"/>
        <v>1.111113474184066E-2</v>
      </c>
      <c r="P86" s="11">
        <f t="shared" si="132"/>
        <v>9.8578431874999997E-3</v>
      </c>
      <c r="Q86" s="11">
        <f>MROUND(IF(L86 = "", IF(J86 = "", I86, IF(M86 &lt;&gt; 0, O86 / M86, P86 / N86)) * recipe02DayScale, IF(ISNA(CONVERT(O86, "kg", L86)), CONVERT(P86 * recipe02DayScale, "l", L86), CONVERT(O86 * recipe02DayScale, "kg", L86))), roundTo)</f>
        <v>2.25</v>
      </c>
      <c r="R86" s="11">
        <f>recipe02TotScale * IF(L86 = "", Q86 * M86, IF(ISNA(CONVERT(Q86, L86, "kg")), CONVERT(Q86, L86, "l") * IF(N86 &lt;&gt; 0, M86 / N86, 0), CONVERT(Q86, L86, "kg")))</f>
        <v>1.2500026584570742E-2</v>
      </c>
      <c r="S86" s="11">
        <f>recipe02TotScale * IF(R86 = 0, IF(L86 = "", Q86 * N86, IF(ISNA(CONVERT(Q86, L86, "l")), CONVERT(Q86, L86, "kg") * IF(M86 &lt;&gt; 0, N86 / M86, 0), CONVERT(Q86, L86, "l"))), 0)</f>
        <v>0</v>
      </c>
      <c r="T86" s="11">
        <f>recipe02TotScale * IF(AND(R86 = 0, S86 = 0, J86 = "", L86 = ""), Q86, 0)</f>
        <v>0</v>
      </c>
      <c r="V86" s="8" t="b">
        <f>INDEX(itemPrepMethods, MATCH(K86, itemNames, 0))="chop"</f>
        <v>0</v>
      </c>
      <c r="W86" s="21" t="str">
        <f>IF(V86, Q86, "")</f>
        <v/>
      </c>
      <c r="X86" s="22" t="str">
        <f>IF(V86, IF(L86 = "", "", L86), "")</f>
        <v/>
      </c>
      <c r="Y86" s="22" t="str">
        <f>IF(V86, K86, "")</f>
        <v/>
      </c>
      <c r="Z86" s="23"/>
      <c r="AA86" s="8" t="b">
        <f>INDEX(itemPrepMethods, MATCH(K86, itemNames, 0))="soak"</f>
        <v>0</v>
      </c>
      <c r="AB86" s="22" t="str">
        <f>IF(AA86, Q86, "")</f>
        <v/>
      </c>
      <c r="AC86" s="22" t="str">
        <f>IF(AA86, IF(L86 = "", "", L86), "")</f>
        <v/>
      </c>
      <c r="AD86" s="22" t="str">
        <f>IF(AA86, K86, "")</f>
        <v/>
      </c>
    </row>
    <row r="87" spans="1:30" x14ac:dyDescent="0.25">
      <c r="A87" s="129"/>
      <c r="B87" s="129"/>
      <c r="C87" s="129"/>
      <c r="D87" s="129"/>
      <c r="I87" s="11"/>
      <c r="M87" s="8"/>
      <c r="N87" s="8"/>
      <c r="O87" s="8"/>
      <c r="P87" s="8"/>
      <c r="W87" s="21"/>
      <c r="X87" s="21"/>
      <c r="Y87" s="21"/>
      <c r="Z87" s="21"/>
      <c r="AA87" s="30"/>
      <c r="AB87" s="21"/>
      <c r="AC87" s="21"/>
      <c r="AD87" s="21"/>
    </row>
    <row r="88" spans="1:30" x14ac:dyDescent="0.25">
      <c r="A88" s="129" t="s">
        <v>179</v>
      </c>
      <c r="B88" s="129"/>
      <c r="C88" s="129"/>
      <c r="D88" s="129"/>
      <c r="I88" s="11"/>
      <c r="M88" s="8"/>
      <c r="N88" s="8"/>
      <c r="O88" s="8"/>
      <c r="P88" s="8"/>
      <c r="W88" s="21"/>
      <c r="X88" s="21"/>
      <c r="Y88" s="21"/>
      <c r="Z88" s="21"/>
      <c r="AA88" s="30"/>
      <c r="AB88" s="21"/>
      <c r="AC88" s="21"/>
      <c r="AD88" s="21"/>
    </row>
    <row r="89" spans="1:30" x14ac:dyDescent="0.25">
      <c r="A89" s="5" t="s">
        <v>21</v>
      </c>
      <c r="B89" s="16">
        <f t="shared" ref="B89:B94" si="133">Q89</f>
        <v>3.25</v>
      </c>
      <c r="C89" s="4" t="str">
        <f t="shared" ref="C89:C94" si="134">IF(L89="","",L89)</f>
        <v>tsp</v>
      </c>
      <c r="D89" s="5" t="str">
        <f t="shared" ref="D89:D94" si="135">_xlfn.CONCAT(K89, U89)</f>
        <v>paprika</v>
      </c>
      <c r="I89" s="18">
        <v>3</v>
      </c>
      <c r="J89" s="19" t="s">
        <v>13</v>
      </c>
      <c r="K89" s="19" t="s">
        <v>74</v>
      </c>
      <c r="L89" s="20" t="s">
        <v>13</v>
      </c>
      <c r="M89" s="11">
        <f t="shared" ref="M89:M94" si="136">INDEX(itemGPerQty, MATCH(K89, itemNames, 0))</f>
        <v>1.2E-2</v>
      </c>
      <c r="N89" s="11">
        <f t="shared" ref="N89:N94" si="137">INDEX(itemMlPerQty, MATCH(K89, itemNames, 0))</f>
        <v>2.2180100000000001E-2</v>
      </c>
      <c r="O89" s="11">
        <f t="shared" ref="O89:O94" si="138">IF(J89 = "", I89 * M89, IF(ISNA(CONVERT(I89, J89, "kg")), CONVERT(I89, J89, "l") * IF(N89 &lt;&gt; 0, M89 / N89, 0), CONVERT(I89, J89, "kg")))</f>
        <v>8.0000170141252738E-3</v>
      </c>
      <c r="P89" s="11">
        <f t="shared" ref="P89:P94" si="139">IF(J89 = "", I89 * N89, IF(ISNA(CONVERT(I89, J89, "l")), CONVERT(I89, J89, "kg") * IF(M89 &lt;&gt; 0, N89 / M89, 0), CONVERT(I89, J89, "l")))</f>
        <v>1.478676478125E-2</v>
      </c>
      <c r="Q89" s="11">
        <f t="shared" ref="Q89:Q94" si="140">MROUND(IF(L89 = "", IF(J89 = "", I89, IF(M89 &lt;&gt; 0, O89 / M89, P89 / N89)) * recipe02DayScale, IF(ISNA(CONVERT(O89, "kg", L89)), CONVERT(P89 * recipe02DayScale, "l", L89), CONVERT(O89 * recipe02DayScale, "kg", L89))), roundTo)</f>
        <v>3.25</v>
      </c>
      <c r="R89" s="11">
        <f t="shared" ref="R89:R94" si="141">recipe02TotScale * IF(L89 = "", Q89 * M89, IF(ISNA(CONVERT(Q89, L89, "kg")), CONVERT(Q89, L89, "l") * IF(N89 &lt;&gt; 0, M89 / N89, 0), CONVERT(Q89, L89, "kg")))</f>
        <v>8.6666850986357128E-3</v>
      </c>
      <c r="S89" s="11">
        <f t="shared" ref="S89:S94" si="142">recipe02TotScale * IF(R89 = 0, IF(L89 = "", Q89 * N89, IF(ISNA(CONVERT(Q89, L89, "l")), CONVERT(Q89, L89, "kg") * IF(M89 &lt;&gt; 0, N89 / M89, 0), CONVERT(Q89, L89, "l"))), 0)</f>
        <v>0</v>
      </c>
      <c r="T89" s="11">
        <f t="shared" ref="T89:T94" si="143">recipe02TotScale * IF(AND(R89 = 0, S89 = 0, J89 = "", L89 = ""), Q89, 0)</f>
        <v>0</v>
      </c>
      <c r="V89" s="8" t="b">
        <f t="shared" ref="V89:V94" si="144">INDEX(itemPrepMethods, MATCH(K89, itemNames, 0))="chop"</f>
        <v>0</v>
      </c>
      <c r="W89" s="21" t="str">
        <f t="shared" ref="W89:W94" si="145">IF(V89, Q89, "")</f>
        <v/>
      </c>
      <c r="X89" s="22" t="str">
        <f t="shared" ref="X89:X94" si="146">IF(V89, IF(L89 = "", "", L89), "")</f>
        <v/>
      </c>
      <c r="Y89" s="22" t="str">
        <f t="shared" ref="Y89:Y94" si="147">IF(V89, K89, "")</f>
        <v/>
      </c>
      <c r="Z89" s="23"/>
      <c r="AA89" s="8" t="b">
        <f t="shared" ref="AA89:AA94" si="148">INDEX(itemPrepMethods, MATCH(K89, itemNames, 0))="soak"</f>
        <v>0</v>
      </c>
      <c r="AB89" s="22" t="str">
        <f t="shared" ref="AB89:AB94" si="149">IF(AA89, Q89, "")</f>
        <v/>
      </c>
      <c r="AC89" s="22" t="str">
        <f t="shared" ref="AC89:AC94" si="150">IF(AA89, IF(L89 = "", "", L89), "")</f>
        <v/>
      </c>
      <c r="AD89" s="22" t="str">
        <f t="shared" ref="AD89:AD94" si="151">IF(AA89, K89, "")</f>
        <v/>
      </c>
    </row>
    <row r="90" spans="1:30" x14ac:dyDescent="0.25">
      <c r="A90" s="5" t="s">
        <v>21</v>
      </c>
      <c r="B90" s="16">
        <f t="shared" si="133"/>
        <v>2.25</v>
      </c>
      <c r="C90" s="4" t="str">
        <f t="shared" si="134"/>
        <v>tsp</v>
      </c>
      <c r="D90" s="5" t="str">
        <f t="shared" si="135"/>
        <v>ground turmeric</v>
      </c>
      <c r="I90" s="18">
        <v>2</v>
      </c>
      <c r="J90" s="19" t="s">
        <v>13</v>
      </c>
      <c r="K90" s="19" t="s">
        <v>266</v>
      </c>
      <c r="L90" s="20" t="s">
        <v>13</v>
      </c>
      <c r="M90" s="11">
        <f t="shared" si="136"/>
        <v>1.4E-2</v>
      </c>
      <c r="N90" s="11">
        <f t="shared" si="137"/>
        <v>2.2180100000000001E-2</v>
      </c>
      <c r="O90" s="11">
        <f t="shared" si="138"/>
        <v>6.2222354554307691E-3</v>
      </c>
      <c r="P90" s="11">
        <f t="shared" si="139"/>
        <v>9.8578431874999997E-3</v>
      </c>
      <c r="Q90" s="11">
        <f t="shared" si="140"/>
        <v>2.25</v>
      </c>
      <c r="R90" s="11">
        <f t="shared" si="141"/>
        <v>7.0000148873596143E-3</v>
      </c>
      <c r="S90" s="11">
        <f t="shared" si="142"/>
        <v>0</v>
      </c>
      <c r="T90" s="11">
        <f t="shared" si="143"/>
        <v>0</v>
      </c>
      <c r="V90" s="8" t="b">
        <f t="shared" si="144"/>
        <v>0</v>
      </c>
      <c r="W90" s="21" t="str">
        <f t="shared" si="145"/>
        <v/>
      </c>
      <c r="X90" s="22" t="str">
        <f t="shared" si="146"/>
        <v/>
      </c>
      <c r="Y90" s="22" t="str">
        <f t="shared" si="147"/>
        <v/>
      </c>
      <c r="Z90" s="23"/>
      <c r="AA90" s="8" t="b">
        <f t="shared" si="148"/>
        <v>0</v>
      </c>
      <c r="AB90" s="22" t="str">
        <f t="shared" si="149"/>
        <v/>
      </c>
      <c r="AC90" s="22" t="str">
        <f t="shared" si="150"/>
        <v/>
      </c>
      <c r="AD90" s="22" t="str">
        <f t="shared" si="151"/>
        <v/>
      </c>
    </row>
    <row r="91" spans="1:30" x14ac:dyDescent="0.25">
      <c r="A91" s="5" t="s">
        <v>21</v>
      </c>
      <c r="B91" s="16">
        <f t="shared" si="133"/>
        <v>2.25</v>
      </c>
      <c r="C91" s="4" t="str">
        <f t="shared" si="134"/>
        <v>tsp</v>
      </c>
      <c r="D91" s="5" t="str">
        <f t="shared" si="135"/>
        <v>dried basil</v>
      </c>
      <c r="I91" s="18">
        <v>2</v>
      </c>
      <c r="J91" s="19" t="s">
        <v>13</v>
      </c>
      <c r="K91" s="19" t="s">
        <v>75</v>
      </c>
      <c r="L91" s="20" t="s">
        <v>13</v>
      </c>
      <c r="M91" s="11">
        <f t="shared" si="136"/>
        <v>3.0000000000000001E-3</v>
      </c>
      <c r="N91" s="11">
        <f t="shared" si="137"/>
        <v>2.2180100000000001E-2</v>
      </c>
      <c r="O91" s="11">
        <f t="shared" si="138"/>
        <v>1.333336169020879E-3</v>
      </c>
      <c r="P91" s="11">
        <f t="shared" si="139"/>
        <v>9.8578431874999997E-3</v>
      </c>
      <c r="Q91" s="11">
        <f t="shared" si="140"/>
        <v>2.25</v>
      </c>
      <c r="R91" s="11">
        <f t="shared" si="141"/>
        <v>1.5000031901484889E-3</v>
      </c>
      <c r="S91" s="11">
        <f t="shared" si="142"/>
        <v>0</v>
      </c>
      <c r="T91" s="11">
        <f t="shared" si="143"/>
        <v>0</v>
      </c>
      <c r="V91" s="8" t="b">
        <f t="shared" si="144"/>
        <v>0</v>
      </c>
      <c r="W91" s="21" t="str">
        <f t="shared" si="145"/>
        <v/>
      </c>
      <c r="X91" s="22" t="str">
        <f t="shared" si="146"/>
        <v/>
      </c>
      <c r="Y91" s="22" t="str">
        <f t="shared" si="147"/>
        <v/>
      </c>
      <c r="Z91" s="23"/>
      <c r="AA91" s="8" t="b">
        <f t="shared" si="148"/>
        <v>0</v>
      </c>
      <c r="AB91" s="22" t="str">
        <f t="shared" si="149"/>
        <v/>
      </c>
      <c r="AC91" s="22" t="str">
        <f t="shared" si="150"/>
        <v/>
      </c>
      <c r="AD91" s="22" t="str">
        <f t="shared" si="151"/>
        <v/>
      </c>
    </row>
    <row r="92" spans="1:30" x14ac:dyDescent="0.25">
      <c r="A92" s="5" t="s">
        <v>21</v>
      </c>
      <c r="B92" s="16">
        <f t="shared" si="133"/>
        <v>0.5</v>
      </c>
      <c r="C92" s="4" t="str">
        <f t="shared" si="134"/>
        <v>tsp</v>
      </c>
      <c r="D92" s="5" t="str">
        <f t="shared" si="135"/>
        <v>cinnamon</v>
      </c>
      <c r="I92" s="18">
        <v>0.5</v>
      </c>
      <c r="J92" s="19" t="s">
        <v>13</v>
      </c>
      <c r="K92" s="19" t="s">
        <v>76</v>
      </c>
      <c r="L92" s="20" t="s">
        <v>13</v>
      </c>
      <c r="M92" s="11">
        <f t="shared" si="136"/>
        <v>1.0999999999999999E-2</v>
      </c>
      <c r="N92" s="11">
        <f t="shared" si="137"/>
        <v>2.2180100000000001E-2</v>
      </c>
      <c r="O92" s="11">
        <f t="shared" si="138"/>
        <v>1.2222248216024723E-3</v>
      </c>
      <c r="P92" s="11">
        <f t="shared" si="139"/>
        <v>2.4644607968749999E-3</v>
      </c>
      <c r="Q92" s="11">
        <f t="shared" si="140"/>
        <v>0.5</v>
      </c>
      <c r="R92" s="11">
        <f t="shared" si="141"/>
        <v>1.2222248216024723E-3</v>
      </c>
      <c r="S92" s="11">
        <f t="shared" si="142"/>
        <v>0</v>
      </c>
      <c r="T92" s="11">
        <f t="shared" si="143"/>
        <v>0</v>
      </c>
      <c r="V92" s="8" t="b">
        <f t="shared" si="144"/>
        <v>0</v>
      </c>
      <c r="W92" s="21" t="str">
        <f t="shared" si="145"/>
        <v/>
      </c>
      <c r="X92" s="22" t="str">
        <f t="shared" si="146"/>
        <v/>
      </c>
      <c r="Y92" s="22" t="str">
        <f t="shared" si="147"/>
        <v/>
      </c>
      <c r="Z92" s="23"/>
      <c r="AA92" s="8" t="b">
        <f t="shared" si="148"/>
        <v>0</v>
      </c>
      <c r="AB92" s="22" t="str">
        <f t="shared" si="149"/>
        <v/>
      </c>
      <c r="AC92" s="22" t="str">
        <f t="shared" si="150"/>
        <v/>
      </c>
      <c r="AD92" s="22" t="str">
        <f t="shared" si="151"/>
        <v/>
      </c>
    </row>
    <row r="93" spans="1:30" x14ac:dyDescent="0.25">
      <c r="A93" s="5" t="s">
        <v>21</v>
      </c>
      <c r="B93" s="16">
        <f t="shared" si="133"/>
        <v>2.25</v>
      </c>
      <c r="C93" s="4" t="str">
        <f t="shared" si="134"/>
        <v/>
      </c>
      <c r="D93" s="5" t="str">
        <f t="shared" si="135"/>
        <v>bay leaves</v>
      </c>
      <c r="I93" s="18">
        <v>2</v>
      </c>
      <c r="J93" s="19"/>
      <c r="K93" s="19" t="s">
        <v>62</v>
      </c>
      <c r="L93" s="20"/>
      <c r="M93" s="11">
        <f t="shared" si="136"/>
        <v>0</v>
      </c>
      <c r="N93" s="11">
        <f t="shared" si="137"/>
        <v>0</v>
      </c>
      <c r="O93" s="11">
        <f t="shared" si="138"/>
        <v>0</v>
      </c>
      <c r="P93" s="11">
        <f t="shared" si="139"/>
        <v>0</v>
      </c>
      <c r="Q93" s="11">
        <f t="shared" si="140"/>
        <v>2.25</v>
      </c>
      <c r="R93" s="11">
        <f t="shared" si="141"/>
        <v>0</v>
      </c>
      <c r="S93" s="11">
        <f t="shared" si="142"/>
        <v>0</v>
      </c>
      <c r="T93" s="11">
        <f t="shared" si="143"/>
        <v>2.25</v>
      </c>
      <c r="V93" s="8" t="b">
        <f t="shared" si="144"/>
        <v>0</v>
      </c>
      <c r="W93" s="21" t="str">
        <f t="shared" si="145"/>
        <v/>
      </c>
      <c r="X93" s="22" t="str">
        <f t="shared" si="146"/>
        <v/>
      </c>
      <c r="Y93" s="22" t="str">
        <f t="shared" si="147"/>
        <v/>
      </c>
      <c r="Z93" s="23"/>
      <c r="AA93" s="8" t="b">
        <f t="shared" si="148"/>
        <v>0</v>
      </c>
      <c r="AB93" s="22" t="str">
        <f t="shared" si="149"/>
        <v/>
      </c>
      <c r="AC93" s="22" t="str">
        <f t="shared" si="150"/>
        <v/>
      </c>
      <c r="AD93" s="22" t="str">
        <f t="shared" si="151"/>
        <v/>
      </c>
    </row>
    <row r="94" spans="1:30" x14ac:dyDescent="0.25">
      <c r="A94" s="5" t="s">
        <v>21</v>
      </c>
      <c r="B94" s="16">
        <f t="shared" si="133"/>
        <v>2</v>
      </c>
      <c r="C94" s="4" t="str">
        <f t="shared" si="134"/>
        <v>lt</v>
      </c>
      <c r="D94" s="5" t="str">
        <f t="shared" si="135"/>
        <v>water, approximately</v>
      </c>
      <c r="I94" s="18">
        <v>8</v>
      </c>
      <c r="J94" s="19" t="s">
        <v>16</v>
      </c>
      <c r="K94" s="19" t="s">
        <v>33</v>
      </c>
      <c r="L94" s="20" t="s">
        <v>542</v>
      </c>
      <c r="M94" s="11">
        <f t="shared" si="136"/>
        <v>1</v>
      </c>
      <c r="N94" s="11">
        <f t="shared" si="137"/>
        <v>1</v>
      </c>
      <c r="O94" s="11">
        <f t="shared" si="138"/>
        <v>1.8927058919999999</v>
      </c>
      <c r="P94" s="11">
        <f t="shared" si="139"/>
        <v>1.8927058919999999</v>
      </c>
      <c r="Q94" s="11">
        <f t="shared" si="140"/>
        <v>2</v>
      </c>
      <c r="R94" s="11">
        <f t="shared" si="141"/>
        <v>2</v>
      </c>
      <c r="S94" s="11">
        <f t="shared" si="142"/>
        <v>0</v>
      </c>
      <c r="T94" s="11">
        <f t="shared" si="143"/>
        <v>0</v>
      </c>
      <c r="U94" s="8" t="s">
        <v>183</v>
      </c>
      <c r="V94" s="8" t="b">
        <f t="shared" si="144"/>
        <v>0</v>
      </c>
      <c r="W94" s="21" t="str">
        <f t="shared" si="145"/>
        <v/>
      </c>
      <c r="X94" s="22" t="str">
        <f t="shared" si="146"/>
        <v/>
      </c>
      <c r="Y94" s="22" t="str">
        <f t="shared" si="147"/>
        <v/>
      </c>
      <c r="Z94" s="23"/>
      <c r="AA94" s="8" t="b">
        <f t="shared" si="148"/>
        <v>0</v>
      </c>
      <c r="AB94" s="22" t="str">
        <f t="shared" si="149"/>
        <v/>
      </c>
      <c r="AC94" s="22" t="str">
        <f t="shared" si="150"/>
        <v/>
      </c>
      <c r="AD94" s="22" t="str">
        <f t="shared" si="151"/>
        <v/>
      </c>
    </row>
    <row r="95" spans="1:30" x14ac:dyDescent="0.25">
      <c r="A95" s="129"/>
      <c r="B95" s="129"/>
      <c r="C95" s="129"/>
      <c r="D95" s="129"/>
      <c r="I95" s="11"/>
      <c r="M95" s="8"/>
      <c r="N95" s="8"/>
      <c r="O95" s="8"/>
      <c r="P95" s="8"/>
      <c r="W95" s="21"/>
      <c r="X95" s="21"/>
      <c r="Y95" s="21"/>
      <c r="Z95" s="21"/>
      <c r="AA95" s="30"/>
      <c r="AB95" s="21"/>
      <c r="AC95" s="21"/>
      <c r="AD95" s="21"/>
    </row>
    <row r="96" spans="1:30" x14ac:dyDescent="0.25">
      <c r="A96" s="129" t="s">
        <v>180</v>
      </c>
      <c r="B96" s="129"/>
      <c r="C96" s="129"/>
      <c r="D96" s="129"/>
      <c r="I96" s="11"/>
      <c r="M96" s="8"/>
      <c r="N96" s="8"/>
      <c r="O96" s="8"/>
      <c r="P96" s="8"/>
      <c r="W96" s="21"/>
      <c r="X96" s="21"/>
      <c r="Y96" s="21"/>
      <c r="Z96" s="21"/>
      <c r="AA96" s="30"/>
      <c r="AB96" s="21"/>
      <c r="AC96" s="21"/>
      <c r="AD96" s="21"/>
    </row>
    <row r="97" spans="1:30" x14ac:dyDescent="0.25">
      <c r="A97" s="129"/>
      <c r="B97" s="129"/>
      <c r="C97" s="129"/>
      <c r="D97" s="129"/>
      <c r="I97" s="11"/>
      <c r="M97" s="8"/>
      <c r="N97" s="8"/>
      <c r="O97" s="8"/>
      <c r="P97" s="8"/>
      <c r="W97" s="21"/>
      <c r="X97" s="21"/>
      <c r="Y97" s="21"/>
      <c r="Z97" s="21"/>
      <c r="AA97" s="30"/>
      <c r="AB97" s="21"/>
      <c r="AC97" s="21"/>
      <c r="AD97" s="21"/>
    </row>
    <row r="98" spans="1:30" x14ac:dyDescent="0.25">
      <c r="A98" s="129" t="s">
        <v>181</v>
      </c>
      <c r="B98" s="129"/>
      <c r="C98" s="129"/>
      <c r="D98" s="129"/>
      <c r="I98" s="11"/>
      <c r="M98" s="8"/>
      <c r="N98" s="8"/>
      <c r="O98" s="8"/>
      <c r="P98" s="8"/>
      <c r="W98" s="21"/>
      <c r="X98" s="21"/>
      <c r="Y98" s="21"/>
      <c r="Z98" s="21"/>
      <c r="AA98" s="30"/>
      <c r="AB98" s="21"/>
      <c r="AC98" s="21"/>
      <c r="AD98" s="21"/>
    </row>
    <row r="99" spans="1:30" x14ac:dyDescent="0.25">
      <c r="A99" s="5" t="s">
        <v>21</v>
      </c>
      <c r="B99" s="16">
        <f t="shared" ref="B99" si="152">Q99</f>
        <v>2.75</v>
      </c>
      <c r="C99" s="4" t="str">
        <f>IF(L99="","",L99)</f>
        <v>cup</v>
      </c>
      <c r="D99" s="5" t="str">
        <f>_xlfn.CONCAT(K99, U99)</f>
        <v>diced green capsicums</v>
      </c>
      <c r="I99" s="18">
        <v>2</v>
      </c>
      <c r="J99" s="19"/>
      <c r="K99" s="19" t="s">
        <v>182</v>
      </c>
      <c r="L99" s="20" t="s">
        <v>16</v>
      </c>
      <c r="M99" s="11">
        <f>INDEX(itemGPerQty, MATCH(K99, itemNames, 0))</f>
        <v>0.223</v>
      </c>
      <c r="N99" s="11">
        <f>INDEX(itemMlPerQty, MATCH(K99, itemNames, 0))</f>
        <v>0.29573529999999998</v>
      </c>
      <c r="O99" s="11">
        <f t="shared" ref="O99" si="153">IF(J99 = "", I99 * M99, IF(ISNA(CONVERT(I99, J99, "kg")), CONVERT(I99, J99, "l") * IF(N99 &lt;&gt; 0, M99 / N99, 0), CONVERT(I99, J99, "kg")))</f>
        <v>0.44600000000000001</v>
      </c>
      <c r="P99" s="11">
        <f t="shared" ref="P99" si="154">IF(J99 = "", I99 * N99, IF(ISNA(CONVERT(I99, J99, "l")), CONVERT(I99, J99, "kg") * IF(M99 &lt;&gt; 0, N99 / M99, 0), CONVERT(I99, J99, "l")))</f>
        <v>0.59147059999999996</v>
      </c>
      <c r="Q99" s="11">
        <f>MROUND(IF(L99 = "", IF(J99 = "", I99, IF(M99 &lt;&gt; 0, O99 / M99, P99 / N99)) * recipe02DayScale, IF(ISNA(CONVERT(O99, "kg", L99)), CONVERT(P99 * recipe02DayScale, "l", L99), CONVERT(O99 * recipe02DayScale, "kg", L99))), roundTo)</f>
        <v>2.75</v>
      </c>
      <c r="R99" s="11">
        <f>recipe02TotScale * IF(L99 = "", Q99 * M99, IF(ISNA(CONVERT(Q99, L99, "kg")), CONVERT(Q99, L99, "l") * IF(N99 &lt;&gt; 0, M99 / N99, 0), CONVERT(Q99, L99, "kg")))</f>
        <v>0.49059999274224286</v>
      </c>
      <c r="S99" s="11">
        <f>recipe02TotScale * IF(R99 = 0, IF(L99 = "", Q99 * N99, IF(ISNA(CONVERT(Q99, L99, "l")), CONVERT(Q99, L99, "kg") * IF(M99 &lt;&gt; 0, N99 / M99, 0), CONVERT(Q99, L99, "l"))), 0)</f>
        <v>0</v>
      </c>
      <c r="T99" s="11">
        <f>recipe02TotScale * IF(AND(R99 = 0, S99 = 0, J99 = "", L99 = ""), Q99, 0)</f>
        <v>0</v>
      </c>
      <c r="V99" s="8" t="b">
        <f>INDEX(itemPrepMethods, MATCH(K99, itemNames, 0))="chop"</f>
        <v>1</v>
      </c>
      <c r="W99" s="21">
        <f>IF(V99, Q99, "")</f>
        <v>2.75</v>
      </c>
      <c r="X99" s="22" t="str">
        <f>IF(V99, IF(L99 = "", "", L99), "")</f>
        <v>cup</v>
      </c>
      <c r="Y99" s="22" t="str">
        <f>IF(V99, K99, "")</f>
        <v>diced green capsicums</v>
      </c>
      <c r="Z99" s="23"/>
      <c r="AA99" s="8" t="b">
        <f>INDEX(itemPrepMethods, MATCH(K99, itemNames, 0))="soak"</f>
        <v>0</v>
      </c>
      <c r="AB99" s="22" t="str">
        <f>IF(AA99, Q99, "")</f>
        <v/>
      </c>
      <c r="AC99" s="22" t="str">
        <f>IF(AA99, IF(L99 = "", "", L99), "")</f>
        <v/>
      </c>
      <c r="AD99" s="22" t="str">
        <f>IF(AA99, K99, "")</f>
        <v/>
      </c>
    </row>
    <row r="100" spans="1:30" x14ac:dyDescent="0.25">
      <c r="A100" s="129"/>
      <c r="B100" s="129"/>
      <c r="C100" s="129"/>
      <c r="D100" s="129"/>
      <c r="I100" s="11"/>
      <c r="M100" s="8"/>
      <c r="N100" s="8"/>
      <c r="O100" s="8"/>
      <c r="P100" s="8"/>
    </row>
    <row r="101" spans="1:30" x14ac:dyDescent="0.25">
      <c r="A101" s="129" t="s">
        <v>184</v>
      </c>
      <c r="B101" s="129"/>
      <c r="C101" s="129"/>
      <c r="D101" s="129"/>
      <c r="I101" s="11"/>
      <c r="M101" s="8"/>
      <c r="N101" s="8"/>
      <c r="O101" s="8"/>
      <c r="P101" s="8"/>
    </row>
    <row r="102" spans="1:30" x14ac:dyDescent="0.25">
      <c r="A102" s="5" t="s">
        <v>21</v>
      </c>
      <c r="D102" s="5" t="s">
        <v>78</v>
      </c>
      <c r="I102" s="11"/>
      <c r="M102" s="8"/>
      <c r="N102" s="8"/>
      <c r="O102" s="8"/>
      <c r="P102" s="8"/>
    </row>
    <row r="103" spans="1:30" ht="15.75" x14ac:dyDescent="0.25">
      <c r="A103" s="130" t="s">
        <v>508</v>
      </c>
      <c r="B103" s="130"/>
      <c r="C103" s="130"/>
      <c r="D103" s="130"/>
      <c r="E103" s="7" t="s">
        <v>106</v>
      </c>
      <c r="F103" s="40" t="s">
        <v>53</v>
      </c>
      <c r="G103" s="40"/>
      <c r="I103" s="11"/>
    </row>
    <row r="104" spans="1:30" ht="24" x14ac:dyDescent="0.2">
      <c r="A104" s="130" t="s">
        <v>230</v>
      </c>
      <c r="B104" s="130"/>
      <c r="C104" s="130"/>
      <c r="D104" s="130"/>
      <c r="E104" s="6" t="s">
        <v>39</v>
      </c>
      <c r="F104" s="37">
        <v>21</v>
      </c>
      <c r="G104" s="11"/>
      <c r="H104" s="11"/>
      <c r="I104" s="33" t="s">
        <v>355</v>
      </c>
      <c r="J104" s="34" t="s">
        <v>356</v>
      </c>
      <c r="K104" s="34" t="s">
        <v>17</v>
      </c>
      <c r="L104" s="35" t="s">
        <v>359</v>
      </c>
      <c r="M104" s="33" t="s">
        <v>115</v>
      </c>
      <c r="N104" s="33" t="s">
        <v>116</v>
      </c>
      <c r="O104" s="33" t="s">
        <v>357</v>
      </c>
      <c r="P104" s="33" t="s">
        <v>358</v>
      </c>
      <c r="Q104" s="34" t="s">
        <v>286</v>
      </c>
      <c r="R104" s="33" t="s">
        <v>287</v>
      </c>
      <c r="S104" s="33" t="s">
        <v>288</v>
      </c>
      <c r="T104" s="33" t="s">
        <v>289</v>
      </c>
      <c r="U104" s="34" t="s">
        <v>22</v>
      </c>
      <c r="V104" s="34" t="s">
        <v>169</v>
      </c>
      <c r="W104" s="36" t="s">
        <v>286</v>
      </c>
      <c r="X104" s="34" t="s">
        <v>167</v>
      </c>
      <c r="Y104" s="34" t="s">
        <v>168</v>
      </c>
      <c r="Z104" s="34" t="s">
        <v>263</v>
      </c>
      <c r="AA104" s="34" t="s">
        <v>170</v>
      </c>
      <c r="AB104" s="36" t="s">
        <v>286</v>
      </c>
      <c r="AC104" s="34" t="s">
        <v>171</v>
      </c>
      <c r="AD104" s="34" t="s">
        <v>172</v>
      </c>
    </row>
    <row r="105" spans="1:30" ht="16.5" thickBot="1" x14ac:dyDescent="0.3">
      <c r="A105" s="131" t="str">
        <f>_xlfn.CONCAT(F105," servings")</f>
        <v>12 servings</v>
      </c>
      <c r="B105" s="131"/>
      <c r="C105" s="131"/>
      <c r="D105" s="131"/>
      <c r="E105" s="29" t="s">
        <v>281</v>
      </c>
      <c r="F105" s="37">
        <f>wkndRegLunch</f>
        <v>12</v>
      </c>
      <c r="G105" s="11"/>
      <c r="H105" s="17"/>
      <c r="I105" s="26"/>
      <c r="J105" s="6"/>
      <c r="K105" s="6"/>
      <c r="L105" s="27"/>
      <c r="M105" s="26"/>
      <c r="N105" s="26"/>
      <c r="O105" s="26"/>
      <c r="P105" s="26"/>
      <c r="U105" s="6"/>
      <c r="W105" s="130" t="s">
        <v>521</v>
      </c>
      <c r="X105" s="130"/>
      <c r="Y105" s="130"/>
      <c r="Z105" s="130"/>
      <c r="AB105" s="130" t="s">
        <v>522</v>
      </c>
      <c r="AC105" s="130"/>
      <c r="AD105" s="130"/>
    </row>
    <row r="106" spans="1:30" s="41" customFormat="1" ht="16.5" thickBot="1" x14ac:dyDescent="0.3">
      <c r="A106" s="129"/>
      <c r="B106" s="129"/>
      <c r="C106" s="129"/>
      <c r="D106" s="129"/>
      <c r="E106" s="29" t="s">
        <v>284</v>
      </c>
      <c r="F106" s="14">
        <f>F105/F104</f>
        <v>0.5714285714285714</v>
      </c>
      <c r="G106" s="15" t="s">
        <v>296</v>
      </c>
      <c r="H106" s="17"/>
      <c r="I106" s="26"/>
      <c r="J106" s="39"/>
      <c r="K106" s="39"/>
      <c r="L106" s="27"/>
      <c r="M106" s="26"/>
      <c r="N106" s="26"/>
      <c r="O106" s="26"/>
      <c r="P106" s="26"/>
      <c r="Q106" s="11"/>
      <c r="R106" s="11"/>
      <c r="S106" s="11"/>
      <c r="T106" s="11"/>
      <c r="U106" s="39"/>
      <c r="W106" s="130" t="str">
        <f>A103</f>
        <v>SUNDAY LUNCH</v>
      </c>
      <c r="X106" s="130"/>
      <c r="Y106" s="130"/>
      <c r="Z106" s="130"/>
      <c r="AB106" s="130" t="str">
        <f>A103</f>
        <v>SUNDAY LUNCH</v>
      </c>
      <c r="AC106" s="130"/>
      <c r="AD106" s="130"/>
    </row>
    <row r="107" spans="1:30" ht="15.75" x14ac:dyDescent="0.25">
      <c r="A107" s="129" t="s">
        <v>209</v>
      </c>
      <c r="B107" s="129"/>
      <c r="C107" s="129"/>
      <c r="D107" s="129"/>
      <c r="E107" s="30"/>
      <c r="F107" s="30"/>
      <c r="G107" s="30"/>
      <c r="H107" s="17"/>
      <c r="I107" s="26"/>
      <c r="J107" s="6"/>
      <c r="K107" s="6"/>
      <c r="L107" s="27"/>
      <c r="M107" s="26"/>
      <c r="N107" s="26"/>
      <c r="O107" s="26"/>
      <c r="P107" s="26"/>
      <c r="U107" s="6"/>
      <c r="W107" s="130" t="str">
        <f>A104</f>
        <v>RED LENTIL DAHL</v>
      </c>
      <c r="X107" s="130"/>
      <c r="Y107" s="130"/>
      <c r="Z107" s="130"/>
      <c r="AA107" s="41"/>
      <c r="AB107" s="130" t="str">
        <f>A104</f>
        <v>RED LENTIL DAHL</v>
      </c>
      <c r="AC107" s="130"/>
      <c r="AD107" s="130"/>
    </row>
    <row r="108" spans="1:30" ht="15.75" thickBot="1" x14ac:dyDescent="0.3">
      <c r="A108" s="5" t="s">
        <v>21</v>
      </c>
      <c r="B108" s="16">
        <f t="shared" ref="B108:B134" si="155">Q108</f>
        <v>4.25</v>
      </c>
      <c r="C108" s="4" t="str">
        <f t="shared" ref="C108:C139" si="156">IF(L108="","",L108)</f>
        <v>cup</v>
      </c>
      <c r="D108" s="5" t="str">
        <f>_xlfn.CONCAT(K108, U108)</f>
        <v>red lentils. Blot with paper towels or clean tea towels to get as dry as possible</v>
      </c>
      <c r="E108" s="29" t="s">
        <v>273</v>
      </c>
      <c r="F108" s="37">
        <f>wkndRegLunch</f>
        <v>12</v>
      </c>
      <c r="G108" s="30"/>
      <c r="I108" s="25">
        <v>7.5</v>
      </c>
      <c r="J108" s="19" t="s">
        <v>16</v>
      </c>
      <c r="K108" s="19" t="s">
        <v>31</v>
      </c>
      <c r="L108" s="20" t="s">
        <v>16</v>
      </c>
      <c r="M108" s="11">
        <f t="shared" ref="M108:M134" si="157">INDEX(itemGPerQty, MATCH(K108, itemNames, 0))</f>
        <v>0.80800000000000005</v>
      </c>
      <c r="N108" s="11">
        <f t="shared" ref="N108:N134" si="158">INDEX(itemMlPerQty, MATCH(K108, itemNames, 0))</f>
        <v>0.946353</v>
      </c>
      <c r="O108" s="11">
        <f t="shared" ref="O108:O134" si="159">IF(J108 = "", I108 * M108, IF(ISNA(CONVERT(I108, J108, "kg")), CONVERT(I108, J108, "l") * IF(N108 &lt;&gt; 0, M108 / N108, 0), CONVERT(I108, J108, "kg")))</f>
        <v>1.5149999135523426</v>
      </c>
      <c r="P108" s="11">
        <f t="shared" ref="P108:P134" si="160">IF(J108 = "", I108 * N108, IF(ISNA(CONVERT(I108, J108, "l")), CONVERT(I108, J108, "kg") * IF(M108 &lt;&gt; 0, N108 / M108, 0), CONVERT(I108, J108, "l")))</f>
        <v>1.77441177375</v>
      </c>
      <c r="Q108" s="11">
        <f>MROUND(IF(L108 = "", IF(J108 = "", I108, IF(M108 &lt;&gt; 0, O108 / M108, P108 / N108)) * recipe08DayScale, IF(ISNA(CONVERT(O108, "kg", L108)), CONVERT(P108 * recipe08DayScale, "l", L108), CONVERT(O108 * recipe08DayScale, "kg", L108))), roundTo)</f>
        <v>4.25</v>
      </c>
      <c r="R108" s="11">
        <f>recipe08TotScale * IF(L108 = "", Q108 * M108, IF(ISNA(CONVERT(Q108, L108, "kg")), CONVERT(Q108, L108, "l") * IF(N108 &lt;&gt; 0, M108 / N108, 0), CONVERT(Q108, L108, "kg")))</f>
        <v>0.85849995101299414</v>
      </c>
      <c r="S108" s="11">
        <f>recipe08TotScale * IF(R108 = 0, IF(L108 = "", Q108 * N108, IF(ISNA(CONVERT(Q108, L108, "l")), CONVERT(Q108, L108, "kg") * IF(M108 &lt;&gt; 0, N108 / M108, 0), CONVERT(Q108, L108, "l"))), 0)</f>
        <v>0</v>
      </c>
      <c r="T108" s="11">
        <f>recipe08TotScale * IF(AND(R108 = 0, S108 = 0, J108 = "", L108 = ""), Q108, 0)</f>
        <v>0</v>
      </c>
      <c r="U108" s="8" t="s">
        <v>185</v>
      </c>
      <c r="V108" s="8" t="b">
        <f>INDEX(itemPrepMethods, MATCH(K108, itemNames, 0))="chop"</f>
        <v>0</v>
      </c>
      <c r="W108" s="21" t="str">
        <f>IF(V108, Q108, "")</f>
        <v/>
      </c>
      <c r="X108" s="22" t="str">
        <f>IF(V108, IF(L108 = "", "", L108), "")</f>
        <v/>
      </c>
      <c r="Y108" s="22" t="str">
        <f>IF(V108, K108, "")</f>
        <v/>
      </c>
      <c r="Z108" s="23"/>
      <c r="AA108" s="8" t="b">
        <f>INDEX(itemPrepMethods, MATCH(K108, itemNames, 0))="soak"</f>
        <v>1</v>
      </c>
      <c r="AB108" s="22">
        <f>IF(AA108, Q108, "")</f>
        <v>4.25</v>
      </c>
      <c r="AC108" s="22" t="str">
        <f>IF(AA108, IF(L108 = "", "", L108), "")</f>
        <v>cup</v>
      </c>
      <c r="AD108" s="22" t="str">
        <f>IF(AA108, K108, "")</f>
        <v>red lentils</v>
      </c>
    </row>
    <row r="109" spans="1:30" ht="15.75" thickBot="1" x14ac:dyDescent="0.3">
      <c r="A109" s="129"/>
      <c r="B109" s="129"/>
      <c r="C109" s="129"/>
      <c r="D109" s="129"/>
      <c r="E109" s="29" t="s">
        <v>285</v>
      </c>
      <c r="F109" s="14">
        <f>F108/F105</f>
        <v>1</v>
      </c>
      <c r="G109" s="15" t="s">
        <v>297</v>
      </c>
      <c r="I109" s="11"/>
      <c r="M109" s="8"/>
      <c r="N109" s="8"/>
      <c r="O109" s="8"/>
      <c r="P109" s="8"/>
      <c r="W109" s="21"/>
      <c r="X109" s="21"/>
      <c r="Y109" s="21"/>
      <c r="Z109" s="21"/>
      <c r="AA109" s="30"/>
      <c r="AB109" s="21"/>
      <c r="AC109" s="21"/>
      <c r="AD109" s="21"/>
    </row>
    <row r="110" spans="1:30" x14ac:dyDescent="0.25">
      <c r="A110" s="129" t="s">
        <v>205</v>
      </c>
      <c r="B110" s="129"/>
      <c r="C110" s="129"/>
      <c r="D110" s="129"/>
      <c r="I110" s="11"/>
      <c r="M110" s="8"/>
      <c r="N110" s="8"/>
      <c r="O110" s="8"/>
      <c r="P110" s="8"/>
      <c r="W110" s="21"/>
      <c r="X110" s="21"/>
      <c r="Y110" s="21"/>
      <c r="Z110" s="21"/>
      <c r="AA110" s="30"/>
      <c r="AB110" s="21"/>
      <c r="AC110" s="21"/>
      <c r="AD110" s="21"/>
    </row>
    <row r="111" spans="1:30" x14ac:dyDescent="0.25">
      <c r="A111" s="5" t="s">
        <v>21</v>
      </c>
      <c r="D111" s="5" t="str">
        <f>_xlfn.CONCAT(K111, U111)</f>
        <v>washed lentils from step 1</v>
      </c>
      <c r="I111" s="11"/>
      <c r="U111" s="8" t="s">
        <v>202</v>
      </c>
      <c r="W111" s="21"/>
      <c r="X111" s="21"/>
      <c r="Y111" s="21"/>
      <c r="Z111" s="21"/>
      <c r="AA111" s="30"/>
      <c r="AB111" s="21"/>
      <c r="AC111" s="21"/>
      <c r="AD111" s="21"/>
    </row>
    <row r="112" spans="1:30" x14ac:dyDescent="0.25">
      <c r="A112" s="5" t="s">
        <v>21</v>
      </c>
      <c r="B112" s="16">
        <f t="shared" si="155"/>
        <v>1.5</v>
      </c>
      <c r="C112" s="4" t="str">
        <f t="shared" si="156"/>
        <v>tbs</v>
      </c>
      <c r="D112" s="5" t="str">
        <f>_xlfn.CONCAT(K112, U112)</f>
        <v>ground turmeric</v>
      </c>
      <c r="I112" s="25">
        <v>7.5</v>
      </c>
      <c r="J112" s="19" t="s">
        <v>13</v>
      </c>
      <c r="K112" s="19" t="s">
        <v>266</v>
      </c>
      <c r="L112" s="20" t="s">
        <v>15</v>
      </c>
      <c r="M112" s="11">
        <f t="shared" si="157"/>
        <v>1.4E-2</v>
      </c>
      <c r="N112" s="11">
        <f t="shared" si="158"/>
        <v>2.2180100000000001E-2</v>
      </c>
      <c r="O112" s="11">
        <f t="shared" si="159"/>
        <v>2.3333382957865384E-2</v>
      </c>
      <c r="P112" s="11">
        <f t="shared" si="160"/>
        <v>3.6966911953125001E-2</v>
      </c>
      <c r="Q112" s="11">
        <f>MROUND(IF(L112 = "", IF(J112 = "", I112, IF(M112 &lt;&gt; 0, O112 / M112, P112 / N112)) * recipe08DayScale, IF(ISNA(CONVERT(O112, "kg", L112)), CONVERT(P112 * recipe08DayScale, "l", L112), CONVERT(O112 * recipe08DayScale, "kg", L112))), roundTo)</f>
        <v>1.5</v>
      </c>
      <c r="R112" s="11">
        <f>recipe08TotScale * IF(L112 = "", Q112 * M112, IF(ISNA(CONVERT(Q112, L112, "kg")), CONVERT(Q112, L112, "l") * IF(N112 &lt;&gt; 0, M112 / N112, 0), CONVERT(Q112, L112, "kg")))</f>
        <v>1.4000029774719229E-2</v>
      </c>
      <c r="S112" s="11">
        <f>recipe08TotScale * IF(R112 = 0, IF(L112 = "", Q112 * N112, IF(ISNA(CONVERT(Q112, L112, "l")), CONVERT(Q112, L112, "kg") * IF(M112 &lt;&gt; 0, N112 / M112, 0), CONVERT(Q112, L112, "l"))), 0)</f>
        <v>0</v>
      </c>
      <c r="T112" s="11">
        <f>recipe08TotScale * IF(AND(R112 = 0, S112 = 0, J112 = "", L112 = ""), Q112, 0)</f>
        <v>0</v>
      </c>
      <c r="V112" s="8" t="b">
        <f>INDEX(itemPrepMethods, MATCH(K112, itemNames, 0))="chop"</f>
        <v>0</v>
      </c>
      <c r="W112" s="21" t="str">
        <f>IF(V112, Q112, "")</f>
        <v/>
      </c>
      <c r="X112" s="22" t="str">
        <f>IF(V112, IF(L112 = "", "", L112), "")</f>
        <v/>
      </c>
      <c r="Y112" s="22" t="str">
        <f>IF(V112, K112, "")</f>
        <v/>
      </c>
      <c r="Z112" s="23"/>
      <c r="AA112" s="8" t="b">
        <f>INDEX(itemPrepMethods, MATCH(K112, itemNames, 0))="soak"</f>
        <v>0</v>
      </c>
      <c r="AB112" s="22" t="str">
        <f>IF(AA112, Q112, "")</f>
        <v/>
      </c>
      <c r="AC112" s="22" t="str">
        <f>IF(AA112, IF(L112 = "", "", L112), "")</f>
        <v/>
      </c>
      <c r="AD112" s="22" t="str">
        <f>IF(AA112, K112, "")</f>
        <v/>
      </c>
    </row>
    <row r="113" spans="1:30" x14ac:dyDescent="0.25">
      <c r="A113" s="5" t="s">
        <v>21</v>
      </c>
      <c r="B113" s="16">
        <f t="shared" si="155"/>
        <v>0.5</v>
      </c>
      <c r="C113" s="4" t="str">
        <f t="shared" si="156"/>
        <v>cup</v>
      </c>
      <c r="D113" s="5" t="str">
        <f>_xlfn.CONCAT(K113, U113)</f>
        <v>oil</v>
      </c>
      <c r="I113" s="25">
        <v>0.75</v>
      </c>
      <c r="J113" s="19" t="s">
        <v>16</v>
      </c>
      <c r="K113" s="19" t="s">
        <v>32</v>
      </c>
      <c r="L113" s="20" t="s">
        <v>16</v>
      </c>
      <c r="M113" s="11">
        <f t="shared" si="157"/>
        <v>0</v>
      </c>
      <c r="N113" s="11">
        <f t="shared" si="158"/>
        <v>0</v>
      </c>
      <c r="O113" s="11">
        <f t="shared" si="159"/>
        <v>0</v>
      </c>
      <c r="P113" s="11">
        <f t="shared" si="160"/>
        <v>0.17744117737499998</v>
      </c>
      <c r="Q113" s="11">
        <f>MROUND(IF(L113 = "", IF(J113 = "", I113, IF(M113 &lt;&gt; 0, O113 / M113, P113 / N113)) * recipe08DayScale, IF(ISNA(CONVERT(O113, "kg", L113)), CONVERT(P113 * recipe08DayScale, "l", L113), CONVERT(O113 * recipe08DayScale, "kg", L113))), roundTo)</f>
        <v>0.5</v>
      </c>
      <c r="R113" s="11">
        <f>recipe08TotScale * IF(L113 = "", Q113 * M113, IF(ISNA(CONVERT(Q113, L113, "kg")), CONVERT(Q113, L113, "l") * IF(N113 &lt;&gt; 0, M113 / N113, 0), CONVERT(Q113, L113, "kg")))</f>
        <v>0</v>
      </c>
      <c r="S113" s="11">
        <f>recipe08TotScale * IF(R113 = 0, IF(L113 = "", Q113 * N113, IF(ISNA(CONVERT(Q113, L113, "l")), CONVERT(Q113, L113, "kg") * IF(M113 &lt;&gt; 0, N113 / M113, 0), CONVERT(Q113, L113, "l"))), 0)</f>
        <v>0.11829411825</v>
      </c>
      <c r="T113" s="11">
        <f>recipe08TotScale * IF(AND(R113 = 0, S113 = 0, J113 = "", L113 = ""), Q113, 0)</f>
        <v>0</v>
      </c>
      <c r="V113" s="8" t="b">
        <f>INDEX(itemPrepMethods, MATCH(K113, itemNames, 0))="chop"</f>
        <v>0</v>
      </c>
      <c r="W113" s="21" t="str">
        <f>IF(V113, Q113, "")</f>
        <v/>
      </c>
      <c r="X113" s="22" t="str">
        <f>IF(V113, IF(L113 = "", "", L113), "")</f>
        <v/>
      </c>
      <c r="Y113" s="22" t="str">
        <f>IF(V113, K113, "")</f>
        <v/>
      </c>
      <c r="Z113" s="23"/>
      <c r="AA113" s="8" t="b">
        <f>INDEX(itemPrepMethods, MATCH(K113, itemNames, 0))="soak"</f>
        <v>0</v>
      </c>
      <c r="AB113" s="22" t="str">
        <f>IF(AA113, Q113, "")</f>
        <v/>
      </c>
      <c r="AC113" s="22" t="str">
        <f>IF(AA113, IF(L113 = "", "", L113), "")</f>
        <v/>
      </c>
      <c r="AD113" s="22" t="str">
        <f>IF(AA113, K113, "")</f>
        <v/>
      </c>
    </row>
    <row r="114" spans="1:30" x14ac:dyDescent="0.25">
      <c r="A114" s="129"/>
      <c r="B114" s="129"/>
      <c r="C114" s="129"/>
      <c r="D114" s="129"/>
      <c r="I114" s="11"/>
      <c r="M114" s="8"/>
      <c r="N114" s="8"/>
      <c r="O114" s="8"/>
      <c r="P114" s="8"/>
      <c r="W114" s="21"/>
      <c r="X114" s="21"/>
      <c r="Y114" s="21"/>
      <c r="Z114" s="21"/>
      <c r="AA114" s="30"/>
      <c r="AB114" s="21"/>
      <c r="AC114" s="21"/>
      <c r="AD114" s="21"/>
    </row>
    <row r="115" spans="1:30" x14ac:dyDescent="0.25">
      <c r="A115" s="129" t="s">
        <v>204</v>
      </c>
      <c r="B115" s="129"/>
      <c r="C115" s="129"/>
      <c r="D115" s="129"/>
      <c r="I115" s="11"/>
      <c r="M115" s="8"/>
      <c r="N115" s="8"/>
      <c r="O115" s="8"/>
      <c r="P115" s="8"/>
      <c r="W115" s="21"/>
      <c r="X115" s="21"/>
      <c r="Y115" s="21"/>
      <c r="Z115" s="21"/>
      <c r="AA115" s="30"/>
      <c r="AB115" s="21"/>
      <c r="AC115" s="21"/>
      <c r="AD115" s="21"/>
    </row>
    <row r="116" spans="1:30" x14ac:dyDescent="0.25">
      <c r="A116" s="5" t="s">
        <v>21</v>
      </c>
      <c r="B116" s="16">
        <f t="shared" si="155"/>
        <v>1.75</v>
      </c>
      <c r="C116" s="4" t="str">
        <f t="shared" si="156"/>
        <v/>
      </c>
      <c r="D116" s="5" t="str">
        <f>_xlfn.CONCAT(K116, U116)</f>
        <v>tinned chopped tomatoes, drained</v>
      </c>
      <c r="I116" s="25">
        <v>3</v>
      </c>
      <c r="J116" s="19"/>
      <c r="K116" s="19" t="s">
        <v>366</v>
      </c>
      <c r="L116" s="20"/>
      <c r="M116" s="11">
        <f t="shared" si="157"/>
        <v>0</v>
      </c>
      <c r="N116" s="11">
        <f t="shared" si="158"/>
        <v>0</v>
      </c>
      <c r="O116" s="11">
        <f t="shared" si="159"/>
        <v>0</v>
      </c>
      <c r="P116" s="11">
        <f t="shared" si="160"/>
        <v>0</v>
      </c>
      <c r="Q116" s="11">
        <f>MROUND(IF(L116 = "", IF(J116 = "", I116, IF(M116 &lt;&gt; 0, O116 / M116, P116 / N116)) * recipe08DayScale, IF(ISNA(CONVERT(O116, "kg", L116)), CONVERT(P116 * recipe08DayScale, "l", L116), CONVERT(O116 * recipe08DayScale, "kg", L116))), roundTo)</f>
        <v>1.75</v>
      </c>
      <c r="R116" s="11">
        <f>recipe08TotScale * IF(L116 = "", Q116 * M116, IF(ISNA(CONVERT(Q116, L116, "kg")), CONVERT(Q116, L116, "l") * IF(N116 &lt;&gt; 0, M116 / N116, 0), CONVERT(Q116, L116, "kg")))</f>
        <v>0</v>
      </c>
      <c r="S116" s="11">
        <f>recipe08TotScale * IF(R116 = 0, IF(L116 = "", Q116 * N116, IF(ISNA(CONVERT(Q116, L116, "l")), CONVERT(Q116, L116, "kg") * IF(M116 &lt;&gt; 0, N116 / M116, 0), CONVERT(Q116, L116, "l"))), 0)</f>
        <v>0</v>
      </c>
      <c r="T116" s="11">
        <f>recipe08TotScale * IF(AND(R116 = 0, S116 = 0, J116 = "", L116 = ""), Q116, 0)</f>
        <v>1.75</v>
      </c>
      <c r="U116" s="8" t="s">
        <v>187</v>
      </c>
      <c r="V116" s="8" t="b">
        <f>INDEX(itemPrepMethods, MATCH(K116, itemNames, 0))="chop"</f>
        <v>0</v>
      </c>
      <c r="W116" s="21" t="str">
        <f>IF(V116, Q116, "")</f>
        <v/>
      </c>
      <c r="X116" s="22" t="str">
        <f>IF(V116, IF(L116 = "", "", L116), "")</f>
        <v/>
      </c>
      <c r="Y116" s="22" t="str">
        <f>IF(V116, K116, "")</f>
        <v/>
      </c>
      <c r="Z116" s="23"/>
      <c r="AA116" s="8" t="b">
        <f>INDEX(itemPrepMethods, MATCH(K116, itemNames, 0))="soak"</f>
        <v>0</v>
      </c>
      <c r="AB116" s="22" t="str">
        <f>IF(AA116, Q116, "")</f>
        <v/>
      </c>
      <c r="AC116" s="22" t="str">
        <f>IF(AA116, IF(L116 = "", "", L116), "")</f>
        <v/>
      </c>
      <c r="AD116" s="22" t="str">
        <f>IF(AA116, K116, "")</f>
        <v/>
      </c>
    </row>
    <row r="117" spans="1:30" x14ac:dyDescent="0.25">
      <c r="A117" s="5" t="s">
        <v>21</v>
      </c>
      <c r="B117" s="16">
        <f t="shared" si="155"/>
        <v>1.75</v>
      </c>
      <c r="C117" s="4" t="str">
        <f t="shared" si="156"/>
        <v>lt</v>
      </c>
      <c r="D117" s="5" t="str">
        <f>_xlfn.CONCAT(K117, U117)</f>
        <v>chopped zucchini</v>
      </c>
      <c r="I117" s="25">
        <v>10</v>
      </c>
      <c r="J117" s="19"/>
      <c r="K117" s="19" t="s">
        <v>157</v>
      </c>
      <c r="L117" s="20" t="s">
        <v>542</v>
      </c>
      <c r="M117" s="11">
        <f t="shared" si="157"/>
        <v>0.161</v>
      </c>
      <c r="N117" s="11">
        <f t="shared" si="158"/>
        <v>0.315</v>
      </c>
      <c r="O117" s="11">
        <f t="shared" si="159"/>
        <v>1.61</v>
      </c>
      <c r="P117" s="11">
        <f t="shared" si="160"/>
        <v>3.15</v>
      </c>
      <c r="Q117" s="11">
        <f>MROUND(IF(L117 = "", IF(J117 = "", I117, IF(M117 &lt;&gt; 0, O117 / M117, P117 / N117)) * recipe08DayScale, IF(ISNA(CONVERT(O117, "kg", L117)), CONVERT(P117 * recipe08DayScale, "l", L117), CONVERT(O117 * recipe08DayScale, "kg", L117))), roundTo)</f>
        <v>1.75</v>
      </c>
      <c r="R117" s="11">
        <f>recipe08TotScale * IF(L117 = "", Q117 * M117, IF(ISNA(CONVERT(Q117, L117, "kg")), CONVERT(Q117, L117, "l") * IF(N117 &lt;&gt; 0, M117 / N117, 0), CONVERT(Q117, L117, "kg")))</f>
        <v>0.89444444444444438</v>
      </c>
      <c r="S117" s="11">
        <f>recipe08TotScale * IF(R117 = 0, IF(L117 = "", Q117 * N117, IF(ISNA(CONVERT(Q117, L117, "l")), CONVERT(Q117, L117, "kg") * IF(M117 &lt;&gt; 0, N117 / M117, 0), CONVERT(Q117, L117, "l"))), 0)</f>
        <v>0</v>
      </c>
      <c r="T117" s="11">
        <f>recipe08TotScale * IF(AND(R117 = 0, S117 = 0, J117 = "", L117 = ""), Q117, 0)</f>
        <v>0</v>
      </c>
      <c r="V117" s="8" t="b">
        <f>INDEX(itemPrepMethods, MATCH(K117, itemNames, 0))="chop"</f>
        <v>1</v>
      </c>
      <c r="W117" s="21">
        <f>IF(V117, Q117, "")</f>
        <v>1.75</v>
      </c>
      <c r="X117" s="22" t="str">
        <f>IF(V117, IF(L117 = "", "", L117), "")</f>
        <v>lt</v>
      </c>
      <c r="Y117" s="22" t="str">
        <f>IF(V117, K117, "")</f>
        <v>chopped zucchini</v>
      </c>
      <c r="Z117" s="23"/>
      <c r="AA117" s="8" t="b">
        <f>INDEX(itemPrepMethods, MATCH(K117, itemNames, 0))="soak"</f>
        <v>0</v>
      </c>
      <c r="AB117" s="22" t="str">
        <f>IF(AA117, Q117, "")</f>
        <v/>
      </c>
      <c r="AC117" s="22" t="str">
        <f>IF(AA117, IF(L117 = "", "", L117), "")</f>
        <v/>
      </c>
      <c r="AD117" s="22" t="str">
        <f>IF(AA117, K117, "")</f>
        <v/>
      </c>
    </row>
    <row r="118" spans="1:30" x14ac:dyDescent="0.25">
      <c r="A118" s="129"/>
      <c r="B118" s="129"/>
      <c r="C118" s="129"/>
      <c r="D118" s="129"/>
      <c r="I118" s="11"/>
      <c r="M118" s="8"/>
      <c r="N118" s="8"/>
      <c r="O118" s="8"/>
      <c r="P118" s="8"/>
      <c r="W118" s="21"/>
      <c r="X118" s="21"/>
      <c r="Y118" s="21"/>
      <c r="Z118" s="21"/>
      <c r="AA118" s="30"/>
      <c r="AB118" s="21"/>
      <c r="AC118" s="21"/>
      <c r="AD118" s="21"/>
    </row>
    <row r="119" spans="1:30" x14ac:dyDescent="0.25">
      <c r="A119" s="129" t="s">
        <v>186</v>
      </c>
      <c r="B119" s="129"/>
      <c r="C119" s="129"/>
      <c r="D119" s="129"/>
      <c r="I119" s="11"/>
      <c r="M119" s="8"/>
      <c r="N119" s="8"/>
      <c r="O119" s="8"/>
      <c r="P119" s="8"/>
      <c r="W119" s="21"/>
      <c r="X119" s="21"/>
      <c r="Y119" s="21"/>
      <c r="Z119" s="21"/>
      <c r="AA119" s="30"/>
      <c r="AB119" s="21"/>
      <c r="AC119" s="21"/>
      <c r="AD119" s="21"/>
    </row>
    <row r="120" spans="1:30" x14ac:dyDescent="0.25">
      <c r="A120" s="5" t="s">
        <v>21</v>
      </c>
      <c r="B120" s="16">
        <f t="shared" si="155"/>
        <v>12</v>
      </c>
      <c r="C120" s="4" t="str">
        <f t="shared" si="156"/>
        <v>cup</v>
      </c>
      <c r="D120" s="5" t="str">
        <f>_xlfn.CONCAT(K120, U120)</f>
        <v>water</v>
      </c>
      <c r="I120" s="25">
        <v>21</v>
      </c>
      <c r="J120" s="19" t="s">
        <v>16</v>
      </c>
      <c r="K120" s="19" t="s">
        <v>33</v>
      </c>
      <c r="L120" s="20" t="s">
        <v>16</v>
      </c>
      <c r="M120" s="11">
        <f t="shared" si="157"/>
        <v>1</v>
      </c>
      <c r="N120" s="11">
        <f t="shared" si="158"/>
        <v>1</v>
      </c>
      <c r="O120" s="11">
        <f t="shared" si="159"/>
        <v>4.9683529664999995</v>
      </c>
      <c r="P120" s="11">
        <f t="shared" si="160"/>
        <v>4.9683529664999995</v>
      </c>
      <c r="Q120" s="11">
        <f>MROUND(IF(L120 = "", IF(J120 = "", I120, IF(M120 &lt;&gt; 0, O120 / M120, P120 / N120)) * recipe08DayScale, IF(ISNA(CONVERT(O120, "kg", L120)), CONVERT(P120 * recipe08DayScale, "l", L120), CONVERT(O120 * recipe08DayScale, "kg", L120))), roundTo)</f>
        <v>12</v>
      </c>
      <c r="R120" s="11">
        <f>recipe08TotScale * IF(L120 = "", Q120 * M120, IF(ISNA(CONVERT(Q120, L120, "kg")), CONVERT(Q120, L120, "l") * IF(N120 &lt;&gt; 0, M120 / N120, 0), CONVERT(Q120, L120, "kg")))</f>
        <v>2.8390588379999997</v>
      </c>
      <c r="S120" s="11">
        <f>recipe08TotScale * IF(R120 = 0, IF(L120 = "", Q120 * N120, IF(ISNA(CONVERT(Q120, L120, "l")), CONVERT(Q120, L120, "kg") * IF(M120 &lt;&gt; 0, N120 / M120, 0), CONVERT(Q120, L120, "l"))), 0)</f>
        <v>0</v>
      </c>
      <c r="T120" s="11">
        <f>recipe08TotScale * IF(AND(R120 = 0, S120 = 0, J120 = "", L120 = ""), Q120, 0)</f>
        <v>0</v>
      </c>
      <c r="V120" s="8" t="b">
        <f>INDEX(itemPrepMethods, MATCH(K120, itemNames, 0))="chop"</f>
        <v>0</v>
      </c>
      <c r="W120" s="21" t="str">
        <f>IF(V120, Q120, "")</f>
        <v/>
      </c>
      <c r="X120" s="22" t="str">
        <f>IF(V120, IF(L120 = "", "", L120), "")</f>
        <v/>
      </c>
      <c r="Y120" s="22" t="str">
        <f>IF(V120, K120, "")</f>
        <v/>
      </c>
      <c r="Z120" s="23"/>
      <c r="AA120" s="8" t="b">
        <f>INDEX(itemPrepMethods, MATCH(K120, itemNames, 0))="soak"</f>
        <v>0</v>
      </c>
      <c r="AB120" s="22" t="str">
        <f>IF(AA120, Q120, "")</f>
        <v/>
      </c>
      <c r="AC120" s="22" t="str">
        <f>IF(AA120, IF(L120 = "", "", L120), "")</f>
        <v/>
      </c>
      <c r="AD120" s="22" t="str">
        <f>IF(AA120, K120, "")</f>
        <v/>
      </c>
    </row>
    <row r="121" spans="1:30" x14ac:dyDescent="0.25">
      <c r="A121" s="5" t="s">
        <v>21</v>
      </c>
      <c r="B121" s="16">
        <f t="shared" si="155"/>
        <v>2.75</v>
      </c>
      <c r="C121" s="4" t="str">
        <f t="shared" si="156"/>
        <v>tsp</v>
      </c>
      <c r="D121" s="5" t="str">
        <f>_xlfn.CONCAT(K121, U121)</f>
        <v>salt</v>
      </c>
      <c r="I121" s="25">
        <v>5</v>
      </c>
      <c r="J121" s="19" t="s">
        <v>13</v>
      </c>
      <c r="K121" s="19" t="s">
        <v>11</v>
      </c>
      <c r="L121" s="20" t="s">
        <v>13</v>
      </c>
      <c r="M121" s="11">
        <f t="shared" si="157"/>
        <v>2.5000000000000001E-2</v>
      </c>
      <c r="N121" s="11">
        <f t="shared" si="158"/>
        <v>2.2180100000000001E-2</v>
      </c>
      <c r="O121" s="11">
        <f t="shared" si="159"/>
        <v>2.777783685460165E-2</v>
      </c>
      <c r="P121" s="11">
        <f t="shared" si="160"/>
        <v>2.4644607968749999E-2</v>
      </c>
      <c r="Q121" s="11">
        <f>MROUND(IF(L121 = "", IF(J121 = "", I121, IF(M121 &lt;&gt; 0, O121 / M121, P121 / N121)) * recipe08DayScale, IF(ISNA(CONVERT(O121, "kg", L121)), CONVERT(P121 * recipe08DayScale, "l", L121), CONVERT(O121 * recipe08DayScale, "kg", L121))), roundTo)</f>
        <v>2.75</v>
      </c>
      <c r="R121" s="11">
        <f>recipe08TotScale * IF(L121 = "", Q121 * M121, IF(ISNA(CONVERT(Q121, L121, "kg")), CONVERT(Q121, L121, "l") * IF(N121 &lt;&gt; 0, M121 / N121, 0), CONVERT(Q121, L121, "kg")))</f>
        <v>1.5277810270030908E-2</v>
      </c>
      <c r="S121" s="11">
        <f>recipe08TotScale * IF(R121 = 0, IF(L121 = "", Q121 * N121, IF(ISNA(CONVERT(Q121, L121, "l")), CONVERT(Q121, L121, "kg") * IF(M121 &lt;&gt; 0, N121 / M121, 0), CONVERT(Q121, L121, "l"))), 0)</f>
        <v>0</v>
      </c>
      <c r="T121" s="11">
        <f>recipe08TotScale * IF(AND(R121 = 0, S121 = 0, J121 = "", L121 = ""), Q121, 0)</f>
        <v>0</v>
      </c>
      <c r="V121" s="8" t="b">
        <f>INDEX(itemPrepMethods, MATCH(K121, itemNames, 0))="chop"</f>
        <v>0</v>
      </c>
      <c r="W121" s="21" t="str">
        <f>IF(V121, Q121, "")</f>
        <v/>
      </c>
      <c r="X121" s="22" t="str">
        <f>IF(V121, IF(L121 = "", "", L121), "")</f>
        <v/>
      </c>
      <c r="Y121" s="22" t="str">
        <f>IF(V121, K121, "")</f>
        <v/>
      </c>
      <c r="Z121" s="23"/>
      <c r="AA121" s="8" t="b">
        <f>INDEX(itemPrepMethods, MATCH(K121, itemNames, 0))="soak"</f>
        <v>0</v>
      </c>
      <c r="AB121" s="22" t="str">
        <f>IF(AA121, Q121, "")</f>
        <v/>
      </c>
      <c r="AC121" s="22" t="str">
        <f>IF(AA121, IF(L121 = "", "", L121), "")</f>
        <v/>
      </c>
      <c r="AD121" s="22" t="str">
        <f>IF(AA121, K121, "")</f>
        <v/>
      </c>
    </row>
    <row r="122" spans="1:30" x14ac:dyDescent="0.25">
      <c r="A122" s="5" t="s">
        <v>21</v>
      </c>
      <c r="B122" s="16">
        <f t="shared" si="155"/>
        <v>1.75</v>
      </c>
      <c r="C122" s="4" t="str">
        <f t="shared" si="156"/>
        <v>tbs</v>
      </c>
      <c r="D122" s="5" t="str">
        <f>_xlfn.CONCAT(K122, U122)</f>
        <v>minced fresh ginger</v>
      </c>
      <c r="I122" s="25">
        <v>3</v>
      </c>
      <c r="J122" s="19" t="s">
        <v>15</v>
      </c>
      <c r="K122" s="19" t="s">
        <v>188</v>
      </c>
      <c r="L122" s="20" t="s">
        <v>15</v>
      </c>
      <c r="M122" s="11">
        <f t="shared" si="157"/>
        <v>2.4E-2</v>
      </c>
      <c r="N122" s="11">
        <f t="shared" si="158"/>
        <v>3.4501958300000003E-2</v>
      </c>
      <c r="O122" s="11">
        <f t="shared" si="159"/>
        <v>3.0857583647650511E-2</v>
      </c>
      <c r="P122" s="11">
        <f t="shared" si="160"/>
        <v>4.4360294343749995E-2</v>
      </c>
      <c r="Q122" s="11">
        <f>MROUND(IF(L122 = "", IF(J122 = "", I122, IF(M122 &lt;&gt; 0, O122 / M122, P122 / N122)) * recipe08DayScale, IF(ISNA(CONVERT(O122, "kg", L122)), CONVERT(P122 * recipe08DayScale, "l", L122), CONVERT(O122 * recipe08DayScale, "kg", L122))), roundTo)</f>
        <v>1.75</v>
      </c>
      <c r="R122" s="11">
        <f>recipe08TotScale * IF(L122 = "", Q122 * M122, IF(ISNA(CONVERT(Q122, L122, "kg")), CONVERT(Q122, L122, "l") * IF(N122 &lt;&gt; 0, M122 / N122, 0), CONVERT(Q122, L122, "kg")))</f>
        <v>1.8000257127796133E-2</v>
      </c>
      <c r="S122" s="11">
        <f>recipe08TotScale * IF(R122 = 0, IF(L122 = "", Q122 * N122, IF(ISNA(CONVERT(Q122, L122, "l")), CONVERT(Q122, L122, "kg") * IF(M122 &lt;&gt; 0, N122 / M122, 0), CONVERT(Q122, L122, "l"))), 0)</f>
        <v>0</v>
      </c>
      <c r="T122" s="11">
        <f>recipe08TotScale * IF(AND(R122 = 0, S122 = 0, J122 = "", L122 = ""), Q122, 0)</f>
        <v>0</v>
      </c>
      <c r="V122" s="8" t="b">
        <f>INDEX(itemPrepMethods, MATCH(K122, itemNames, 0))="chop"</f>
        <v>1</v>
      </c>
      <c r="W122" s="21">
        <f>IF(V122, Q122, "")</f>
        <v>1.75</v>
      </c>
      <c r="X122" s="22" t="str">
        <f>IF(V122, IF(L122 = "", "", L122), "")</f>
        <v>tbs</v>
      </c>
      <c r="Y122" s="22" t="str">
        <f>IF(V122, K122, "")</f>
        <v>minced fresh ginger</v>
      </c>
      <c r="Z122" s="23"/>
      <c r="AA122" s="8" t="b">
        <f>INDEX(itemPrepMethods, MATCH(K122, itemNames, 0))="soak"</f>
        <v>0</v>
      </c>
      <c r="AB122" s="22" t="str">
        <f>IF(AA122, Q122, "")</f>
        <v/>
      </c>
      <c r="AC122" s="22" t="str">
        <f>IF(AA122, IF(L122 = "", "", L122), "")</f>
        <v/>
      </c>
      <c r="AD122" s="22" t="str">
        <f>IF(AA122, K122, "")</f>
        <v/>
      </c>
    </row>
    <row r="123" spans="1:30" x14ac:dyDescent="0.25">
      <c r="A123" s="129"/>
      <c r="B123" s="129"/>
      <c r="C123" s="129"/>
      <c r="D123" s="129"/>
      <c r="I123" s="8"/>
      <c r="L123" s="8"/>
      <c r="W123" s="21"/>
      <c r="X123" s="21"/>
      <c r="Y123" s="21"/>
      <c r="Z123" s="21"/>
      <c r="AA123" s="30"/>
      <c r="AB123" s="21"/>
      <c r="AC123" s="21"/>
      <c r="AD123" s="21"/>
    </row>
    <row r="124" spans="1:30" x14ac:dyDescent="0.25">
      <c r="A124" s="129" t="s">
        <v>189</v>
      </c>
      <c r="B124" s="129"/>
      <c r="C124" s="129"/>
      <c r="D124" s="129"/>
      <c r="I124" s="8"/>
      <c r="L124" s="8"/>
      <c r="W124" s="21"/>
      <c r="X124" s="21"/>
      <c r="Y124" s="21"/>
      <c r="Z124" s="21"/>
      <c r="AA124" s="30"/>
      <c r="AB124" s="21"/>
      <c r="AC124" s="21"/>
      <c r="AD124" s="21"/>
    </row>
    <row r="125" spans="1:30" x14ac:dyDescent="0.25">
      <c r="A125" s="5" t="s">
        <v>21</v>
      </c>
      <c r="D125" s="5" t="str">
        <f>_xlfn.CONCAT(K125, U125)</f>
        <v>bring to boil over high heat then cover and reduce heat</v>
      </c>
      <c r="I125" s="8"/>
      <c r="L125" s="8"/>
      <c r="U125" s="8" t="s">
        <v>190</v>
      </c>
      <c r="W125" s="21"/>
      <c r="X125" s="21"/>
      <c r="Y125" s="21"/>
      <c r="Z125" s="21"/>
      <c r="AA125" s="30"/>
      <c r="AB125" s="21"/>
      <c r="AC125" s="21"/>
      <c r="AD125" s="21"/>
    </row>
    <row r="126" spans="1:30" x14ac:dyDescent="0.25">
      <c r="A126" s="5" t="s">
        <v>21</v>
      </c>
      <c r="D126" s="5" t="str">
        <f>_xlfn.CONCAT(K126, U126)</f>
        <v>simmer for 20 minutes or until lentils have dissolved into a thick soup porridge</v>
      </c>
      <c r="I126" s="8"/>
      <c r="L126" s="8"/>
      <c r="U126" s="8" t="s">
        <v>191</v>
      </c>
      <c r="W126" s="21"/>
      <c r="X126" s="21"/>
      <c r="Y126" s="21"/>
      <c r="Z126" s="21"/>
      <c r="AA126" s="30"/>
      <c r="AB126" s="21"/>
      <c r="AC126" s="21"/>
      <c r="AD126" s="21"/>
    </row>
    <row r="127" spans="1:30" x14ac:dyDescent="0.25">
      <c r="A127" s="5" t="s">
        <v>21</v>
      </c>
      <c r="D127" s="5" t="str">
        <f>_xlfn.CONCAT(K127, U127)</f>
        <v>add more water if needed and set aside</v>
      </c>
      <c r="I127" s="8"/>
      <c r="L127" s="8"/>
      <c r="U127" s="8" t="s">
        <v>192</v>
      </c>
      <c r="W127" s="21"/>
      <c r="X127" s="21"/>
      <c r="Y127" s="21"/>
      <c r="Z127" s="21"/>
      <c r="AA127" s="30"/>
      <c r="AB127" s="21"/>
      <c r="AC127" s="21"/>
      <c r="AD127" s="21"/>
    </row>
    <row r="128" spans="1:30" x14ac:dyDescent="0.25">
      <c r="A128" s="129"/>
      <c r="B128" s="129"/>
      <c r="C128" s="129"/>
      <c r="D128" s="129"/>
      <c r="I128" s="8"/>
      <c r="L128" s="8"/>
      <c r="W128" s="21"/>
      <c r="X128" s="21"/>
      <c r="Y128" s="21"/>
      <c r="Z128" s="21"/>
      <c r="AA128" s="30"/>
      <c r="AB128" s="21"/>
      <c r="AC128" s="21"/>
      <c r="AD128" s="21"/>
    </row>
    <row r="129" spans="1:30" x14ac:dyDescent="0.25">
      <c r="A129" s="129" t="s">
        <v>203</v>
      </c>
      <c r="B129" s="129"/>
      <c r="C129" s="129"/>
      <c r="D129" s="129"/>
      <c r="I129" s="8"/>
      <c r="L129" s="8"/>
      <c r="W129" s="21"/>
      <c r="X129" s="21"/>
      <c r="Y129" s="21"/>
      <c r="Z129" s="21"/>
      <c r="AA129" s="30"/>
      <c r="AB129" s="21"/>
      <c r="AC129" s="21"/>
      <c r="AD129" s="21"/>
    </row>
    <row r="130" spans="1:30" x14ac:dyDescent="0.25">
      <c r="A130" s="5" t="s">
        <v>21</v>
      </c>
      <c r="B130" s="16">
        <f t="shared" si="155"/>
        <v>0.25</v>
      </c>
      <c r="C130" s="4" t="str">
        <f t="shared" si="156"/>
        <v>cup</v>
      </c>
      <c r="D130" s="5" t="str">
        <f>_xlfn.CONCAT(K130, U130)</f>
        <v>oil</v>
      </c>
      <c r="I130" s="25">
        <v>0.5</v>
      </c>
      <c r="J130" s="19" t="s">
        <v>16</v>
      </c>
      <c r="K130" s="19" t="s">
        <v>32</v>
      </c>
      <c r="L130" s="20" t="s">
        <v>16</v>
      </c>
      <c r="M130" s="11">
        <f t="shared" si="157"/>
        <v>0</v>
      </c>
      <c r="N130" s="11">
        <f t="shared" si="158"/>
        <v>0</v>
      </c>
      <c r="O130" s="11">
        <f t="shared" si="159"/>
        <v>0</v>
      </c>
      <c r="P130" s="11">
        <f t="shared" si="160"/>
        <v>0.11829411825</v>
      </c>
      <c r="Q130" s="11">
        <f>MROUND(IF(L130 = "", IF(J130 = "", I130, IF(M130 &lt;&gt; 0, O130 / M130, P130 / N130)) * recipe08DayScale, IF(ISNA(CONVERT(O130, "kg", L130)), CONVERT(P130 * recipe08DayScale, "l", L130), CONVERT(O130 * recipe08DayScale, "kg", L130))), roundTo)</f>
        <v>0.25</v>
      </c>
      <c r="R130" s="11">
        <f>recipe08TotScale * IF(L130 = "", Q130 * M130, IF(ISNA(CONVERT(Q130, L130, "kg")), CONVERT(Q130, L130, "l") * IF(N130 &lt;&gt; 0, M130 / N130, 0), CONVERT(Q130, L130, "kg")))</f>
        <v>0</v>
      </c>
      <c r="S130" s="11">
        <f>recipe08TotScale * IF(R130 = 0, IF(L130 = "", Q130 * N130, IF(ISNA(CONVERT(Q130, L130, "l")), CONVERT(Q130, L130, "kg") * IF(M130 &lt;&gt; 0, N130 / M130, 0), CONVERT(Q130, L130, "l"))), 0)</f>
        <v>5.9147059124999998E-2</v>
      </c>
      <c r="T130" s="11">
        <f>recipe08TotScale * IF(AND(R130 = 0, S130 = 0, J130 = "", L130 = ""), Q130, 0)</f>
        <v>0</v>
      </c>
      <c r="V130" s="8" t="b">
        <f>INDEX(itemPrepMethods, MATCH(K130, itemNames, 0))="chop"</f>
        <v>0</v>
      </c>
      <c r="W130" s="21" t="str">
        <f>IF(V130, Q130, "")</f>
        <v/>
      </c>
      <c r="X130" s="22" t="str">
        <f>IF(V130, IF(L130 = "", "", L130), "")</f>
        <v/>
      </c>
      <c r="Y130" s="22" t="str">
        <f>IF(V130, K130, "")</f>
        <v/>
      </c>
      <c r="Z130" s="23"/>
      <c r="AA130" s="8" t="b">
        <f>INDEX(itemPrepMethods, MATCH(K130, itemNames, 0))="soak"</f>
        <v>0</v>
      </c>
      <c r="AB130" s="22" t="str">
        <f>IF(AA130, Q130, "")</f>
        <v/>
      </c>
      <c r="AC130" s="22" t="str">
        <f>IF(AA130, IF(L130 = "", "", L130), "")</f>
        <v/>
      </c>
      <c r="AD130" s="22" t="str">
        <f>IF(AA130, K130, "")</f>
        <v/>
      </c>
    </row>
    <row r="131" spans="1:30" x14ac:dyDescent="0.25">
      <c r="A131" s="129"/>
      <c r="B131" s="129"/>
      <c r="C131" s="129"/>
      <c r="D131" s="129"/>
      <c r="I131" s="8"/>
      <c r="L131" s="8"/>
      <c r="W131" s="21"/>
      <c r="X131" s="21"/>
      <c r="Y131" s="21"/>
      <c r="Z131" s="21"/>
      <c r="AA131" s="30"/>
      <c r="AB131" s="21"/>
      <c r="AC131" s="21"/>
      <c r="AD131" s="21"/>
    </row>
    <row r="132" spans="1:30" x14ac:dyDescent="0.25">
      <c r="A132" s="129" t="s">
        <v>241</v>
      </c>
      <c r="B132" s="129"/>
      <c r="C132" s="129"/>
      <c r="D132" s="129"/>
      <c r="I132" s="8"/>
      <c r="L132" s="8"/>
      <c r="W132" s="21"/>
      <c r="X132" s="21"/>
      <c r="Y132" s="21"/>
      <c r="Z132" s="21"/>
      <c r="AA132" s="30"/>
      <c r="AB132" s="21"/>
      <c r="AC132" s="21"/>
      <c r="AD132" s="21"/>
    </row>
    <row r="133" spans="1:30" x14ac:dyDescent="0.25">
      <c r="A133" s="5" t="s">
        <v>21</v>
      </c>
      <c r="B133" s="16">
        <f t="shared" si="155"/>
        <v>4.25</v>
      </c>
      <c r="C133" s="4" t="str">
        <f t="shared" si="156"/>
        <v>tbs</v>
      </c>
      <c r="D133" s="5" t="str">
        <f>_xlfn.CONCAT(K133, U133)</f>
        <v>cumin seeds</v>
      </c>
      <c r="I133" s="25">
        <v>7.5</v>
      </c>
      <c r="J133" s="19" t="s">
        <v>15</v>
      </c>
      <c r="K133" s="19" t="s">
        <v>35</v>
      </c>
      <c r="L133" s="20" t="s">
        <v>15</v>
      </c>
      <c r="M133" s="11">
        <f t="shared" si="157"/>
        <v>1.0999999999999999E-2</v>
      </c>
      <c r="N133" s="11">
        <f t="shared" si="158"/>
        <v>2.2180100000000001E-2</v>
      </c>
      <c r="O133" s="11">
        <f t="shared" si="159"/>
        <v>5.5000116972111261E-2</v>
      </c>
      <c r="P133" s="11">
        <f t="shared" si="160"/>
        <v>0.110900735859375</v>
      </c>
      <c r="Q133" s="11">
        <f>MROUND(IF(L133 = "", IF(J133 = "", I133, IF(M133 &lt;&gt; 0, O133 / M133, P133 / N133)) * recipe08DayScale, IF(ISNA(CONVERT(O133, "kg", L133)), CONVERT(P133 * recipe08DayScale, "l", L133), CONVERT(O133 * recipe08DayScale, "kg", L133))), roundTo)</f>
        <v>4.25</v>
      </c>
      <c r="R133" s="11">
        <f>recipe08TotScale * IF(L133 = "", Q133 * M133, IF(ISNA(CONVERT(Q133, L133, "kg")), CONVERT(Q133, L133, "l") * IF(N133 &lt;&gt; 0, M133 / N133, 0), CONVERT(Q133, L133, "kg")))</f>
        <v>3.1166732950863047E-2</v>
      </c>
      <c r="S133" s="11">
        <f>recipe08TotScale * IF(R133 = 0, IF(L133 = "", Q133 * N133, IF(ISNA(CONVERT(Q133, L133, "l")), CONVERT(Q133, L133, "kg") * IF(M133 &lt;&gt; 0, N133 / M133, 0), CONVERT(Q133, L133, "l"))), 0)</f>
        <v>0</v>
      </c>
      <c r="T133" s="11">
        <f>recipe08TotScale * IF(AND(R133 = 0, S133 = 0, J133 = "", L133 = ""), Q133, 0)</f>
        <v>0</v>
      </c>
      <c r="V133" s="8" t="b">
        <f>INDEX(itemPrepMethods, MATCH(K133, itemNames, 0))="chop"</f>
        <v>0</v>
      </c>
      <c r="W133" s="21" t="str">
        <f>IF(V133, Q133, "")</f>
        <v/>
      </c>
      <c r="X133" s="22" t="str">
        <f>IF(V133, IF(L133 = "", "", L133), "")</f>
        <v/>
      </c>
      <c r="Y133" s="22" t="str">
        <f>IF(V133, K133, "")</f>
        <v/>
      </c>
      <c r="Z133" s="23"/>
      <c r="AA133" s="8" t="b">
        <f>INDEX(itemPrepMethods, MATCH(K133, itemNames, 0))="soak"</f>
        <v>0</v>
      </c>
      <c r="AB133" s="22" t="str">
        <f>IF(AA133, Q133, "")</f>
        <v/>
      </c>
      <c r="AC133" s="22" t="str">
        <f>IF(AA133, IF(L133 = "", "", L133), "")</f>
        <v/>
      </c>
      <c r="AD133" s="22" t="str">
        <f>IF(AA133, K133, "")</f>
        <v/>
      </c>
    </row>
    <row r="134" spans="1:30" x14ac:dyDescent="0.25">
      <c r="A134" s="5" t="s">
        <v>21</v>
      </c>
      <c r="B134" s="16">
        <f t="shared" si="155"/>
        <v>2</v>
      </c>
      <c r="C134" s="4" t="str">
        <f t="shared" si="156"/>
        <v>tbs</v>
      </c>
      <c r="D134" s="5" t="str">
        <f>_xlfn.CONCAT(K134, U134)</f>
        <v>black mustard seeds</v>
      </c>
      <c r="I134" s="25">
        <v>3.5</v>
      </c>
      <c r="J134" s="19" t="s">
        <v>15</v>
      </c>
      <c r="K134" s="19" t="s">
        <v>34</v>
      </c>
      <c r="L134" s="20" t="s">
        <v>15</v>
      </c>
      <c r="M134" s="11">
        <f t="shared" si="157"/>
        <v>1.6E-2</v>
      </c>
      <c r="N134" s="11">
        <f t="shared" si="158"/>
        <v>2.2180100000000001E-2</v>
      </c>
      <c r="O134" s="11">
        <f t="shared" si="159"/>
        <v>3.7333412732584614E-2</v>
      </c>
      <c r="P134" s="11">
        <f t="shared" si="160"/>
        <v>5.1753676734374997E-2</v>
      </c>
      <c r="Q134" s="11">
        <f>MROUND(IF(L134 = "", IF(J134 = "", I134, IF(M134 &lt;&gt; 0, O134 / M134, P134 / N134)) * recipe08DayScale, IF(ISNA(CONVERT(O134, "kg", L134)), CONVERT(P134 * recipe08DayScale, "l", L134), CONVERT(O134 * recipe08DayScale, "kg", L134))), roundTo)</f>
        <v>2</v>
      </c>
      <c r="R134" s="11">
        <f>recipe08TotScale * IF(L134 = "", Q134 * M134, IF(ISNA(CONVERT(Q134, L134, "kg")), CONVERT(Q134, L134, "l") * IF(N134 &lt;&gt; 0, M134 / N134, 0), CONVERT(Q134, L134, "kg")))</f>
        <v>2.1333378704334063E-2</v>
      </c>
      <c r="S134" s="11">
        <f>recipe08TotScale * IF(R134 = 0, IF(L134 = "", Q134 * N134, IF(ISNA(CONVERT(Q134, L134, "l")), CONVERT(Q134, L134, "kg") * IF(M134 &lt;&gt; 0, N134 / M134, 0), CONVERT(Q134, L134, "l"))), 0)</f>
        <v>0</v>
      </c>
      <c r="T134" s="11">
        <f>recipe08TotScale * IF(AND(R134 = 0, S134 = 0, J134 = "", L134 = ""), Q134, 0)</f>
        <v>0</v>
      </c>
      <c r="V134" s="8" t="b">
        <f>INDEX(itemPrepMethods, MATCH(K134, itemNames, 0))="chop"</f>
        <v>0</v>
      </c>
      <c r="W134" s="21" t="str">
        <f>IF(V134, Q134, "")</f>
        <v/>
      </c>
      <c r="X134" s="22" t="str">
        <f>IF(V134, IF(L134 = "", "", L134), "")</f>
        <v/>
      </c>
      <c r="Y134" s="22" t="str">
        <f>IF(V134, K134, "")</f>
        <v/>
      </c>
      <c r="Z134" s="23"/>
      <c r="AA134" s="8" t="b">
        <f>INDEX(itemPrepMethods, MATCH(K134, itemNames, 0))="soak"</f>
        <v>0</v>
      </c>
      <c r="AB134" s="22" t="str">
        <f>IF(AA134, Q134, "")</f>
        <v/>
      </c>
      <c r="AC134" s="22" t="str">
        <f>IF(AA134, IF(L134 = "", "", L134), "")</f>
        <v/>
      </c>
      <c r="AD134" s="22" t="str">
        <f>IF(AA134, K134, "")</f>
        <v/>
      </c>
    </row>
    <row r="135" spans="1:30" x14ac:dyDescent="0.25">
      <c r="A135" s="129"/>
      <c r="B135" s="129"/>
      <c r="C135" s="129"/>
      <c r="D135" s="129"/>
      <c r="I135" s="8"/>
      <c r="L135" s="8"/>
      <c r="W135" s="21"/>
      <c r="X135" s="21"/>
      <c r="Y135" s="21"/>
      <c r="Z135" s="21"/>
      <c r="AA135" s="30"/>
      <c r="AB135" s="21"/>
      <c r="AC135" s="21"/>
      <c r="AD135" s="21"/>
    </row>
    <row r="136" spans="1:30" x14ac:dyDescent="0.25">
      <c r="A136" s="129" t="s">
        <v>193</v>
      </c>
      <c r="B136" s="129"/>
      <c r="C136" s="129"/>
      <c r="D136" s="129"/>
      <c r="I136" s="8"/>
      <c r="L136" s="8"/>
      <c r="W136" s="21"/>
      <c r="X136" s="21"/>
      <c r="Y136" s="21"/>
      <c r="Z136" s="21"/>
      <c r="AA136" s="30"/>
      <c r="AB136" s="21"/>
      <c r="AC136" s="21"/>
      <c r="AD136" s="21"/>
    </row>
    <row r="137" spans="1:30" x14ac:dyDescent="0.25">
      <c r="C137" s="5"/>
      <c r="I137" s="8"/>
      <c r="L137" s="8"/>
      <c r="W137" s="21"/>
      <c r="X137" s="21"/>
      <c r="Y137" s="21"/>
      <c r="Z137" s="21"/>
      <c r="AA137" s="30"/>
      <c r="AB137" s="21"/>
      <c r="AC137" s="21"/>
      <c r="AD137" s="21"/>
    </row>
    <row r="138" spans="1:30" x14ac:dyDescent="0.25">
      <c r="A138" s="129" t="s">
        <v>194</v>
      </c>
      <c r="B138" s="129"/>
      <c r="C138" s="129"/>
      <c r="D138" s="129"/>
      <c r="I138" s="8"/>
      <c r="L138" s="8"/>
      <c r="W138" s="21"/>
      <c r="X138" s="21"/>
      <c r="Y138" s="21"/>
      <c r="Z138" s="21"/>
      <c r="AA138" s="30"/>
      <c r="AB138" s="21"/>
      <c r="AC138" s="21"/>
      <c r="AD138" s="21"/>
    </row>
    <row r="139" spans="1:30" x14ac:dyDescent="0.25">
      <c r="A139" s="5" t="s">
        <v>21</v>
      </c>
      <c r="B139" s="16"/>
      <c r="C139" s="4" t="str">
        <f t="shared" si="156"/>
        <v/>
      </c>
      <c r="D139" s="5" t="str">
        <f>_xlfn.CONCAT(K139, U139)</f>
        <v>sprigs fresh coriander, if available</v>
      </c>
      <c r="I139" s="26"/>
      <c r="J139" s="24"/>
      <c r="K139" s="19" t="s">
        <v>526</v>
      </c>
      <c r="L139" s="24"/>
      <c r="M139" s="24"/>
      <c r="N139" s="24"/>
      <c r="O139" s="24"/>
      <c r="P139" s="24"/>
      <c r="U139" s="8" t="s">
        <v>195</v>
      </c>
      <c r="V139" s="8" t="b">
        <f>INDEX(itemPrepMethods, MATCH(K139, itemNames, 0))="chop"</f>
        <v>0</v>
      </c>
      <c r="W139" s="21" t="str">
        <f>IF(V139, Q139, "")</f>
        <v/>
      </c>
      <c r="X139" s="22" t="str">
        <f>IF(V139, IF(L139 = "", "", L139), "")</f>
        <v/>
      </c>
      <c r="Y139" s="22" t="str">
        <f>IF(V139, K139, "")</f>
        <v/>
      </c>
      <c r="Z139" s="23"/>
      <c r="AA139" s="8" t="b">
        <f>INDEX(itemPrepMethods, MATCH(K139, itemNames, 0))="soak"</f>
        <v>0</v>
      </c>
      <c r="AB139" s="22" t="str">
        <f>IF(AA139, Q139, "")</f>
        <v/>
      </c>
      <c r="AC139" s="22" t="str">
        <f>IF(AA139, IF(L139 = "", "", L139), "")</f>
        <v/>
      </c>
      <c r="AD139" s="22" t="str">
        <f>IF(AA139, K139, "")</f>
        <v/>
      </c>
    </row>
    <row r="140" spans="1:30" ht="15.75" x14ac:dyDescent="0.25">
      <c r="A140" s="130" t="s">
        <v>509</v>
      </c>
      <c r="B140" s="130"/>
      <c r="C140" s="130"/>
      <c r="D140" s="130"/>
      <c r="E140" s="7" t="s">
        <v>101</v>
      </c>
      <c r="F140" s="39" t="s">
        <v>59</v>
      </c>
      <c r="G140" s="39"/>
      <c r="H140" s="11"/>
    </row>
    <row r="141" spans="1:30" ht="24" x14ac:dyDescent="0.2">
      <c r="A141" s="130" t="s">
        <v>24</v>
      </c>
      <c r="B141" s="130"/>
      <c r="C141" s="130"/>
      <c r="D141" s="130"/>
      <c r="E141" s="6" t="s">
        <v>39</v>
      </c>
      <c r="F141" s="37">
        <v>21</v>
      </c>
      <c r="G141" s="11"/>
      <c r="H141" s="11"/>
      <c r="I141" s="33" t="s">
        <v>355</v>
      </c>
      <c r="J141" s="34" t="s">
        <v>356</v>
      </c>
      <c r="K141" s="34" t="s">
        <v>17</v>
      </c>
      <c r="L141" s="35" t="s">
        <v>359</v>
      </c>
      <c r="M141" s="33" t="s">
        <v>115</v>
      </c>
      <c r="N141" s="33" t="s">
        <v>116</v>
      </c>
      <c r="O141" s="33" t="s">
        <v>357</v>
      </c>
      <c r="P141" s="33" t="s">
        <v>358</v>
      </c>
      <c r="Q141" s="34" t="s">
        <v>286</v>
      </c>
      <c r="R141" s="33" t="s">
        <v>287</v>
      </c>
      <c r="S141" s="33" t="s">
        <v>288</v>
      </c>
      <c r="T141" s="33" t="s">
        <v>289</v>
      </c>
      <c r="U141" s="34" t="s">
        <v>22</v>
      </c>
      <c r="V141" s="34" t="s">
        <v>169</v>
      </c>
      <c r="W141" s="36" t="s">
        <v>286</v>
      </c>
      <c r="X141" s="34" t="s">
        <v>167</v>
      </c>
      <c r="Y141" s="34" t="s">
        <v>168</v>
      </c>
      <c r="Z141" s="34" t="s">
        <v>263</v>
      </c>
      <c r="AA141" s="34" t="s">
        <v>170</v>
      </c>
      <c r="AB141" s="36" t="s">
        <v>286</v>
      </c>
      <c r="AC141" s="34" t="s">
        <v>171</v>
      </c>
      <c r="AD141" s="34" t="s">
        <v>172</v>
      </c>
    </row>
    <row r="142" spans="1:30" ht="16.5" thickBot="1" x14ac:dyDescent="0.3">
      <c r="A142" s="131" t="str">
        <f>_xlfn.CONCAT(F142," servings")</f>
        <v>12 servings</v>
      </c>
      <c r="B142" s="131"/>
      <c r="C142" s="131"/>
      <c r="D142" s="131"/>
      <c r="E142" s="29" t="s">
        <v>281</v>
      </c>
      <c r="F142" s="37">
        <f>wkndRegDinner</f>
        <v>12</v>
      </c>
      <c r="G142" s="11"/>
      <c r="I142" s="8"/>
      <c r="L142" s="8"/>
      <c r="W142" s="130" t="s">
        <v>521</v>
      </c>
      <c r="X142" s="130"/>
      <c r="Y142" s="130"/>
      <c r="Z142" s="130"/>
      <c r="AA142" s="30"/>
      <c r="AB142" s="130" t="s">
        <v>522</v>
      </c>
      <c r="AC142" s="130"/>
      <c r="AD142" s="130"/>
    </row>
    <row r="143" spans="1:30" s="41" customFormat="1" ht="16.5" thickBot="1" x14ac:dyDescent="0.3">
      <c r="A143" s="129"/>
      <c r="B143" s="129"/>
      <c r="C143" s="129"/>
      <c r="D143" s="129"/>
      <c r="E143" s="29" t="s">
        <v>284</v>
      </c>
      <c r="F143" s="14">
        <f>F142/F141</f>
        <v>0.5714285714285714</v>
      </c>
      <c r="G143" s="15" t="s">
        <v>298</v>
      </c>
      <c r="M143" s="11"/>
      <c r="N143" s="11"/>
      <c r="O143" s="11"/>
      <c r="P143" s="11"/>
      <c r="Q143" s="11"/>
      <c r="R143" s="11"/>
      <c r="S143" s="11"/>
      <c r="T143" s="11"/>
      <c r="W143" s="130" t="str">
        <f>A140</f>
        <v>SUNDAY DINNER</v>
      </c>
      <c r="X143" s="130"/>
      <c r="Y143" s="130"/>
      <c r="Z143" s="130"/>
      <c r="AB143" s="130" t="str">
        <f>A140</f>
        <v>SUNDAY DINNER</v>
      </c>
      <c r="AC143" s="130"/>
      <c r="AD143" s="130"/>
    </row>
    <row r="144" spans="1:30" ht="15.75" x14ac:dyDescent="0.25">
      <c r="A144" s="129" t="s">
        <v>196</v>
      </c>
      <c r="B144" s="129"/>
      <c r="C144" s="129"/>
      <c r="D144" s="129"/>
      <c r="E144" s="30"/>
      <c r="F144" s="30"/>
      <c r="G144" s="30"/>
      <c r="I144" s="8"/>
      <c r="L144" s="8"/>
      <c r="W144" s="130" t="str">
        <f>A141</f>
        <v>ITALIAN SOUP</v>
      </c>
      <c r="X144" s="130"/>
      <c r="Y144" s="130"/>
      <c r="Z144" s="130"/>
      <c r="AA144" s="41"/>
      <c r="AB144" s="130" t="str">
        <f>A141</f>
        <v>ITALIAN SOUP</v>
      </c>
      <c r="AC144" s="130"/>
      <c r="AD144" s="130"/>
    </row>
    <row r="145" spans="1:30" ht="15.75" thickBot="1" x14ac:dyDescent="0.3">
      <c r="A145" s="5" t="s">
        <v>21</v>
      </c>
      <c r="B145" s="16">
        <f t="shared" ref="B145:B154" si="161">Q145</f>
        <v>0.75</v>
      </c>
      <c r="C145" s="4" t="str">
        <f t="shared" ref="C145:C157" si="162">IF(L145="","",L145)</f>
        <v>cup</v>
      </c>
      <c r="D145" s="5" t="str">
        <f>_xlfn.CONCAT(K145, U145)</f>
        <v>oil</v>
      </c>
      <c r="E145" s="29" t="s">
        <v>273</v>
      </c>
      <c r="F145" s="37">
        <f>wkndRegDinner</f>
        <v>12</v>
      </c>
      <c r="G145" s="30"/>
      <c r="I145" s="18">
        <v>1.25</v>
      </c>
      <c r="J145" s="19" t="s">
        <v>16</v>
      </c>
      <c r="K145" s="19" t="s">
        <v>32</v>
      </c>
      <c r="L145" s="20" t="s">
        <v>16</v>
      </c>
      <c r="M145" s="11">
        <f t="shared" ref="M145:M154" si="163">INDEX(itemGPerQty, MATCH(K145, itemNames, 0))</f>
        <v>0</v>
      </c>
      <c r="N145" s="11">
        <f t="shared" ref="N145:N154" si="164">INDEX(itemMlPerQty, MATCH(K145, itemNames, 0))</f>
        <v>0</v>
      </c>
      <c r="O145" s="11">
        <f t="shared" ref="O145:O154" si="165">IF(J145 = "", I145 * M145, IF(ISNA(CONVERT(I145, J145, "kg")), CONVERT(I145, J145, "l") * IF(N145 &lt;&gt; 0, M145 / N145, 0), CONVERT(I145, J145, "kg")))</f>
        <v>0</v>
      </c>
      <c r="P145" s="11">
        <f t="shared" ref="P145:P154" si="166">IF(J145 = "", I145 * N145, IF(ISNA(CONVERT(I145, J145, "l")), CONVERT(I145, J145, "kg") * IF(M145 &lt;&gt; 0, N145 / M145, 0), CONVERT(I145, J145, "l")))</f>
        <v>0.29573529562500001</v>
      </c>
      <c r="Q145" s="11">
        <f>MROUND(IF(L145 = "", IF(J145 = "", I145, IF(M145 &lt;&gt; 0, O145 / M145, P145 / N145)) * recipe03DayScale, IF(ISNA(CONVERT(O145, "kg", L145)), CONVERT(P145 * recipe03DayScale, "l", L145), CONVERT(O145 * recipe03DayScale, "kg", L145))), roundTo)</f>
        <v>0.75</v>
      </c>
      <c r="R145" s="11">
        <f>recipe03TotScale * IF(L145 = "", Q145 * M145, IF(ISNA(CONVERT(Q145, L145, "kg")), CONVERT(Q145, L145, "l") * IF(N145 &lt;&gt; 0, M145 / N145, 0), CONVERT(Q145, L145, "kg")))</f>
        <v>0</v>
      </c>
      <c r="S145" s="11">
        <f>recipe03TotScale * IF(R145 = 0, IF(L145 = "", Q145 * N145, IF(ISNA(CONVERT(Q145, L145, "l")), CONVERT(Q145, L145, "kg") * IF(M145 &lt;&gt; 0, N145 / M145, 0), CONVERT(Q145, L145, "l"))), 0)</f>
        <v>0.17744117737499998</v>
      </c>
      <c r="T145" s="11">
        <f>recipe03TotScale * IF(AND(R145 = 0, S145 = 0, J145 = "", L145 = ""), Q145, 0)</f>
        <v>0</v>
      </c>
      <c r="V145" s="8" t="b">
        <f>INDEX(itemPrepMethods, MATCH(K145, itemNames, 0))="chop"</f>
        <v>0</v>
      </c>
      <c r="W145" s="21" t="str">
        <f>IF(V145, Q145, "")</f>
        <v/>
      </c>
      <c r="X145" s="22" t="str">
        <f>IF(V145, IF(L145 = "", "", L145), "")</f>
        <v/>
      </c>
      <c r="Y145" s="22" t="str">
        <f>IF(V145, K145, "")</f>
        <v/>
      </c>
      <c r="Z145" s="23"/>
      <c r="AA145" s="8" t="b">
        <f>INDEX(itemPrepMethods, MATCH(K145, itemNames, 0))="soak"</f>
        <v>0</v>
      </c>
      <c r="AB145" s="22" t="str">
        <f>IF(AA145, Q145, "")</f>
        <v/>
      </c>
      <c r="AC145" s="22" t="str">
        <f>IF(AA145, IF(L145 = "", "", L145), "")</f>
        <v/>
      </c>
      <c r="AD145" s="22" t="str">
        <f>IF(AA145, K145, "")</f>
        <v/>
      </c>
    </row>
    <row r="146" spans="1:30" ht="15.75" thickBot="1" x14ac:dyDescent="0.3">
      <c r="A146" s="5" t="s">
        <v>21</v>
      </c>
      <c r="B146" s="16">
        <f t="shared" si="161"/>
        <v>1.75</v>
      </c>
      <c r="C146" s="4" t="str">
        <f t="shared" si="162"/>
        <v>lt</v>
      </c>
      <c r="D146" s="5" t="str">
        <f>_xlfn.CONCAT(K146, U146)</f>
        <v>diced carrots</v>
      </c>
      <c r="E146" s="29" t="s">
        <v>285</v>
      </c>
      <c r="F146" s="14">
        <f>F145/F142</f>
        <v>1</v>
      </c>
      <c r="G146" s="15" t="s">
        <v>299</v>
      </c>
      <c r="I146" s="18">
        <v>15</v>
      </c>
      <c r="J146" s="19"/>
      <c r="K146" s="19" t="s">
        <v>71</v>
      </c>
      <c r="L146" s="20" t="s">
        <v>542</v>
      </c>
      <c r="M146" s="11">
        <f t="shared" si="163"/>
        <v>0.1265</v>
      </c>
      <c r="N146" s="11">
        <f t="shared" si="164"/>
        <v>0.2</v>
      </c>
      <c r="O146" s="11">
        <f t="shared" si="165"/>
        <v>1.8975</v>
      </c>
      <c r="P146" s="11">
        <f t="shared" si="166"/>
        <v>3</v>
      </c>
      <c r="Q146" s="11">
        <f>MROUND(IF(L146 = "", IF(J146 = "", I146, IF(M146 &lt;&gt; 0, O146 / M146, P146 / N146)) * recipe03DayScale, IF(ISNA(CONVERT(O146, "kg", L146)), CONVERT(P146 * recipe03DayScale, "l", L146), CONVERT(O146 * recipe03DayScale, "kg", L146))), roundTo)</f>
        <v>1.75</v>
      </c>
      <c r="R146" s="11">
        <f>recipe03TotScale * IF(L146 = "", Q146 * M146, IF(ISNA(CONVERT(Q146, L146, "kg")), CONVERT(Q146, L146, "l") * IF(N146 &lt;&gt; 0, M146 / N146, 0), CONVERT(Q146, L146, "kg")))</f>
        <v>1.1068749999999998</v>
      </c>
      <c r="S146" s="11">
        <f>recipe03TotScale * IF(R146 = 0, IF(L146 = "", Q146 * N146, IF(ISNA(CONVERT(Q146, L146, "l")), CONVERT(Q146, L146, "kg") * IF(M146 &lt;&gt; 0, N146 / M146, 0), CONVERT(Q146, L146, "l"))), 0)</f>
        <v>0</v>
      </c>
      <c r="T146" s="11">
        <f>recipe03TotScale * IF(AND(R146 = 0, S146 = 0, J146 = "", L146 = ""), Q146, 0)</f>
        <v>0</v>
      </c>
      <c r="V146" s="8" t="b">
        <f>INDEX(itemPrepMethods, MATCH(K146, itemNames, 0))="chop"</f>
        <v>1</v>
      </c>
      <c r="W146" s="21">
        <f>IF(V146, Q146, "")</f>
        <v>1.75</v>
      </c>
      <c r="X146" s="22" t="str">
        <f>IF(V146, IF(L146 = "", "", L146), "")</f>
        <v>lt</v>
      </c>
      <c r="Y146" s="22" t="str">
        <f>IF(V146, K146, "")</f>
        <v>diced carrots</v>
      </c>
      <c r="Z146" s="23"/>
      <c r="AA146" s="8" t="b">
        <f>INDEX(itemPrepMethods, MATCH(K146, itemNames, 0))="soak"</f>
        <v>0</v>
      </c>
      <c r="AB146" s="22" t="str">
        <f>IF(AA146, Q146, "")</f>
        <v/>
      </c>
      <c r="AC146" s="22" t="str">
        <f>IF(AA146, IF(L146 = "", "", L146), "")</f>
        <v/>
      </c>
      <c r="AD146" s="22" t="str">
        <f>IF(AA146, K146, "")</f>
        <v/>
      </c>
    </row>
    <row r="147" spans="1:30" x14ac:dyDescent="0.25">
      <c r="A147" s="5" t="s">
        <v>21</v>
      </c>
      <c r="B147" s="16">
        <f t="shared" si="161"/>
        <v>1.5</v>
      </c>
      <c r="C147" s="4" t="str">
        <f t="shared" si="162"/>
        <v>cup</v>
      </c>
      <c r="D147" s="5" t="str">
        <f>_xlfn.CONCAT(K147, U147)</f>
        <v>diced celery stalks</v>
      </c>
      <c r="I147" s="18">
        <v>6</v>
      </c>
      <c r="J147" s="19"/>
      <c r="K147" s="19" t="s">
        <v>72</v>
      </c>
      <c r="L147" s="20" t="s">
        <v>16</v>
      </c>
      <c r="M147" s="11">
        <f t="shared" si="163"/>
        <v>5.4666666666666669E-2</v>
      </c>
      <c r="N147" s="11">
        <f t="shared" si="164"/>
        <v>0.11</v>
      </c>
      <c r="O147" s="11">
        <f t="shared" si="165"/>
        <v>0.32800000000000001</v>
      </c>
      <c r="P147" s="11">
        <f t="shared" si="166"/>
        <v>0.66</v>
      </c>
      <c r="Q147" s="11">
        <f>MROUND(IF(L147 = "", IF(J147 = "", I147, IF(M147 &lt;&gt; 0, O147 / M147, P147 / N147)) * recipe03DayScale, IF(ISNA(CONVERT(O147, "kg", L147)), CONVERT(P147 * recipe03DayScale, "l", L147), CONVERT(O147 * recipe03DayScale, "kg", L147))), roundTo)</f>
        <v>1.5</v>
      </c>
      <c r="R147" s="11">
        <f>recipe03TotScale * IF(L147 = "", Q147 * M147, IF(ISNA(CONVERT(Q147, L147, "kg")), CONVERT(Q147, L147, "l") * IF(N147 &lt;&gt; 0, M147 / N147, 0), CONVERT(Q147, L147, "kg")))</f>
        <v>0.1763657763</v>
      </c>
      <c r="S147" s="11">
        <f>recipe03TotScale * IF(R147 = 0, IF(L147 = "", Q147 * N147, IF(ISNA(CONVERT(Q147, L147, "l")), CONVERT(Q147, L147, "kg") * IF(M147 &lt;&gt; 0, N147 / M147, 0), CONVERT(Q147, L147, "l"))), 0)</f>
        <v>0</v>
      </c>
      <c r="T147" s="11">
        <f>recipe03TotScale * IF(AND(R147 = 0, S147 = 0, J147 = "", L147 = ""), Q147, 0)</f>
        <v>0</v>
      </c>
      <c r="V147" s="8" t="b">
        <f>INDEX(itemPrepMethods, MATCH(K147, itemNames, 0))="chop"</f>
        <v>1</v>
      </c>
      <c r="W147" s="21">
        <f>IF(V147, Q147, "")</f>
        <v>1.5</v>
      </c>
      <c r="X147" s="22" t="str">
        <f>IF(V147, IF(L147 = "", "", L147), "")</f>
        <v>cup</v>
      </c>
      <c r="Y147" s="22" t="str">
        <f>IF(V147, K147, "")</f>
        <v>diced celery stalks</v>
      </c>
      <c r="Z147" s="23"/>
      <c r="AA147" s="8" t="b">
        <f>INDEX(itemPrepMethods, MATCH(K147, itemNames, 0))="soak"</f>
        <v>0</v>
      </c>
      <c r="AB147" s="22" t="str">
        <f>IF(AA147, Q147, "")</f>
        <v/>
      </c>
      <c r="AC147" s="22" t="str">
        <f>IF(AA147, IF(L147 = "", "", L147), "")</f>
        <v/>
      </c>
      <c r="AD147" s="22" t="str">
        <f>IF(AA147, K147, "")</f>
        <v/>
      </c>
    </row>
    <row r="148" spans="1:30" x14ac:dyDescent="0.25">
      <c r="A148" s="129"/>
      <c r="B148" s="129"/>
      <c r="C148" s="129"/>
      <c r="D148" s="129"/>
      <c r="I148" s="8"/>
      <c r="L148" s="8"/>
      <c r="W148" s="21"/>
      <c r="X148" s="21"/>
      <c r="Y148" s="21"/>
      <c r="Z148" s="21"/>
      <c r="AA148" s="30"/>
      <c r="AB148" s="21"/>
      <c r="AC148" s="21"/>
      <c r="AD148" s="21"/>
    </row>
    <row r="149" spans="1:30" x14ac:dyDescent="0.25">
      <c r="A149" s="129" t="s">
        <v>91</v>
      </c>
      <c r="B149" s="129"/>
      <c r="C149" s="129"/>
      <c r="D149" s="129"/>
      <c r="I149" s="8"/>
      <c r="L149" s="8"/>
      <c r="W149" s="21"/>
      <c r="X149" s="21"/>
      <c r="Y149" s="21"/>
      <c r="Z149" s="21"/>
      <c r="AA149" s="30"/>
      <c r="AB149" s="21"/>
      <c r="AC149" s="21"/>
      <c r="AD149" s="21"/>
    </row>
    <row r="150" spans="1:30" x14ac:dyDescent="0.25">
      <c r="A150" s="5" t="s">
        <v>21</v>
      </c>
      <c r="B150" s="16">
        <f>Q150</f>
        <v>2.75</v>
      </c>
      <c r="C150" s="4" t="str">
        <f>IF(L150="","",L150)</f>
        <v/>
      </c>
      <c r="D150" s="5" t="str">
        <f>_xlfn.CONCAT(K150, U150)</f>
        <v>tinned chopped tomatoes</v>
      </c>
      <c r="I150" s="18">
        <v>5</v>
      </c>
      <c r="J150" s="19"/>
      <c r="K150" s="19" t="s">
        <v>366</v>
      </c>
      <c r="L150" s="20"/>
      <c r="M150" s="11">
        <f>INDEX(itemGPerQty, MATCH(K150, itemNames, 0))</f>
        <v>0</v>
      </c>
      <c r="N150" s="11">
        <f>INDEX(itemMlPerQty, MATCH(K150, itemNames, 0))</f>
        <v>0</v>
      </c>
      <c r="O150" s="11">
        <f>IF(J150 = "", I150 * M150, IF(ISNA(CONVERT(I150, J150, "kg")), CONVERT(I150, J150, "l") * IF(N150 &lt;&gt; 0, M150 / N150, 0), CONVERT(I150, J150, "kg")))</f>
        <v>0</v>
      </c>
      <c r="P150" s="11">
        <f>IF(J150 = "", I150 * N150, IF(ISNA(CONVERT(I150, J150, "l")), CONVERT(I150, J150, "kg") * IF(M150 &lt;&gt; 0, N150 / M150, 0), CONVERT(I150, J150, "l")))</f>
        <v>0</v>
      </c>
      <c r="Q150" s="11">
        <f>MROUND(IF(L150 = "", IF(J150 = "", I150, IF(M150 &lt;&gt; 0, O150 / M150, P150 / N150)) * recipe03DayScale, IF(ISNA(CONVERT(O150, "kg", L150)), CONVERT(P150 * recipe03DayScale, "l", L150), CONVERT(O150 * recipe03DayScale, "kg", L150))), roundTo)</f>
        <v>2.75</v>
      </c>
      <c r="R150" s="11">
        <f>recipe03TotScale * IF(L150 = "", Q150 * M150, IF(ISNA(CONVERT(Q150, L150, "kg")), CONVERT(Q150, L150, "l") * IF(N150 &lt;&gt; 0, M150 / N150, 0), CONVERT(Q150, L150, "kg")))</f>
        <v>0</v>
      </c>
      <c r="S150" s="11">
        <f>recipe03TotScale * IF(R150 = 0, IF(L150 = "", Q150 * N150, IF(ISNA(CONVERT(Q150, L150, "l")), CONVERT(Q150, L150, "kg") * IF(M150 &lt;&gt; 0, N150 / M150, 0), CONVERT(Q150, L150, "l"))), 0)</f>
        <v>0</v>
      </c>
      <c r="T150" s="11">
        <f>recipe03TotScale * IF(AND(R150 = 0, S150 = 0, J150 = "", L150 = ""), Q150, 0)</f>
        <v>2.75</v>
      </c>
      <c r="V150" s="8" t="b">
        <f>INDEX(itemPrepMethods, MATCH(K150, itemNames, 0))="chop"</f>
        <v>0</v>
      </c>
      <c r="W150" s="21" t="str">
        <f>IF(V150, Q150, "")</f>
        <v/>
      </c>
      <c r="X150" s="22" t="str">
        <f>IF(V150, IF(L150 = "", "", L150), "")</f>
        <v/>
      </c>
      <c r="Y150" s="22" t="str">
        <f>IF(V150, K150, "")</f>
        <v/>
      </c>
      <c r="Z150" s="23"/>
      <c r="AA150" s="8" t="b">
        <f>INDEX(itemPrepMethods, MATCH(K150, itemNames, 0))="soak"</f>
        <v>0</v>
      </c>
      <c r="AB150" s="22" t="str">
        <f>IF(AA150, Q150, "")</f>
        <v/>
      </c>
      <c r="AC150" s="22" t="str">
        <f>IF(AA150, IF(L150 = "", "", L150), "")</f>
        <v/>
      </c>
      <c r="AD150" s="22" t="str">
        <f>IF(AA150, K150, "")</f>
        <v/>
      </c>
    </row>
    <row r="151" spans="1:30" x14ac:dyDescent="0.25">
      <c r="A151" s="5" t="s">
        <v>21</v>
      </c>
      <c r="B151" s="16">
        <f>Q151</f>
        <v>2.75</v>
      </c>
      <c r="C151" s="4" t="str">
        <f>IF(L151="","",L151)</f>
        <v>lt</v>
      </c>
      <c r="D151" s="5" t="str">
        <f>_xlfn.CONCAT(K151, U151)</f>
        <v>vegetable stock</v>
      </c>
      <c r="I151" s="18">
        <v>5</v>
      </c>
      <c r="J151" s="19" t="s">
        <v>542</v>
      </c>
      <c r="K151" s="19" t="s">
        <v>40</v>
      </c>
      <c r="L151" s="20" t="s">
        <v>542</v>
      </c>
      <c r="M151" s="11">
        <f>INDEX(itemGPerQty, MATCH(K151, itemNames, 0))</f>
        <v>0</v>
      </c>
      <c r="N151" s="11">
        <f>INDEX(itemMlPerQty, MATCH(K151, itemNames, 0))</f>
        <v>0</v>
      </c>
      <c r="O151" s="11">
        <f>IF(J151 = "", I151 * M151, IF(ISNA(CONVERT(I151, J151, "kg")), CONVERT(I151, J151, "l") * IF(N151 &lt;&gt; 0, M151 / N151, 0), CONVERT(I151, J151, "kg")))</f>
        <v>0</v>
      </c>
      <c r="P151" s="11">
        <f>IF(J151 = "", I151 * N151, IF(ISNA(CONVERT(I151, J151, "l")), CONVERT(I151, J151, "kg") * IF(M151 &lt;&gt; 0, N151 / M151, 0), CONVERT(I151, J151, "l")))</f>
        <v>5</v>
      </c>
      <c r="Q151" s="11">
        <f>MROUND(IF(L151 = "", IF(J151 = "", I151, IF(M151 &lt;&gt; 0, O151 / M151, P151 / N151)) * recipe03DayScale, IF(ISNA(CONVERT(O151, "kg", L151)), CONVERT(P151 * recipe03DayScale, "l", L151), CONVERT(O151 * recipe03DayScale, "kg", L151))), roundTo)</f>
        <v>2.75</v>
      </c>
      <c r="R151" s="11">
        <f>recipe03TotScale * IF(L151 = "", Q151 * M151, IF(ISNA(CONVERT(Q151, L151, "kg")), CONVERT(Q151, L151, "l") * IF(N151 &lt;&gt; 0, M151 / N151, 0), CONVERT(Q151, L151, "kg")))</f>
        <v>0</v>
      </c>
      <c r="S151" s="11">
        <f>recipe03TotScale * IF(R151 = 0, IF(L151 = "", Q151 * N151, IF(ISNA(CONVERT(Q151, L151, "l")), CONVERT(Q151, L151, "kg") * IF(M151 &lt;&gt; 0, N151 / M151, 0), CONVERT(Q151, L151, "l"))), 0)</f>
        <v>2.75</v>
      </c>
      <c r="T151" s="11">
        <f>recipe03TotScale * IF(AND(R151 = 0, S151 = 0, J151 = "", L151 = ""), Q151, 0)</f>
        <v>0</v>
      </c>
      <c r="V151" s="8" t="b">
        <f>INDEX(itemPrepMethods, MATCH(K151, itemNames, 0))="chop"</f>
        <v>0</v>
      </c>
      <c r="W151" s="21" t="str">
        <f>IF(V151, Q151, "")</f>
        <v/>
      </c>
      <c r="X151" s="22" t="str">
        <f>IF(V151, IF(L151 = "", "", L151), "")</f>
        <v/>
      </c>
      <c r="Y151" s="22" t="str">
        <f>IF(V151, K151, "")</f>
        <v/>
      </c>
      <c r="Z151" s="23"/>
      <c r="AA151" s="8" t="b">
        <f>INDEX(itemPrepMethods, MATCH(K151, itemNames, 0))="soak"</f>
        <v>0</v>
      </c>
      <c r="AB151" s="22" t="str">
        <f>IF(AA151, Q151, "")</f>
        <v/>
      </c>
      <c r="AC151" s="22" t="str">
        <f>IF(AA151, IF(L151 = "", "", L151), "")</f>
        <v/>
      </c>
      <c r="AD151" s="22" t="str">
        <f>IF(AA151, K151, "")</f>
        <v/>
      </c>
    </row>
    <row r="152" spans="1:30" x14ac:dyDescent="0.25">
      <c r="A152" s="5" t="s">
        <v>21</v>
      </c>
      <c r="B152" s="16">
        <f t="shared" si="161"/>
        <v>2.75</v>
      </c>
      <c r="C152" s="4" t="str">
        <f t="shared" si="162"/>
        <v/>
      </c>
      <c r="D152" s="5" t="str">
        <f>_xlfn.CONCAT(K152, U152)</f>
        <v>sprigs fresh rosemary</v>
      </c>
      <c r="I152" s="18">
        <v>5</v>
      </c>
      <c r="J152" s="19"/>
      <c r="K152" s="19" t="s">
        <v>60</v>
      </c>
      <c r="L152" s="20"/>
      <c r="M152" s="11">
        <f t="shared" si="163"/>
        <v>0</v>
      </c>
      <c r="N152" s="11">
        <f t="shared" si="164"/>
        <v>0</v>
      </c>
      <c r="O152" s="11">
        <f t="shared" si="165"/>
        <v>0</v>
      </c>
      <c r="P152" s="11">
        <f t="shared" si="166"/>
        <v>0</v>
      </c>
      <c r="Q152" s="11">
        <f>MROUND(IF(L152 = "", IF(J152 = "", I152, IF(M152 &lt;&gt; 0, O152 / M152, P152 / N152)) * recipe03DayScale, IF(ISNA(CONVERT(O152, "kg", L152)), CONVERT(P152 * recipe03DayScale, "l", L152), CONVERT(O152 * recipe03DayScale, "kg", L152))), roundTo)</f>
        <v>2.75</v>
      </c>
      <c r="R152" s="11">
        <f>recipe03TotScale * IF(L152 = "", Q152 * M152, IF(ISNA(CONVERT(Q152, L152, "kg")), CONVERT(Q152, L152, "l") * IF(N152 &lt;&gt; 0, M152 / N152, 0), CONVERT(Q152, L152, "kg")))</f>
        <v>0</v>
      </c>
      <c r="S152" s="11">
        <f>recipe03TotScale * IF(R152 = 0, IF(L152 = "", Q152 * N152, IF(ISNA(CONVERT(Q152, L152, "l")), CONVERT(Q152, L152, "kg") * IF(M152 &lt;&gt; 0, N152 / M152, 0), CONVERT(Q152, L152, "l"))), 0)</f>
        <v>0</v>
      </c>
      <c r="T152" s="11">
        <f>recipe03TotScale * IF(AND(R152 = 0, S152 = 0, J152 = "", L152 = ""), Q152, 0)</f>
        <v>2.75</v>
      </c>
      <c r="V152" s="8" t="b">
        <f>INDEX(itemPrepMethods, MATCH(K152, itemNames, 0))="chop"</f>
        <v>0</v>
      </c>
      <c r="W152" s="21" t="str">
        <f>IF(V152, Q152, "")</f>
        <v/>
      </c>
      <c r="X152" s="22" t="str">
        <f>IF(V152, IF(L152 = "", "", L152), "")</f>
        <v/>
      </c>
      <c r="Y152" s="22" t="str">
        <f>IF(V152, K152, "")</f>
        <v/>
      </c>
      <c r="Z152" s="23"/>
      <c r="AA152" s="8" t="b">
        <f>INDEX(itemPrepMethods, MATCH(K152, itemNames, 0))="soak"</f>
        <v>0</v>
      </c>
      <c r="AB152" s="22" t="str">
        <f>IF(AA152, Q152, "")</f>
        <v/>
      </c>
      <c r="AC152" s="22" t="str">
        <f>IF(AA152, IF(L152 = "", "", L152), "")</f>
        <v/>
      </c>
      <c r="AD152" s="22" t="str">
        <f>IF(AA152, K152, "")</f>
        <v/>
      </c>
    </row>
    <row r="153" spans="1:30" x14ac:dyDescent="0.25">
      <c r="A153" s="5" t="s">
        <v>21</v>
      </c>
      <c r="B153" s="16">
        <f t="shared" si="161"/>
        <v>2.75</v>
      </c>
      <c r="C153" s="4" t="str">
        <f t="shared" si="162"/>
        <v/>
      </c>
      <c r="D153" s="5" t="str">
        <f>_xlfn.CONCAT(K153, U153)</f>
        <v>sprigs fresh thyme</v>
      </c>
      <c r="I153" s="18">
        <v>5</v>
      </c>
      <c r="J153" s="19"/>
      <c r="K153" s="19" t="s">
        <v>61</v>
      </c>
      <c r="L153" s="20"/>
      <c r="M153" s="11">
        <f t="shared" si="163"/>
        <v>0</v>
      </c>
      <c r="N153" s="11">
        <f t="shared" si="164"/>
        <v>0</v>
      </c>
      <c r="O153" s="11">
        <f t="shared" si="165"/>
        <v>0</v>
      </c>
      <c r="P153" s="11">
        <f t="shared" si="166"/>
        <v>0</v>
      </c>
      <c r="Q153" s="11">
        <f>MROUND(IF(L153 = "", IF(J153 = "", I153, IF(M153 &lt;&gt; 0, O153 / M153, P153 / N153)) * recipe03DayScale, IF(ISNA(CONVERT(O153, "kg", L153)), CONVERT(P153 * recipe03DayScale, "l", L153), CONVERT(O153 * recipe03DayScale, "kg", L153))), roundTo)</f>
        <v>2.75</v>
      </c>
      <c r="R153" s="11">
        <f>recipe03TotScale * IF(L153 = "", Q153 * M153, IF(ISNA(CONVERT(Q153, L153, "kg")), CONVERT(Q153, L153, "l") * IF(N153 &lt;&gt; 0, M153 / N153, 0), CONVERT(Q153, L153, "kg")))</f>
        <v>0</v>
      </c>
      <c r="S153" s="11">
        <f>recipe03TotScale * IF(R153 = 0, IF(L153 = "", Q153 * N153, IF(ISNA(CONVERT(Q153, L153, "l")), CONVERT(Q153, L153, "kg") * IF(M153 &lt;&gt; 0, N153 / M153, 0), CONVERT(Q153, L153, "l"))), 0)</f>
        <v>0</v>
      </c>
      <c r="T153" s="11">
        <f>recipe03TotScale * IF(AND(R153 = 0, S153 = 0, J153 = "", L153 = ""), Q153, 0)</f>
        <v>2.75</v>
      </c>
      <c r="V153" s="8" t="b">
        <f>INDEX(itemPrepMethods, MATCH(K153, itemNames, 0))="chop"</f>
        <v>0</v>
      </c>
      <c r="W153" s="21" t="str">
        <f>IF(V153, Q153, "")</f>
        <v/>
      </c>
      <c r="X153" s="22" t="str">
        <f>IF(V153, IF(L153 = "", "", L153), "")</f>
        <v/>
      </c>
      <c r="Y153" s="22" t="str">
        <f>IF(V153, K153, "")</f>
        <v/>
      </c>
      <c r="Z153" s="23"/>
      <c r="AA153" s="8" t="b">
        <f>INDEX(itemPrepMethods, MATCH(K153, itemNames, 0))="soak"</f>
        <v>0</v>
      </c>
      <c r="AB153" s="22" t="str">
        <f>IF(AA153, Q153, "")</f>
        <v/>
      </c>
      <c r="AC153" s="22" t="str">
        <f>IF(AA153, IF(L153 = "", "", L153), "")</f>
        <v/>
      </c>
      <c r="AD153" s="22" t="str">
        <f>IF(AA153, K153, "")</f>
        <v/>
      </c>
    </row>
    <row r="154" spans="1:30" x14ac:dyDescent="0.25">
      <c r="A154" s="5" t="s">
        <v>21</v>
      </c>
      <c r="B154" s="16">
        <f t="shared" si="161"/>
        <v>2.75</v>
      </c>
      <c r="C154" s="4" t="str">
        <f t="shared" si="162"/>
        <v/>
      </c>
      <c r="D154" s="5" t="str">
        <f>_xlfn.CONCAT(K154, U154)</f>
        <v>bay leaves</v>
      </c>
      <c r="I154" s="18">
        <v>5</v>
      </c>
      <c r="J154" s="19"/>
      <c r="K154" s="19" t="s">
        <v>62</v>
      </c>
      <c r="L154" s="20"/>
      <c r="M154" s="11">
        <f t="shared" si="163"/>
        <v>0</v>
      </c>
      <c r="N154" s="11">
        <f t="shared" si="164"/>
        <v>0</v>
      </c>
      <c r="O154" s="11">
        <f t="shared" si="165"/>
        <v>0</v>
      </c>
      <c r="P154" s="11">
        <f t="shared" si="166"/>
        <v>0</v>
      </c>
      <c r="Q154" s="11">
        <f>MROUND(IF(L154 = "", IF(J154 = "", I154, IF(M154 &lt;&gt; 0, O154 / M154, P154 / N154)) * recipe03DayScale, IF(ISNA(CONVERT(O154, "kg", L154)), CONVERT(P154 * recipe03DayScale, "l", L154), CONVERT(O154 * recipe03DayScale, "kg", L154))), roundTo)</f>
        <v>2.75</v>
      </c>
      <c r="R154" s="11">
        <f>recipe03TotScale * IF(L154 = "", Q154 * M154, IF(ISNA(CONVERT(Q154, L154, "kg")), CONVERT(Q154, L154, "l") * IF(N154 &lt;&gt; 0, M154 / N154, 0), CONVERT(Q154, L154, "kg")))</f>
        <v>0</v>
      </c>
      <c r="S154" s="11">
        <f>recipe03TotScale * IF(R154 = 0, IF(L154 = "", Q154 * N154, IF(ISNA(CONVERT(Q154, L154, "l")), CONVERT(Q154, L154, "kg") * IF(M154 &lt;&gt; 0, N154 / M154, 0), CONVERT(Q154, L154, "l"))), 0)</f>
        <v>0</v>
      </c>
      <c r="T154" s="11">
        <f>recipe03TotScale * IF(AND(R154 = 0, S154 = 0, J154 = "", L154 = ""), Q154, 0)</f>
        <v>2.75</v>
      </c>
      <c r="V154" s="8" t="b">
        <f>INDEX(itemPrepMethods, MATCH(K154, itemNames, 0))="chop"</f>
        <v>0</v>
      </c>
      <c r="W154" s="21" t="str">
        <f>IF(V154, Q154, "")</f>
        <v/>
      </c>
      <c r="X154" s="22" t="str">
        <f>IF(V154, IF(L154 = "", "", L154), "")</f>
        <v/>
      </c>
      <c r="Y154" s="22" t="str">
        <f>IF(V154, K154, "")</f>
        <v/>
      </c>
      <c r="Z154" s="23"/>
      <c r="AA154" s="8" t="b">
        <f>INDEX(itemPrepMethods, MATCH(K154, itemNames, 0))="soak"</f>
        <v>0</v>
      </c>
      <c r="AB154" s="22" t="str">
        <f>IF(AA154, Q154, "")</f>
        <v/>
      </c>
      <c r="AC154" s="22" t="str">
        <f>IF(AA154, IF(L154 = "", "", L154), "")</f>
        <v/>
      </c>
      <c r="AD154" s="22" t="str">
        <f>IF(AA154, K154, "")</f>
        <v/>
      </c>
    </row>
    <row r="155" spans="1:30" x14ac:dyDescent="0.25">
      <c r="A155" s="129"/>
      <c r="B155" s="129"/>
      <c r="C155" s="129"/>
      <c r="D155" s="129"/>
      <c r="I155" s="11"/>
      <c r="L155" s="8"/>
      <c r="M155" s="8"/>
      <c r="N155" s="8"/>
      <c r="O155" s="8"/>
      <c r="P155" s="8"/>
      <c r="W155" s="21"/>
      <c r="X155" s="21"/>
      <c r="Y155" s="21"/>
      <c r="Z155" s="21"/>
      <c r="AA155" s="30"/>
      <c r="AB155" s="21"/>
      <c r="AC155" s="21"/>
      <c r="AD155" s="21"/>
    </row>
    <row r="156" spans="1:30" x14ac:dyDescent="0.25">
      <c r="A156" s="129" t="s">
        <v>206</v>
      </c>
      <c r="B156" s="129"/>
      <c r="C156" s="129"/>
      <c r="D156" s="129"/>
      <c r="I156" s="11"/>
      <c r="L156" s="8"/>
      <c r="M156" s="8"/>
      <c r="N156" s="8"/>
      <c r="O156" s="8"/>
      <c r="P156" s="8"/>
      <c r="W156" s="21"/>
      <c r="X156" s="21"/>
      <c r="Y156" s="21"/>
      <c r="Z156" s="21"/>
      <c r="AA156" s="30"/>
      <c r="AB156" s="21"/>
      <c r="AC156" s="21"/>
      <c r="AD156" s="21"/>
    </row>
    <row r="157" spans="1:30" x14ac:dyDescent="0.25">
      <c r="A157" s="5" t="s">
        <v>21</v>
      </c>
      <c r="B157" s="16">
        <f>Q157</f>
        <v>5.5</v>
      </c>
      <c r="C157" s="4" t="str">
        <f t="shared" si="162"/>
        <v>lt</v>
      </c>
      <c r="D157" s="38" t="str">
        <f>_xlfn.CONCAT(K157, U157)</f>
        <v>sliced silverbeet leaves</v>
      </c>
      <c r="I157" s="18">
        <v>1.5</v>
      </c>
      <c r="J157" s="19" t="s">
        <v>12</v>
      </c>
      <c r="K157" s="19" t="s">
        <v>81</v>
      </c>
      <c r="L157" s="20" t="s">
        <v>542</v>
      </c>
      <c r="M157" s="11">
        <f>INDEX(itemGPerQty, MATCH(K157, itemNames, 0))</f>
        <v>3.1E-2</v>
      </c>
      <c r="N157" s="11">
        <f>INDEX(itemMlPerQty, MATCH(K157, itemNames, 0))</f>
        <v>0.2</v>
      </c>
      <c r="O157" s="11">
        <f>IF(J157 = "", I157 * M157, IF(ISNA(CONVERT(I157, J157, "kg")), CONVERT(I157, J157, "l") * IF(N157 &lt;&gt; 0, M157 / N157, 0), CONVERT(I157, J157, "kg")))</f>
        <v>1.5</v>
      </c>
      <c r="P157" s="11">
        <f>IF(J157 = "", I157 * N157, IF(ISNA(CONVERT(I157, J157, "l")), CONVERT(I157, J157, "kg") * IF(M157 &lt;&gt; 0, N157 / M157, 0), CONVERT(I157, J157, "l")))</f>
        <v>9.67741935483871</v>
      </c>
      <c r="Q157" s="11">
        <f>MROUND(IF(L157 = "", IF(J157 = "", I157, IF(M157 &lt;&gt; 0, O157 / M157, P157 / N157)) * recipe03DayScale, IF(ISNA(CONVERT(O157, "kg", L157)), CONVERT(P157 * recipe03DayScale, "l", L157), CONVERT(O157 * recipe03DayScale, "kg", L157))), roundTo)</f>
        <v>5.5</v>
      </c>
      <c r="R157" s="11">
        <f>recipe03TotScale * IF(L157 = "", Q157 * M157, IF(ISNA(CONVERT(Q157, L157, "kg")), CONVERT(Q157, L157, "l") * IF(N157 &lt;&gt; 0, M157 / N157, 0), CONVERT(Q157, L157, "kg")))</f>
        <v>0.85250000000000004</v>
      </c>
      <c r="S157" s="11">
        <f>recipe03TotScale * IF(R157 = 0, IF(L157 = "", Q157 * N157, IF(ISNA(CONVERT(Q157, L157, "l")), CONVERT(Q157, L157, "kg") * IF(M157 &lt;&gt; 0, N157 / M157, 0), CONVERT(Q157, L157, "l"))), 0)</f>
        <v>0</v>
      </c>
      <c r="T157" s="11">
        <f>recipe03TotScale * IF(AND(R157 = 0, S157 = 0, J157 = "", L157 = ""), Q157, 0)</f>
        <v>0</v>
      </c>
      <c r="V157" s="8" t="b">
        <f>INDEX(itemPrepMethods, MATCH(K157, itemNames, 0))="chop"</f>
        <v>1</v>
      </c>
      <c r="W157" s="21">
        <f>IF(V157, Q157, "")</f>
        <v>5.5</v>
      </c>
      <c r="X157" s="22" t="str">
        <f>IF(V157, IF(L157 = "", "", L157), "")</f>
        <v>lt</v>
      </c>
      <c r="Y157" s="22" t="str">
        <f>IF(V157, K157, "")</f>
        <v>sliced silverbeet leaves</v>
      </c>
      <c r="Z157" s="23"/>
      <c r="AA157" s="8" t="b">
        <f>INDEX(itemPrepMethods, MATCH(K157, itemNames, 0))="soak"</f>
        <v>0</v>
      </c>
      <c r="AB157" s="22" t="str">
        <f>IF(AA157, Q157, "")</f>
        <v/>
      </c>
      <c r="AC157" s="22" t="str">
        <f>IF(AA157, IF(L157 = "", "", L157), "")</f>
        <v/>
      </c>
      <c r="AD157" s="22" t="str">
        <f>IF(AA157, K157, "")</f>
        <v/>
      </c>
    </row>
    <row r="158" spans="1:30" x14ac:dyDescent="0.25">
      <c r="A158" s="129"/>
      <c r="B158" s="129"/>
      <c r="C158" s="129"/>
      <c r="D158" s="129"/>
      <c r="I158" s="11"/>
      <c r="L158" s="8"/>
      <c r="M158" s="8"/>
      <c r="N158" s="8"/>
      <c r="O158" s="8"/>
      <c r="P158" s="8"/>
      <c r="W158" s="21"/>
      <c r="X158" s="21"/>
      <c r="Y158" s="21"/>
      <c r="Z158" s="21"/>
      <c r="AA158" s="30"/>
      <c r="AB158" s="21"/>
      <c r="AC158" s="21"/>
      <c r="AD158" s="21"/>
    </row>
    <row r="159" spans="1:30" x14ac:dyDescent="0.25">
      <c r="A159" s="129" t="s">
        <v>207</v>
      </c>
      <c r="B159" s="129"/>
      <c r="C159" s="129"/>
      <c r="D159" s="129"/>
      <c r="I159" s="11"/>
      <c r="L159" s="8"/>
      <c r="M159" s="8"/>
      <c r="N159" s="8"/>
      <c r="O159" s="8"/>
      <c r="P159" s="8"/>
      <c r="W159" s="21"/>
      <c r="X159" s="21"/>
      <c r="Y159" s="21"/>
      <c r="Z159" s="21"/>
      <c r="AA159" s="30"/>
      <c r="AB159" s="21"/>
      <c r="AC159" s="21"/>
      <c r="AD159" s="21"/>
    </row>
    <row r="160" spans="1:30" x14ac:dyDescent="0.25">
      <c r="A160" s="129"/>
      <c r="B160" s="129"/>
      <c r="C160" s="129"/>
      <c r="D160" s="129"/>
      <c r="I160" s="11"/>
      <c r="L160" s="8"/>
      <c r="M160" s="8"/>
      <c r="N160" s="8"/>
      <c r="O160" s="8"/>
      <c r="P160" s="8"/>
      <c r="W160" s="21"/>
      <c r="X160" s="21"/>
      <c r="Y160" s="21"/>
      <c r="Z160" s="21"/>
      <c r="AA160" s="30"/>
      <c r="AB160" s="21"/>
      <c r="AC160" s="21"/>
      <c r="AD160" s="21"/>
    </row>
    <row r="161" spans="1:30" x14ac:dyDescent="0.25">
      <c r="A161" s="129" t="s">
        <v>223</v>
      </c>
      <c r="B161" s="129"/>
      <c r="C161" s="129"/>
      <c r="D161" s="129"/>
      <c r="I161" s="11"/>
      <c r="L161" s="8"/>
      <c r="W161" s="21"/>
      <c r="X161" s="21"/>
      <c r="Y161" s="21"/>
      <c r="Z161" s="21"/>
      <c r="AA161" s="30"/>
      <c r="AB161" s="21"/>
      <c r="AC161" s="21"/>
      <c r="AD161" s="21"/>
    </row>
    <row r="162" spans="1:30" x14ac:dyDescent="0.25">
      <c r="A162" s="5" t="s">
        <v>21</v>
      </c>
      <c r="B162" s="16"/>
      <c r="C162" s="4" t="str">
        <f>IF(L162="","",L162)</f>
        <v/>
      </c>
      <c r="D162" s="5" t="str">
        <f>_xlfn.CONCAT(K162, U162)</f>
        <v>salt, to taste</v>
      </c>
      <c r="I162" s="11"/>
      <c r="K162" s="19" t="s">
        <v>11</v>
      </c>
      <c r="L162" s="8"/>
      <c r="M162" s="8"/>
      <c r="N162" s="8"/>
      <c r="O162" s="8"/>
      <c r="P162" s="8"/>
      <c r="U162" s="8" t="s">
        <v>173</v>
      </c>
      <c r="V162" s="8" t="b">
        <f>INDEX(itemPrepMethods, MATCH(K162, itemNames, 0))="chop"</f>
        <v>0</v>
      </c>
      <c r="W162" s="21" t="str">
        <f>IF(V162, Q162, "")</f>
        <v/>
      </c>
      <c r="X162" s="22" t="str">
        <f>IF(V162, IF(L162 = "", "", L162), "")</f>
        <v/>
      </c>
      <c r="Y162" s="22" t="str">
        <f>IF(V162, K162, "")</f>
        <v/>
      </c>
      <c r="Z162" s="23"/>
      <c r="AA162" s="8" t="b">
        <f>INDEX(itemPrepMethods, MATCH(K162, itemNames, 0))="soak"</f>
        <v>0</v>
      </c>
      <c r="AB162" s="22" t="str">
        <f>IF(AA162, Q162, "")</f>
        <v/>
      </c>
      <c r="AC162" s="22" t="str">
        <f>IF(AA162, IF(L162 = "", "", L162), "")</f>
        <v/>
      </c>
      <c r="AD162" s="22" t="str">
        <f>IF(AA162, K162, "")</f>
        <v/>
      </c>
    </row>
    <row r="163" spans="1:30" x14ac:dyDescent="0.25">
      <c r="A163" s="5" t="s">
        <v>21</v>
      </c>
      <c r="B163" s="16"/>
      <c r="C163" s="4" t="str">
        <f>IF(L163="","",L163)</f>
        <v/>
      </c>
      <c r="D163" s="5" t="str">
        <f>_xlfn.CONCAT(K163, U163)</f>
        <v>ground black pepper, to taste</v>
      </c>
      <c r="I163" s="11"/>
      <c r="K163" s="19" t="s">
        <v>54</v>
      </c>
      <c r="L163" s="8"/>
      <c r="M163" s="8"/>
      <c r="N163" s="8"/>
      <c r="O163" s="8"/>
      <c r="P163" s="8"/>
      <c r="U163" s="8" t="s">
        <v>173</v>
      </c>
      <c r="V163" s="8" t="b">
        <f>INDEX(itemPrepMethods, MATCH(K163, itemNames, 0))="chop"</f>
        <v>0</v>
      </c>
      <c r="W163" s="21" t="str">
        <f>IF(V163, Q163, "")</f>
        <v/>
      </c>
      <c r="X163" s="22" t="str">
        <f>IF(V163, IF(L163 = "", "", L163), "")</f>
        <v/>
      </c>
      <c r="Y163" s="22" t="str">
        <f>IF(V163, K163, "")</f>
        <v/>
      </c>
      <c r="Z163" s="23"/>
      <c r="AA163" s="8" t="b">
        <f>INDEX(itemPrepMethods, MATCH(K163, itemNames, 0))="soak"</f>
        <v>0</v>
      </c>
      <c r="AB163" s="22" t="str">
        <f>IF(AA163, Q163, "")</f>
        <v/>
      </c>
      <c r="AC163" s="22" t="str">
        <f>IF(AA163, IF(L163 = "", "", L163), "")</f>
        <v/>
      </c>
      <c r="AD163" s="22" t="str">
        <f>IF(AA163, K163, "")</f>
        <v/>
      </c>
    </row>
    <row r="164" spans="1:30" ht="15.75" x14ac:dyDescent="0.25">
      <c r="A164" s="130" t="s">
        <v>510</v>
      </c>
      <c r="B164" s="130"/>
      <c r="C164" s="130"/>
      <c r="D164" s="130"/>
      <c r="E164" s="7" t="s">
        <v>108</v>
      </c>
      <c r="F164" s="39" t="s">
        <v>135</v>
      </c>
      <c r="G164" s="39"/>
    </row>
    <row r="165" spans="1:30" ht="24" x14ac:dyDescent="0.2">
      <c r="A165" s="130" t="s">
        <v>29</v>
      </c>
      <c r="B165" s="130"/>
      <c r="C165" s="130"/>
      <c r="D165" s="130"/>
      <c r="E165" s="6" t="s">
        <v>39</v>
      </c>
      <c r="F165" s="37">
        <v>16</v>
      </c>
      <c r="G165" s="11"/>
      <c r="I165" s="33" t="s">
        <v>355</v>
      </c>
      <c r="J165" s="34" t="s">
        <v>356</v>
      </c>
      <c r="K165" s="34" t="s">
        <v>17</v>
      </c>
      <c r="L165" s="35" t="s">
        <v>359</v>
      </c>
      <c r="M165" s="33" t="s">
        <v>115</v>
      </c>
      <c r="N165" s="33" t="s">
        <v>116</v>
      </c>
      <c r="O165" s="33" t="s">
        <v>357</v>
      </c>
      <c r="P165" s="33" t="s">
        <v>358</v>
      </c>
      <c r="Q165" s="34" t="s">
        <v>286</v>
      </c>
      <c r="R165" s="33" t="s">
        <v>287</v>
      </c>
      <c r="S165" s="33" t="s">
        <v>288</v>
      </c>
      <c r="T165" s="33" t="s">
        <v>289</v>
      </c>
      <c r="U165" s="34" t="s">
        <v>22</v>
      </c>
      <c r="V165" s="34" t="s">
        <v>169</v>
      </c>
      <c r="W165" s="36" t="s">
        <v>286</v>
      </c>
      <c r="X165" s="34" t="s">
        <v>167</v>
      </c>
      <c r="Y165" s="34" t="s">
        <v>168</v>
      </c>
      <c r="Z165" s="34" t="s">
        <v>263</v>
      </c>
      <c r="AA165" s="34" t="s">
        <v>170</v>
      </c>
      <c r="AB165" s="36" t="s">
        <v>286</v>
      </c>
      <c r="AC165" s="34" t="s">
        <v>171</v>
      </c>
      <c r="AD165" s="34" t="s">
        <v>172</v>
      </c>
    </row>
    <row r="166" spans="1:30" ht="16.5" thickBot="1" x14ac:dyDescent="0.3">
      <c r="A166" s="131" t="str">
        <f>_xlfn.CONCAT(F166," servings")</f>
        <v>10 servings</v>
      </c>
      <c r="B166" s="131"/>
      <c r="C166" s="131"/>
      <c r="D166" s="131"/>
      <c r="E166" s="29" t="s">
        <v>281</v>
      </c>
      <c r="F166" s="37">
        <f>wkdyRegLunch</f>
        <v>10</v>
      </c>
      <c r="G166" s="11"/>
      <c r="I166" s="11"/>
      <c r="W166" s="130" t="s">
        <v>521</v>
      </c>
      <c r="X166" s="130"/>
      <c r="Y166" s="130"/>
      <c r="Z166" s="130"/>
      <c r="AB166" s="130" t="s">
        <v>522</v>
      </c>
      <c r="AC166" s="130"/>
      <c r="AD166" s="130"/>
    </row>
    <row r="167" spans="1:30" s="41" customFormat="1" ht="16.5" thickBot="1" x14ac:dyDescent="0.3">
      <c r="A167" s="129"/>
      <c r="B167" s="129"/>
      <c r="C167" s="129"/>
      <c r="D167" s="129"/>
      <c r="E167" s="29" t="s">
        <v>284</v>
      </c>
      <c r="F167" s="14">
        <f>F166/F165</f>
        <v>0.625</v>
      </c>
      <c r="G167" s="15" t="s">
        <v>312</v>
      </c>
      <c r="I167" s="11"/>
      <c r="L167" s="10"/>
      <c r="M167" s="11"/>
      <c r="N167" s="11"/>
      <c r="O167" s="11"/>
      <c r="P167" s="11"/>
      <c r="Q167" s="11"/>
      <c r="R167" s="11"/>
      <c r="S167" s="11"/>
      <c r="T167" s="11"/>
      <c r="W167" s="130" t="str">
        <f>A164</f>
        <v>MONDAY LUNCH</v>
      </c>
      <c r="X167" s="130"/>
      <c r="Y167" s="130"/>
      <c r="Z167" s="130"/>
      <c r="AB167" s="130" t="str">
        <f>A164</f>
        <v>MONDAY LUNCH</v>
      </c>
      <c r="AC167" s="130"/>
      <c r="AD167" s="130"/>
    </row>
    <row r="168" spans="1:30" ht="15.75" x14ac:dyDescent="0.25">
      <c r="A168" s="129" t="s">
        <v>137</v>
      </c>
      <c r="B168" s="129"/>
      <c r="C168" s="129"/>
      <c r="D168" s="129"/>
      <c r="E168" s="30"/>
      <c r="F168" s="30"/>
      <c r="G168" s="30"/>
      <c r="I168" s="11"/>
      <c r="W168" s="130" t="str">
        <f>A165</f>
        <v>THAI STYLE VEGETABLES</v>
      </c>
      <c r="X168" s="130"/>
      <c r="Y168" s="130"/>
      <c r="Z168" s="130"/>
      <c r="AA168" s="41"/>
      <c r="AB168" s="130" t="str">
        <f>A165</f>
        <v>THAI STYLE VEGETABLES</v>
      </c>
      <c r="AC168" s="130"/>
      <c r="AD168" s="130"/>
    </row>
    <row r="169" spans="1:30" ht="15.75" thickBot="1" x14ac:dyDescent="0.3">
      <c r="A169" s="5" t="s">
        <v>21</v>
      </c>
      <c r="B169" s="16"/>
      <c r="C169" s="4" t="str">
        <f t="shared" ref="C169" si="167">IF(L169="","",L169)</f>
        <v/>
      </c>
      <c r="D169" s="5" t="str">
        <f>_xlfn.CONCAT(K169, U169)</f>
        <v>oil</v>
      </c>
      <c r="E169" s="29" t="s">
        <v>273</v>
      </c>
      <c r="F169" s="37">
        <f>wkdyRegLunch</f>
        <v>10</v>
      </c>
      <c r="G169" s="30"/>
      <c r="I169" s="11"/>
      <c r="K169" s="19" t="s">
        <v>32</v>
      </c>
      <c r="L169" s="8"/>
      <c r="M169" s="8"/>
      <c r="N169" s="8"/>
      <c r="O169" s="8"/>
      <c r="P169" s="8"/>
      <c r="Q169" s="8"/>
      <c r="T169" s="8"/>
      <c r="V169" s="8" t="b">
        <f>INDEX(itemPrepMethods, MATCH(K169, itemNames, 0))="chop"</f>
        <v>0</v>
      </c>
      <c r="W169" s="21" t="str">
        <f>IF(V169, Q169, "")</f>
        <v/>
      </c>
      <c r="X169" s="22" t="str">
        <f>IF(V169, IF(L169 = "", "", L169), "")</f>
        <v/>
      </c>
      <c r="Y169" s="22" t="str">
        <f>IF(V169, K169, "")</f>
        <v/>
      </c>
      <c r="Z169" s="23"/>
      <c r="AA169" s="8" t="b">
        <f>INDEX(itemPrepMethods, MATCH(K169, itemNames, 0))="soak"</f>
        <v>0</v>
      </c>
      <c r="AB169" s="22" t="str">
        <f>IF(AA169, Q169, "")</f>
        <v/>
      </c>
      <c r="AC169" s="22" t="str">
        <f>IF(AA169, IF(L169 = "", "", L169), "")</f>
        <v/>
      </c>
      <c r="AD169" s="22" t="str">
        <f>IF(AA169, K169, "")</f>
        <v/>
      </c>
    </row>
    <row r="170" spans="1:30" ht="36.75" thickBot="1" x14ac:dyDescent="0.3">
      <c r="A170" s="5" t="s">
        <v>21</v>
      </c>
      <c r="B170" s="16">
        <f t="shared" ref="B170" si="168">Q170</f>
        <v>1.5</v>
      </c>
      <c r="C170" s="4" t="str">
        <f t="shared" ref="C170" si="169">IF(L170="","",L170)</f>
        <v/>
      </c>
      <c r="D170" s="5" t="str">
        <f>_xlfn.CONCAT(K170, U170)</f>
        <v>blocks tofu, cut into cubes</v>
      </c>
      <c r="E170" s="29" t="s">
        <v>285</v>
      </c>
      <c r="F170" s="14">
        <f>F169/F166</f>
        <v>1</v>
      </c>
      <c r="G170" s="15" t="s">
        <v>313</v>
      </c>
      <c r="I170" s="25">
        <v>800</v>
      </c>
      <c r="J170" s="19" t="s">
        <v>0</v>
      </c>
      <c r="K170" s="19" t="s">
        <v>227</v>
      </c>
      <c r="L170" s="20"/>
      <c r="M170" s="11">
        <f>INDEX(itemGPerQty, MATCH(K170, itemNames, 0))</f>
        <v>0.311</v>
      </c>
      <c r="N170" s="11">
        <f>INDEX(itemMlPerQty, MATCH(K170, itemNames, 0))</f>
        <v>0.5</v>
      </c>
      <c r="O170" s="11">
        <f t="shared" ref="O170:O171" si="170">IF(J170 = "", I170 * M170, IF(ISNA(CONVERT(I170, J170, "kg")), CONVERT(I170, J170, "l") * IF(N170 &lt;&gt; 0, M170 / N170, 0), CONVERT(I170, J170, "kg")))</f>
        <v>0.8</v>
      </c>
      <c r="P170" s="11">
        <f t="shared" ref="P170:P171" si="171">IF(J170 = "", I170 * N170, IF(ISNA(CONVERT(I170, J170, "l")), CONVERT(I170, J170, "kg") * IF(M170 &lt;&gt; 0, N170 / M170, 0), CONVERT(I170, J170, "l")))</f>
        <v>1.2861736334405145</v>
      </c>
      <c r="Q170" s="11">
        <f>MROUND(IF(L170 = "", IF(J170 = "", I170, IF(M170 &lt;&gt; 0, O170 / M170, P170 / N170)) * recipe10DayScale, IF(ISNA(CONVERT(O170, "kg", L170)), CONVERT(P170 * recipe10DayScale, "l", L170), CONVERT(O170 * recipe10DayScale, "kg", L170))), roundTo)</f>
        <v>1.5</v>
      </c>
      <c r="R170" s="11">
        <f>recipe10TotScale * IF(L170 = "", Q170 * M170, IF(ISNA(CONVERT(Q170, L170, "kg")), CONVERT(Q170, L170, "l") * IF(N170 &lt;&gt; 0, M170 / N170, 0), CONVERT(Q170, L170, "kg")))</f>
        <v>0.46650000000000003</v>
      </c>
      <c r="S170" s="11">
        <f>recipe10TotScale * IF(R170 = 0, IF(L170 = "", Q170 * N170, IF(ISNA(CONVERT(Q170, L170, "l")), CONVERT(Q170, L170, "kg") * IF(M170 &lt;&gt; 0, N170 / M170, 0), CONVERT(Q170, L170, "l"))), 0)</f>
        <v>0</v>
      </c>
      <c r="T170" s="11">
        <f>recipe10TotScale * IF(AND(R170 = 0, S170 = 0, J170 = "", L170 = ""), Q170, 0)</f>
        <v>0</v>
      </c>
      <c r="V170" s="8" t="b">
        <f>INDEX(itemPrepMethods, MATCH(K170, itemNames, 0))="chop"</f>
        <v>1</v>
      </c>
      <c r="W170" s="21">
        <f>IF(V170, Q170, "")</f>
        <v>1.5</v>
      </c>
      <c r="X170" s="22" t="str">
        <f>IF(V170, IF(L170 = "", "", L170), "")</f>
        <v/>
      </c>
      <c r="Y170" s="22" t="str">
        <f>IF(V170, K170, "")</f>
        <v>blocks tofu, cut into cubes</v>
      </c>
      <c r="Z170" s="23" t="s">
        <v>229</v>
      </c>
      <c r="AA170" s="8" t="b">
        <f>INDEX(itemPrepMethods, MATCH(K170, itemNames, 0))="soak"</f>
        <v>0</v>
      </c>
      <c r="AB170" s="22" t="str">
        <f>IF(AA170, Q170, "")</f>
        <v/>
      </c>
      <c r="AC170" s="22" t="str">
        <f>IF(AA170, IF(L170 = "", "", L170), "")</f>
        <v/>
      </c>
      <c r="AD170" s="22" t="str">
        <f>IF(AA170, K170, "")</f>
        <v/>
      </c>
    </row>
    <row r="171" spans="1:30" x14ac:dyDescent="0.25">
      <c r="A171" s="5" t="s">
        <v>21</v>
      </c>
      <c r="B171" s="16">
        <f t="shared" ref="B171" si="172">Q171</f>
        <v>3</v>
      </c>
      <c r="C171" s="4" t="str">
        <f t="shared" ref="C171" si="173">IF(L171="","",L171)</f>
        <v>tbs</v>
      </c>
      <c r="D171" s="5" t="str">
        <f>_xlfn.CONCAT(K171, U171)</f>
        <v>tamari</v>
      </c>
      <c r="I171" s="25">
        <v>0.3</v>
      </c>
      <c r="J171" s="19" t="s">
        <v>16</v>
      </c>
      <c r="K171" s="19" t="s">
        <v>136</v>
      </c>
      <c r="L171" s="20" t="s">
        <v>15</v>
      </c>
      <c r="M171" s="11">
        <f>INDEX(itemGPerQty, MATCH(K171, itemNames, 0))</f>
        <v>0</v>
      </c>
      <c r="N171" s="11">
        <f>INDEX(itemMlPerQty, MATCH(K171, itemNames, 0))</f>
        <v>0</v>
      </c>
      <c r="O171" s="11">
        <f t="shared" si="170"/>
        <v>0</v>
      </c>
      <c r="P171" s="11">
        <f t="shared" si="171"/>
        <v>7.0976470949999995E-2</v>
      </c>
      <c r="Q171" s="11">
        <f>MROUND(IF(L171 = "", IF(J171 = "", I171, IF(M171 &lt;&gt; 0, O171 / M171, P171 / N171)) * recipe10DayScale, IF(ISNA(CONVERT(O171, "kg", L171)), CONVERT(P171 * recipe10DayScale, "l", L171), CONVERT(O171 * recipe10DayScale, "kg", L171))), roundTo)</f>
        <v>3</v>
      </c>
      <c r="R171" s="11">
        <f>recipe10TotScale * IF(L171 = "", Q171 * M171, IF(ISNA(CONVERT(Q171, L171, "kg")), CONVERT(Q171, L171, "l") * IF(N171 &lt;&gt; 0, M171 / N171, 0), CONVERT(Q171, L171, "kg")))</f>
        <v>0</v>
      </c>
      <c r="S171" s="11">
        <f>recipe10TotScale * IF(R171 = 0, IF(L171 = "", Q171 * N171, IF(ISNA(CONVERT(Q171, L171, "l")), CONVERT(Q171, L171, "kg") * IF(M171 &lt;&gt; 0, N171 / M171, 0), CONVERT(Q171, L171, "l"))), 0)</f>
        <v>4.4360294343749995E-2</v>
      </c>
      <c r="T171" s="11">
        <f>recipe10TotScale * IF(AND(R171 = 0, S171 = 0, J171 = "", L171 = ""), Q171, 0)</f>
        <v>0</v>
      </c>
      <c r="V171" s="8" t="b">
        <f>INDEX(itemPrepMethods, MATCH(K171, itemNames, 0))="chop"</f>
        <v>0</v>
      </c>
      <c r="W171" s="21" t="str">
        <f>IF(V171, Q171, "")</f>
        <v/>
      </c>
      <c r="X171" s="22" t="str">
        <f>IF(V171, IF(L171 = "", "", L171), "")</f>
        <v/>
      </c>
      <c r="Y171" s="22" t="str">
        <f>IF(V171, K171, "")</f>
        <v/>
      </c>
      <c r="Z171" s="23"/>
      <c r="AA171" s="8" t="b">
        <f>INDEX(itemPrepMethods, MATCH(K171, itemNames, 0))="soak"</f>
        <v>0</v>
      </c>
      <c r="AB171" s="22" t="str">
        <f>IF(AA171, Q171, "")</f>
        <v/>
      </c>
      <c r="AC171" s="22" t="str">
        <f>IF(AA171, IF(L171 = "", "", L171), "")</f>
        <v/>
      </c>
      <c r="AD171" s="22" t="str">
        <f>IF(AA171, K171, "")</f>
        <v/>
      </c>
    </row>
    <row r="172" spans="1:30" x14ac:dyDescent="0.25">
      <c r="A172" s="129"/>
      <c r="B172" s="129"/>
      <c r="C172" s="129"/>
      <c r="D172" s="129"/>
      <c r="I172" s="11"/>
      <c r="L172" s="8"/>
      <c r="M172" s="8"/>
      <c r="N172" s="8"/>
      <c r="W172" s="21"/>
      <c r="X172" s="22"/>
      <c r="Y172" s="22"/>
      <c r="Z172" s="23"/>
      <c r="AA172" s="30"/>
      <c r="AB172" s="21"/>
      <c r="AC172" s="21"/>
      <c r="AD172" s="21"/>
    </row>
    <row r="173" spans="1:30" x14ac:dyDescent="0.25">
      <c r="A173" s="129" t="s">
        <v>145</v>
      </c>
      <c r="B173" s="129"/>
      <c r="C173" s="129"/>
      <c r="D173" s="129"/>
      <c r="I173" s="11"/>
      <c r="L173" s="8"/>
      <c r="M173" s="8"/>
      <c r="N173" s="8"/>
      <c r="W173" s="21"/>
      <c r="X173" s="22"/>
      <c r="Y173" s="22"/>
      <c r="Z173" s="23"/>
      <c r="AA173" s="30"/>
      <c r="AB173" s="21"/>
      <c r="AC173" s="21"/>
      <c r="AD173" s="21"/>
    </row>
    <row r="174" spans="1:30" x14ac:dyDescent="0.25">
      <c r="A174" s="5" t="s">
        <v>21</v>
      </c>
      <c r="B174" s="16">
        <f t="shared" ref="B174" si="174">Q174</f>
        <v>6.25</v>
      </c>
      <c r="C174" s="4" t="str">
        <f t="shared" ref="C174" si="175">IF(L174="","",L174)</f>
        <v>tbs</v>
      </c>
      <c r="D174" s="5" t="str">
        <f>_xlfn.CONCAT(K174, U174)</f>
        <v>sesame oil</v>
      </c>
      <c r="I174" s="25">
        <v>10</v>
      </c>
      <c r="J174" s="19" t="s">
        <v>15</v>
      </c>
      <c r="K174" s="19" t="s">
        <v>138</v>
      </c>
      <c r="L174" s="20" t="s">
        <v>15</v>
      </c>
      <c r="M174" s="11">
        <f>INDEX(itemGPerQty, MATCH(K174, itemNames, 0))</f>
        <v>0</v>
      </c>
      <c r="N174" s="11">
        <f>INDEX(itemMlPerQty, MATCH(K174, itemNames, 0))</f>
        <v>0</v>
      </c>
      <c r="O174" s="11">
        <f t="shared" ref="O174:O178" si="176">IF(J174 = "", I174 * M174, IF(ISNA(CONVERT(I174, J174, "kg")), CONVERT(I174, J174, "l") * IF(N174 &lt;&gt; 0, M174 / N174, 0), CONVERT(I174, J174, "kg")))</f>
        <v>0</v>
      </c>
      <c r="P174" s="11">
        <f t="shared" ref="P174:P178" si="177">IF(J174 = "", I174 * N174, IF(ISNA(CONVERT(I174, J174, "l")), CONVERT(I174, J174, "kg") * IF(M174 &lt;&gt; 0, N174 / M174, 0), CONVERT(I174, J174, "l")))</f>
        <v>0.1478676478125</v>
      </c>
      <c r="Q174" s="11">
        <f>MROUND(IF(L174 = "", IF(J174 = "", I174, IF(M174 &lt;&gt; 0, O174 / M174, P174 / N174)) * recipe10DayScale, IF(ISNA(CONVERT(O174, "kg", L174)), CONVERT(P174 * recipe10DayScale, "l", L174), CONVERT(O174 * recipe10DayScale, "kg", L174))), roundTo)</f>
        <v>6.25</v>
      </c>
      <c r="R174" s="11">
        <f>recipe10TotScale * IF(L174 = "", Q174 * M174, IF(ISNA(CONVERT(Q174, L174, "kg")), CONVERT(Q174, L174, "l") * IF(N174 &lt;&gt; 0, M174 / N174, 0), CONVERT(Q174, L174, "kg")))</f>
        <v>0</v>
      </c>
      <c r="S174" s="11">
        <f>recipe10TotScale * IF(R174 = 0, IF(L174 = "", Q174 * N174, IF(ISNA(CONVERT(Q174, L174, "l")), CONVERT(Q174, L174, "kg") * IF(M174 &lt;&gt; 0, N174 / M174, 0), CONVERT(Q174, L174, "l"))), 0)</f>
        <v>9.2417279882812495E-2</v>
      </c>
      <c r="T174" s="11">
        <f>recipe10TotScale * IF(AND(R174 = 0, S174 = 0, J174 = "", L174 = ""), Q174, 0)</f>
        <v>0</v>
      </c>
      <c r="V174" s="8" t="b">
        <f>INDEX(itemPrepMethods, MATCH(K174, itemNames, 0))="chop"</f>
        <v>0</v>
      </c>
      <c r="W174" s="21" t="str">
        <f>IF(V174, Q174, "")</f>
        <v/>
      </c>
      <c r="X174" s="22" t="str">
        <f>IF(V174, IF(L174 = "", "", L174), "")</f>
        <v/>
      </c>
      <c r="Y174" s="22" t="str">
        <f>IF(V174, K174, "")</f>
        <v/>
      </c>
      <c r="Z174" s="23"/>
      <c r="AA174" s="8" t="b">
        <f>INDEX(itemPrepMethods, MATCH(K174, itemNames, 0))="soak"</f>
        <v>0</v>
      </c>
      <c r="AB174" s="22" t="str">
        <f>IF(AA174, Q174, "")</f>
        <v/>
      </c>
      <c r="AC174" s="22" t="str">
        <f>IF(AA174, IF(L174 = "", "", L174), "")</f>
        <v/>
      </c>
      <c r="AD174" s="22" t="str">
        <f>IF(AA174, K174, "")</f>
        <v/>
      </c>
    </row>
    <row r="175" spans="1:30" x14ac:dyDescent="0.25">
      <c r="A175" s="5" t="s">
        <v>21</v>
      </c>
      <c r="B175" s="16">
        <f t="shared" ref="B175:B176" si="178">Q175</f>
        <v>2</v>
      </c>
      <c r="C175" s="4" t="str">
        <f t="shared" ref="C175:C176" si="179">IF(L175="","",L175)</f>
        <v>tbs</v>
      </c>
      <c r="D175" s="5" t="str">
        <f>_xlfn.CONCAT(K175, U175)</f>
        <v>thai green curry</v>
      </c>
      <c r="I175" s="25">
        <v>3</v>
      </c>
      <c r="J175" s="19" t="s">
        <v>15</v>
      </c>
      <c r="K175" s="19" t="s">
        <v>139</v>
      </c>
      <c r="L175" s="20" t="s">
        <v>15</v>
      </c>
      <c r="M175" s="11">
        <f>INDEX(itemGPerQty, MATCH(K175, itemNames, 0))</f>
        <v>0</v>
      </c>
      <c r="N175" s="11">
        <f>INDEX(itemMlPerQty, MATCH(K175, itemNames, 0))</f>
        <v>0</v>
      </c>
      <c r="O175" s="11">
        <f t="shared" si="176"/>
        <v>0</v>
      </c>
      <c r="P175" s="11">
        <f t="shared" si="177"/>
        <v>4.4360294343749995E-2</v>
      </c>
      <c r="Q175" s="11">
        <f>MROUND(IF(L175 = "", IF(J175 = "", I175, IF(M175 &lt;&gt; 0, O175 / M175, P175 / N175)) * recipe10DayScale, IF(ISNA(CONVERT(O175, "kg", L175)), CONVERT(P175 * recipe10DayScale, "l", L175), CONVERT(O175 * recipe10DayScale, "kg", L175))), roundTo)</f>
        <v>2</v>
      </c>
      <c r="R175" s="11">
        <f>recipe10TotScale * IF(L175 = "", Q175 * M175, IF(ISNA(CONVERT(Q175, L175, "kg")), CONVERT(Q175, L175, "l") * IF(N175 &lt;&gt; 0, M175 / N175, 0), CONVERT(Q175, L175, "kg")))</f>
        <v>0</v>
      </c>
      <c r="S175" s="11">
        <f>recipe10TotScale * IF(R175 = 0, IF(L175 = "", Q175 * N175, IF(ISNA(CONVERT(Q175, L175, "l")), CONVERT(Q175, L175, "kg") * IF(M175 &lt;&gt; 0, N175 / M175, 0), CONVERT(Q175, L175, "l"))), 0)</f>
        <v>2.9573529562499999E-2</v>
      </c>
      <c r="T175" s="11">
        <f>recipe10TotScale * IF(AND(R175 = 0, S175 = 0, J175 = "", L175 = ""), Q175, 0)</f>
        <v>0</v>
      </c>
      <c r="V175" s="8" t="b">
        <f>INDEX(itemPrepMethods, MATCH(K175, itemNames, 0))="chop"</f>
        <v>0</v>
      </c>
      <c r="W175" s="21" t="str">
        <f>IF(V175, Q175, "")</f>
        <v/>
      </c>
      <c r="X175" s="22" t="str">
        <f>IF(V175, IF(L175 = "", "", L175), "")</f>
        <v/>
      </c>
      <c r="Y175" s="22" t="str">
        <f>IF(V175, K175, "")</f>
        <v/>
      </c>
      <c r="Z175" s="23"/>
      <c r="AA175" s="8" t="b">
        <f>INDEX(itemPrepMethods, MATCH(K175, itemNames, 0))="soak"</f>
        <v>0</v>
      </c>
      <c r="AB175" s="22" t="str">
        <f>IF(AA175, Q175, "")</f>
        <v/>
      </c>
      <c r="AC175" s="22" t="str">
        <f>IF(AA175, IF(L175 = "", "", L175), "")</f>
        <v/>
      </c>
      <c r="AD175" s="22" t="str">
        <f>IF(AA175, K175, "")</f>
        <v/>
      </c>
    </row>
    <row r="176" spans="1:30" x14ac:dyDescent="0.25">
      <c r="A176" s="5" t="s">
        <v>21</v>
      </c>
      <c r="B176" s="16">
        <f t="shared" si="178"/>
        <v>3.25</v>
      </c>
      <c r="C176" s="4" t="str">
        <f t="shared" si="179"/>
        <v>cup</v>
      </c>
      <c r="D176" s="5" t="str">
        <f>_xlfn.CONCAT(K176, U176)</f>
        <v>chopped onions</v>
      </c>
      <c r="I176" s="25">
        <v>4</v>
      </c>
      <c r="J176" s="19"/>
      <c r="K176" s="19" t="s">
        <v>6</v>
      </c>
      <c r="L176" s="20" t="s">
        <v>16</v>
      </c>
      <c r="M176" s="11">
        <f>INDEX(itemGPerQty, MATCH(K176, itemNames, 0))</f>
        <v>0.185</v>
      </c>
      <c r="N176" s="11">
        <f>INDEX(itemMlPerQty, MATCH(K176, itemNames, 0))</f>
        <v>0.3</v>
      </c>
      <c r="O176" s="11">
        <f t="shared" si="176"/>
        <v>0.74</v>
      </c>
      <c r="P176" s="11">
        <f t="shared" si="177"/>
        <v>1.2</v>
      </c>
      <c r="Q176" s="11">
        <f>MROUND(IF(L176 = "", IF(J176 = "", I176, IF(M176 &lt;&gt; 0, O176 / M176, P176 / N176)) * recipe10DayScale, IF(ISNA(CONVERT(O176, "kg", L176)), CONVERT(P176 * recipe10DayScale, "l", L176), CONVERT(O176 * recipe10DayScale, "kg", L176))), roundTo)</f>
        <v>3.25</v>
      </c>
      <c r="R176" s="11">
        <f>recipe10TotScale * IF(L176 = "", Q176 * M176, IF(ISNA(CONVERT(Q176, L176, "kg")), CONVERT(Q176, L176, "l") * IF(N176 &lt;&gt; 0, M176 / N176, 0), CONVERT(Q176, L176, "kg")))</f>
        <v>0.47416225731875</v>
      </c>
      <c r="S176" s="11">
        <f>recipe10TotScale * IF(R176 = 0, IF(L176 = "", Q176 * N176, IF(ISNA(CONVERT(Q176, L176, "l")), CONVERT(Q176, L176, "kg") * IF(M176 &lt;&gt; 0, N176 / M176, 0), CONVERT(Q176, L176, "l"))), 0)</f>
        <v>0</v>
      </c>
      <c r="T176" s="11">
        <f>recipe10TotScale * IF(AND(R176 = 0, S176 = 0, J176 = "", L176 = ""), Q176, 0)</f>
        <v>0</v>
      </c>
      <c r="V176" s="8" t="b">
        <f>INDEX(itemPrepMethods, MATCH(K176, itemNames, 0))="chop"</f>
        <v>1</v>
      </c>
      <c r="W176" s="21">
        <f>IF(V176, Q176, "")</f>
        <v>3.25</v>
      </c>
      <c r="X176" s="22" t="str">
        <f>IF(V176, IF(L176 = "", "", L176), "")</f>
        <v>cup</v>
      </c>
      <c r="Y176" s="22" t="str">
        <f>IF(V176, K176, "")</f>
        <v>chopped onions</v>
      </c>
      <c r="Z176" s="23"/>
      <c r="AA176" s="8" t="b">
        <f>INDEX(itemPrepMethods, MATCH(K176, itemNames, 0))="soak"</f>
        <v>0</v>
      </c>
      <c r="AB176" s="22" t="str">
        <f>IF(AA176, Q176, "")</f>
        <v/>
      </c>
      <c r="AC176" s="22" t="str">
        <f>IF(AA176, IF(L176 = "", "", L176), "")</f>
        <v/>
      </c>
      <c r="AD176" s="22" t="str">
        <f>IF(AA176, K176, "")</f>
        <v/>
      </c>
    </row>
    <row r="177" spans="1:30" x14ac:dyDescent="0.25">
      <c r="A177" s="5" t="s">
        <v>21</v>
      </c>
      <c r="B177" s="16">
        <f t="shared" ref="B177" si="180">Q177</f>
        <v>3.25</v>
      </c>
      <c r="C177" s="4" t="str">
        <f t="shared" ref="C177" si="181">IF(L177="","",L177)</f>
        <v>tbs</v>
      </c>
      <c r="D177" s="5" t="str">
        <f>_xlfn.CONCAT(K177, U177)</f>
        <v>minced fresh ginger</v>
      </c>
      <c r="I177" s="25">
        <v>5</v>
      </c>
      <c r="J177" s="19" t="s">
        <v>15</v>
      </c>
      <c r="K177" s="19" t="s">
        <v>188</v>
      </c>
      <c r="L177" s="20" t="s">
        <v>15</v>
      </c>
      <c r="M177" s="11">
        <f>INDEX(itemGPerQty, MATCH(K177, itemNames, 0))</f>
        <v>2.4E-2</v>
      </c>
      <c r="N177" s="11">
        <f>INDEX(itemMlPerQty, MATCH(K177, itemNames, 0))</f>
        <v>3.4501958300000003E-2</v>
      </c>
      <c r="O177" s="11">
        <f t="shared" si="176"/>
        <v>5.1429306079417529E-2</v>
      </c>
      <c r="P177" s="11">
        <f t="shared" si="177"/>
        <v>7.3933823906250001E-2</v>
      </c>
      <c r="Q177" s="11">
        <f>MROUND(IF(L177 = "", IF(J177 = "", I177, IF(M177 &lt;&gt; 0, O177 / M177, P177 / N177)) * recipe10DayScale, IF(ISNA(CONVERT(O177, "kg", L177)), CONVERT(P177 * recipe10DayScale, "l", L177), CONVERT(O177 * recipe10DayScale, "kg", L177))), roundTo)</f>
        <v>3.25</v>
      </c>
      <c r="R177" s="11">
        <f>recipe10TotScale * IF(L177 = "", Q177 * M177, IF(ISNA(CONVERT(Q177, L177, "kg")), CONVERT(Q177, L177, "l") * IF(N177 &lt;&gt; 0, M177 / N177, 0), CONVERT(Q177, L177, "kg")))</f>
        <v>3.3429048951621389E-2</v>
      </c>
      <c r="S177" s="11">
        <f>recipe10TotScale * IF(R177 = 0, IF(L177 = "", Q177 * N177, IF(ISNA(CONVERT(Q177, L177, "l")), CONVERT(Q177, L177, "kg") * IF(M177 &lt;&gt; 0, N177 / M177, 0), CONVERT(Q177, L177, "l"))), 0)</f>
        <v>0</v>
      </c>
      <c r="T177" s="11">
        <f>recipe10TotScale * IF(AND(R177 = 0, S177 = 0, J177 = "", L177 = ""), Q177, 0)</f>
        <v>0</v>
      </c>
      <c r="V177" s="8" t="b">
        <f>INDEX(itemPrepMethods, MATCH(K177, itemNames, 0))="chop"</f>
        <v>1</v>
      </c>
      <c r="W177" s="21">
        <f>IF(V177, Q177, "")</f>
        <v>3.25</v>
      </c>
      <c r="X177" s="22" t="str">
        <f>IF(V177, IF(L177 = "", "", L177), "")</f>
        <v>tbs</v>
      </c>
      <c r="Y177" s="22" t="str">
        <f>IF(V177, K177, "")</f>
        <v>minced fresh ginger</v>
      </c>
      <c r="Z177" s="23"/>
      <c r="AA177" s="8" t="b">
        <f>INDEX(itemPrepMethods, MATCH(K177, itemNames, 0))="soak"</f>
        <v>0</v>
      </c>
      <c r="AB177" s="22" t="str">
        <f>IF(AA177, Q177, "")</f>
        <v/>
      </c>
      <c r="AC177" s="22" t="str">
        <f>IF(AA177, IF(L177 = "", "", L177), "")</f>
        <v/>
      </c>
      <c r="AD177" s="22" t="str">
        <f>IF(AA177, K177, "")</f>
        <v/>
      </c>
    </row>
    <row r="178" spans="1:30" x14ac:dyDescent="0.25">
      <c r="A178" s="5" t="s">
        <v>21</v>
      </c>
      <c r="B178" s="16">
        <f t="shared" ref="B178" si="182">Q178</f>
        <v>5.75</v>
      </c>
      <c r="C178" s="4" t="str">
        <f t="shared" ref="C178" si="183">IF(L178="","",L178)</f>
        <v>cup</v>
      </c>
      <c r="D178" s="5" t="str">
        <f>_xlfn.CONCAT(K178, U178)</f>
        <v>chopped cauliflowers</v>
      </c>
      <c r="I178" s="25">
        <v>1</v>
      </c>
      <c r="J178" s="19"/>
      <c r="K178" s="19" t="s">
        <v>132</v>
      </c>
      <c r="L178" s="20" t="s">
        <v>16</v>
      </c>
      <c r="M178" s="11">
        <f>INDEX(itemGPerQty, MATCH(K178, itemNames, 0))</f>
        <v>0.68899999999999995</v>
      </c>
      <c r="N178" s="11">
        <f>INDEX(itemMlPerQty, MATCH(K178, itemNames, 0))</f>
        <v>2.2000000000000002</v>
      </c>
      <c r="O178" s="11">
        <f t="shared" si="176"/>
        <v>0.68899999999999995</v>
      </c>
      <c r="P178" s="11">
        <f t="shared" si="177"/>
        <v>2.2000000000000002</v>
      </c>
      <c r="Q178" s="11">
        <f>MROUND(IF(L178 = "", IF(J178 = "", I178, IF(M178 &lt;&gt; 0, O178 / M178, P178 / N178)) * recipe10DayScale, IF(ISNA(CONVERT(O178, "kg", L178)), CONVERT(P178 * recipe10DayScale, "l", L178), CONVERT(O178 * recipe10DayScale, "kg", L178))), roundTo)</f>
        <v>5.75</v>
      </c>
      <c r="R178" s="11">
        <f>recipe10TotScale * IF(L178 = "", Q178 * M178, IF(ISNA(CONVERT(Q178, L178, "kg")), CONVERT(Q178, L178, "l") * IF(N178 &lt;&gt; 0, M178 / N178, 0), CONVERT(Q178, L178, "kg")))</f>
        <v>0.42604702088812491</v>
      </c>
      <c r="S178" s="11">
        <f>recipe10TotScale * IF(R178 = 0, IF(L178 = "", Q178 * N178, IF(ISNA(CONVERT(Q178, L178, "l")), CONVERT(Q178, L178, "kg") * IF(M178 &lt;&gt; 0, N178 / M178, 0), CONVERT(Q178, L178, "l"))), 0)</f>
        <v>0</v>
      </c>
      <c r="T178" s="11">
        <f>recipe10TotScale * IF(AND(R178 = 0, S178 = 0, J178 = "", L178 = ""), Q178, 0)</f>
        <v>0</v>
      </c>
      <c r="V178" s="8" t="b">
        <f>INDEX(itemPrepMethods, MATCH(K178, itemNames, 0))="chop"</f>
        <v>1</v>
      </c>
      <c r="W178" s="21">
        <f>IF(V178, Q178, "")</f>
        <v>5.75</v>
      </c>
      <c r="X178" s="22" t="str">
        <f>IF(V178, IF(L178 = "", "", L178), "")</f>
        <v>cup</v>
      </c>
      <c r="Y178" s="22" t="str">
        <f>IF(V178, K178, "")</f>
        <v>chopped cauliflowers</v>
      </c>
      <c r="Z178" s="23"/>
      <c r="AA178" s="8" t="b">
        <f>INDEX(itemPrepMethods, MATCH(K178, itemNames, 0))="soak"</f>
        <v>0</v>
      </c>
      <c r="AB178" s="22" t="str">
        <f>IF(AA178, Q178, "")</f>
        <v/>
      </c>
      <c r="AC178" s="22" t="str">
        <f>IF(AA178, IF(L178 = "", "", L178), "")</f>
        <v/>
      </c>
      <c r="AD178" s="22" t="str">
        <f>IF(AA178, K178, "")</f>
        <v/>
      </c>
    </row>
    <row r="179" spans="1:30" x14ac:dyDescent="0.25">
      <c r="A179" s="129"/>
      <c r="B179" s="129"/>
      <c r="C179" s="129"/>
      <c r="D179" s="129"/>
      <c r="I179" s="11"/>
      <c r="L179" s="8"/>
      <c r="M179" s="8"/>
      <c r="N179" s="8"/>
      <c r="W179" s="21"/>
      <c r="X179" s="22"/>
      <c r="Y179" s="22"/>
      <c r="Z179" s="23"/>
      <c r="AA179" s="30"/>
      <c r="AB179" s="21"/>
      <c r="AC179" s="21"/>
      <c r="AD179" s="21"/>
    </row>
    <row r="180" spans="1:30" x14ac:dyDescent="0.25">
      <c r="A180" s="129" t="s">
        <v>146</v>
      </c>
      <c r="B180" s="129"/>
      <c r="C180" s="129"/>
      <c r="D180" s="129"/>
      <c r="I180" s="11"/>
      <c r="L180" s="8"/>
      <c r="M180" s="8"/>
      <c r="N180" s="8"/>
      <c r="W180" s="21"/>
      <c r="X180" s="22"/>
      <c r="Y180" s="22"/>
      <c r="Z180" s="23"/>
      <c r="AA180" s="30"/>
      <c r="AB180" s="21"/>
      <c r="AC180" s="21"/>
      <c r="AD180" s="21"/>
    </row>
    <row r="181" spans="1:30" x14ac:dyDescent="0.25">
      <c r="A181" s="5" t="s">
        <v>21</v>
      </c>
      <c r="B181" s="16">
        <f t="shared" ref="B181:B182" si="184">Q181</f>
        <v>0.25</v>
      </c>
      <c r="C181" s="4" t="str">
        <f t="shared" ref="C181:C182" si="185">IF(L181="","",L181)</f>
        <v>lt</v>
      </c>
      <c r="D181" s="5" t="str">
        <f>_xlfn.CONCAT(K181, U181)</f>
        <v>water</v>
      </c>
      <c r="I181" s="25">
        <v>0.5</v>
      </c>
      <c r="J181" s="19" t="s">
        <v>542</v>
      </c>
      <c r="K181" s="19" t="s">
        <v>33</v>
      </c>
      <c r="L181" s="20" t="s">
        <v>542</v>
      </c>
      <c r="M181" s="11">
        <f>INDEX(itemGPerQty, MATCH(K181, itemNames, 0))</f>
        <v>1</v>
      </c>
      <c r="N181" s="11">
        <f>INDEX(itemMlPerQty, MATCH(K181, itemNames, 0))</f>
        <v>1</v>
      </c>
      <c r="O181" s="11">
        <f t="shared" ref="O181:O185" si="186">IF(J181 = "", I181 * M181, IF(ISNA(CONVERT(I181, J181, "kg")), CONVERT(I181, J181, "l") * IF(N181 &lt;&gt; 0, M181 / N181, 0), CONVERT(I181, J181, "kg")))</f>
        <v>0.5</v>
      </c>
      <c r="P181" s="11">
        <f t="shared" ref="P181:P185" si="187">IF(J181 = "", I181 * N181, IF(ISNA(CONVERT(I181, J181, "l")), CONVERT(I181, J181, "kg") * IF(M181 &lt;&gt; 0, N181 / M181, 0), CONVERT(I181, J181, "l")))</f>
        <v>0.5</v>
      </c>
      <c r="Q181" s="11">
        <f>MROUND(IF(L181 = "", IF(J181 = "", I181, IF(M181 &lt;&gt; 0, O181 / M181, P181 / N181)) * recipe10DayScale, IF(ISNA(CONVERT(O181, "kg", L181)), CONVERT(P181 * recipe10DayScale, "l", L181), CONVERT(O181 * recipe10DayScale, "kg", L181))), roundTo)</f>
        <v>0.25</v>
      </c>
      <c r="R181" s="11">
        <f>recipe10TotScale * IF(L181 = "", Q181 * M181, IF(ISNA(CONVERT(Q181, L181, "kg")), CONVERT(Q181, L181, "l") * IF(N181 &lt;&gt; 0, M181 / N181, 0), CONVERT(Q181, L181, "kg")))</f>
        <v>0.25</v>
      </c>
      <c r="S181" s="11">
        <f>recipe10TotScale * IF(R181 = 0, IF(L181 = "", Q181 * N181, IF(ISNA(CONVERT(Q181, L181, "l")), CONVERT(Q181, L181, "kg") * IF(M181 &lt;&gt; 0, N181 / M181, 0), CONVERT(Q181, L181, "l"))), 0)</f>
        <v>0</v>
      </c>
      <c r="T181" s="11">
        <f>recipe10TotScale * IF(AND(R181 = 0, S181 = 0, J181 = "", L181 = ""), Q181, 0)</f>
        <v>0</v>
      </c>
      <c r="V181" s="8" t="b">
        <f>INDEX(itemPrepMethods, MATCH(K181, itemNames, 0))="chop"</f>
        <v>0</v>
      </c>
      <c r="W181" s="21" t="str">
        <f>IF(V181, Q181, "")</f>
        <v/>
      </c>
      <c r="X181" s="22" t="str">
        <f>IF(V181, IF(L181 = "", "", L181), "")</f>
        <v/>
      </c>
      <c r="Y181" s="22" t="str">
        <f>IF(V181, K181, "")</f>
        <v/>
      </c>
      <c r="Z181" s="23"/>
      <c r="AA181" s="8" t="b">
        <f>INDEX(itemPrepMethods, MATCH(K181, itemNames, 0))="soak"</f>
        <v>0</v>
      </c>
      <c r="AB181" s="22" t="str">
        <f>IF(AA181, Q181, "")</f>
        <v/>
      </c>
      <c r="AC181" s="22" t="str">
        <f>IF(AA181, IF(L181 = "", "", L181), "")</f>
        <v/>
      </c>
      <c r="AD181" s="22" t="str">
        <f>IF(AA181, K181, "")</f>
        <v/>
      </c>
    </row>
    <row r="182" spans="1:30" x14ac:dyDescent="0.25">
      <c r="A182" s="5" t="s">
        <v>21</v>
      </c>
      <c r="B182" s="16">
        <f t="shared" si="184"/>
        <v>5.5</v>
      </c>
      <c r="C182" s="4" t="str">
        <f t="shared" si="185"/>
        <v>cup</v>
      </c>
      <c r="D182" s="5" t="str">
        <f>_xlfn.CONCAT(K182, U182)</f>
        <v>chopped broccoli florets</v>
      </c>
      <c r="I182" s="25">
        <v>1.9</v>
      </c>
      <c r="J182" s="19"/>
      <c r="K182" s="19" t="s">
        <v>432</v>
      </c>
      <c r="L182" s="20" t="s">
        <v>16</v>
      </c>
      <c r="M182" s="11">
        <f>INDEX(itemGPerQty, MATCH(K182, itemNames, 0))</f>
        <v>0.27300000000000002</v>
      </c>
      <c r="N182" s="11">
        <f>INDEX(itemMlPerQty, MATCH(K182, itemNames, 0))</f>
        <v>1.1000000000000001</v>
      </c>
      <c r="O182" s="11">
        <f t="shared" si="186"/>
        <v>0.51870000000000005</v>
      </c>
      <c r="P182" s="11">
        <f t="shared" si="187"/>
        <v>2.09</v>
      </c>
      <c r="Q182" s="11">
        <f>MROUND(IF(L182 = "", IF(J182 = "", I182, IF(M182 &lt;&gt; 0, O182 / M182, P182 / N182)) * recipe10DayScale, IF(ISNA(CONVERT(O182, "kg", L182)), CONVERT(P182 * recipe10DayScale, "l", L182), CONVERT(O182 * recipe10DayScale, "kg", L182))), roundTo)</f>
        <v>5.5</v>
      </c>
      <c r="R182" s="11">
        <f>recipe10TotScale * IF(L182 = "", Q182 * M182, IF(ISNA(CONVERT(Q182, L182, "kg")), CONVERT(Q182, L182, "l") * IF(N182 &lt;&gt; 0, M182 / N182, 0), CONVERT(Q182, L182, "kg")))</f>
        <v>0.32294294282249997</v>
      </c>
      <c r="S182" s="11">
        <f>recipe10TotScale * IF(R182 = 0, IF(L182 = "", Q182 * N182, IF(ISNA(CONVERT(Q182, L182, "l")), CONVERT(Q182, L182, "kg") * IF(M182 &lt;&gt; 0, N182 / M182, 0), CONVERT(Q182, L182, "l"))), 0)</f>
        <v>0</v>
      </c>
      <c r="T182" s="11">
        <f>recipe10TotScale * IF(AND(R182 = 0, S182 = 0, J182 = "", L182 = ""), Q182, 0)</f>
        <v>0</v>
      </c>
      <c r="V182" s="8" t="b">
        <f>INDEX(itemPrepMethods, MATCH(K182, itemNames, 0))="chop"</f>
        <v>1</v>
      </c>
      <c r="W182" s="21">
        <f>IF(V182, Q182, "")</f>
        <v>5.5</v>
      </c>
      <c r="X182" s="22" t="str">
        <f>IF(V182, IF(L182 = "", "", L182), "")</f>
        <v>cup</v>
      </c>
      <c r="Y182" s="22" t="str">
        <f>IF(V182, K182, "")</f>
        <v>chopped broccoli florets</v>
      </c>
      <c r="Z182" s="23"/>
      <c r="AA182" s="8" t="b">
        <f>INDEX(itemPrepMethods, MATCH(K182, itemNames, 0))="soak"</f>
        <v>0</v>
      </c>
      <c r="AB182" s="22" t="str">
        <f>IF(AA182, Q182, "")</f>
        <v/>
      </c>
      <c r="AC182" s="22" t="str">
        <f>IF(AA182, IF(L182 = "", "", L182), "")</f>
        <v/>
      </c>
      <c r="AD182" s="22" t="str">
        <f>IF(AA182, K182, "")</f>
        <v/>
      </c>
    </row>
    <row r="183" spans="1:30" x14ac:dyDescent="0.25">
      <c r="A183" s="5" t="s">
        <v>21</v>
      </c>
      <c r="B183" s="16">
        <f t="shared" ref="B183:B184" si="188">Q183</f>
        <v>2.75</v>
      </c>
      <c r="C183" s="4" t="str">
        <f t="shared" ref="C183:C184" si="189">IF(L183="","",L183)</f>
        <v>cup</v>
      </c>
      <c r="D183" s="5" t="str">
        <f>_xlfn.CONCAT(K183, U183)</f>
        <v>chopped yellow capsicums</v>
      </c>
      <c r="I183" s="25">
        <v>4</v>
      </c>
      <c r="J183" s="19"/>
      <c r="K183" s="19" t="s">
        <v>141</v>
      </c>
      <c r="L183" s="20" t="s">
        <v>16</v>
      </c>
      <c r="M183" s="11">
        <f>INDEX(itemGPerQty, MATCH(K183, itemNames, 0))</f>
        <v>0.1885</v>
      </c>
      <c r="N183" s="11">
        <f>INDEX(itemMlPerQty, MATCH(K183, itemNames, 0))</f>
        <v>0.25</v>
      </c>
      <c r="O183" s="11">
        <f t="shared" si="186"/>
        <v>0.754</v>
      </c>
      <c r="P183" s="11">
        <f t="shared" si="187"/>
        <v>1</v>
      </c>
      <c r="Q183" s="11">
        <f>MROUND(IF(L183 = "", IF(J183 = "", I183, IF(M183 &lt;&gt; 0, O183 / M183, P183 / N183)) * recipe10DayScale, IF(ISNA(CONVERT(O183, "kg", L183)), CONVERT(P183 * recipe10DayScale, "l", L183), CONVERT(O183 * recipe10DayScale, "kg", L183))), roundTo)</f>
        <v>2.75</v>
      </c>
      <c r="R183" s="11">
        <f>recipe10TotScale * IF(L183 = "", Q183 * M183, IF(ISNA(CONVERT(Q183, L183, "kg")), CONVERT(Q183, L183, "l") * IF(N183 &lt;&gt; 0, M183 / N183, 0), CONVERT(Q183, L183, "kg")))</f>
        <v>0.49056570838274999</v>
      </c>
      <c r="S183" s="11">
        <f>recipe10TotScale * IF(R183 = 0, IF(L183 = "", Q183 * N183, IF(ISNA(CONVERT(Q183, L183, "l")), CONVERT(Q183, L183, "kg") * IF(M183 &lt;&gt; 0, N183 / M183, 0), CONVERT(Q183, L183, "l"))), 0)</f>
        <v>0</v>
      </c>
      <c r="T183" s="11">
        <f>recipe10TotScale * IF(AND(R183 = 0, S183 = 0, J183 = "", L183 = ""), Q183, 0)</f>
        <v>0</v>
      </c>
      <c r="V183" s="8" t="b">
        <f>INDEX(itemPrepMethods, MATCH(K183, itemNames, 0))="chop"</f>
        <v>1</v>
      </c>
      <c r="W183" s="21">
        <f>IF(V183, Q183, "")</f>
        <v>2.75</v>
      </c>
      <c r="X183" s="22" t="str">
        <f>IF(V183, IF(L183 = "", "", L183), "")</f>
        <v>cup</v>
      </c>
      <c r="Y183" s="22" t="str">
        <f>IF(V183, K183, "")</f>
        <v>chopped yellow capsicums</v>
      </c>
      <c r="Z183" s="23"/>
      <c r="AA183" s="8" t="b">
        <f>INDEX(itemPrepMethods, MATCH(K183, itemNames, 0))="soak"</f>
        <v>0</v>
      </c>
      <c r="AB183" s="22" t="str">
        <f>IF(AA183, Q183, "")</f>
        <v/>
      </c>
      <c r="AC183" s="22" t="str">
        <f>IF(AA183, IF(L183 = "", "", L183), "")</f>
        <v/>
      </c>
      <c r="AD183" s="22" t="str">
        <f>IF(AA183, K183, "")</f>
        <v/>
      </c>
    </row>
    <row r="184" spans="1:30" x14ac:dyDescent="0.25">
      <c r="A184" s="5" t="s">
        <v>21</v>
      </c>
      <c r="B184" s="16">
        <f t="shared" si="188"/>
        <v>5.25</v>
      </c>
      <c r="C184" s="4" t="str">
        <f t="shared" si="189"/>
        <v>cup</v>
      </c>
      <c r="D184" s="5" t="str">
        <f>_xlfn.CONCAT(K184, U184)</f>
        <v>sliced celery stalks</v>
      </c>
      <c r="I184" s="25">
        <v>10</v>
      </c>
      <c r="J184" s="19"/>
      <c r="K184" s="19" t="s">
        <v>142</v>
      </c>
      <c r="L184" s="20" t="s">
        <v>16</v>
      </c>
      <c r="M184" s="11">
        <f>INDEX(itemGPerQty, MATCH(K184, itemNames, 0))</f>
        <v>0.1</v>
      </c>
      <c r="N184" s="11">
        <f>INDEX(itemMlPerQty, MATCH(K184, itemNames, 0))</f>
        <v>0.2</v>
      </c>
      <c r="O184" s="11">
        <f t="shared" si="186"/>
        <v>1</v>
      </c>
      <c r="P184" s="11">
        <f t="shared" si="187"/>
        <v>2</v>
      </c>
      <c r="Q184" s="11">
        <f>MROUND(IF(L184 = "", IF(J184 = "", I184, IF(M184 &lt;&gt; 0, O184 / M184, P184 / N184)) * recipe10DayScale, IF(ISNA(CONVERT(O184, "kg", L184)), CONVERT(P184 * recipe10DayScale, "l", L184), CONVERT(O184 * recipe10DayScale, "kg", L184))), roundTo)</f>
        <v>5.25</v>
      </c>
      <c r="R184" s="11">
        <f>recipe10TotScale * IF(L184 = "", Q184 * M184, IF(ISNA(CONVERT(Q184, L184, "kg")), CONVERT(Q184, L184, "l") * IF(N184 &lt;&gt; 0, M184 / N184, 0), CONVERT(Q184, L184, "kg")))</f>
        <v>0.62104412081249993</v>
      </c>
      <c r="S184" s="11">
        <f>recipe10TotScale * IF(R184 = 0, IF(L184 = "", Q184 * N184, IF(ISNA(CONVERT(Q184, L184, "l")), CONVERT(Q184, L184, "kg") * IF(M184 &lt;&gt; 0, N184 / M184, 0), CONVERT(Q184, L184, "l"))), 0)</f>
        <v>0</v>
      </c>
      <c r="T184" s="11">
        <f>recipe10TotScale * IF(AND(R184 = 0, S184 = 0, J184 = "", L184 = ""), Q184, 0)</f>
        <v>0</v>
      </c>
      <c r="V184" s="8" t="b">
        <f>INDEX(itemPrepMethods, MATCH(K184, itemNames, 0))="chop"</f>
        <v>1</v>
      </c>
      <c r="W184" s="21">
        <f>IF(V184, Q184, "")</f>
        <v>5.25</v>
      </c>
      <c r="X184" s="22" t="str">
        <f>IF(V184, IF(L184 = "", "", L184), "")</f>
        <v>cup</v>
      </c>
      <c r="Y184" s="22" t="str">
        <f>IF(V184, K184, "")</f>
        <v>sliced celery stalks</v>
      </c>
      <c r="Z184" s="23"/>
      <c r="AA184" s="8" t="b">
        <f>INDEX(itemPrepMethods, MATCH(K184, itemNames, 0))="soak"</f>
        <v>0</v>
      </c>
      <c r="AB184" s="22" t="str">
        <f>IF(AA184, Q184, "")</f>
        <v/>
      </c>
      <c r="AC184" s="22" t="str">
        <f>IF(AA184, IF(L184 = "", "", L184), "")</f>
        <v/>
      </c>
      <c r="AD184" s="22" t="str">
        <f>IF(AA184, K184, "")</f>
        <v/>
      </c>
    </row>
    <row r="185" spans="1:30" x14ac:dyDescent="0.25">
      <c r="A185" s="5" t="s">
        <v>21</v>
      </c>
      <c r="B185" s="16">
        <f t="shared" ref="B185" si="190">Q185</f>
        <v>3.75</v>
      </c>
      <c r="C185" s="4" t="str">
        <f t="shared" ref="C185" si="191">IF(L185="","",L185)</f>
        <v/>
      </c>
      <c r="D185" s="5" t="str">
        <f>_xlfn.CONCAT(K185, U185)</f>
        <v>tinned bamboo</v>
      </c>
      <c r="I185" s="25">
        <v>6</v>
      </c>
      <c r="J185" s="19"/>
      <c r="K185" s="19" t="s">
        <v>363</v>
      </c>
      <c r="L185" s="20"/>
      <c r="M185" s="11">
        <f>INDEX(itemGPerQty, MATCH(K185, itemNames, 0))</f>
        <v>0</v>
      </c>
      <c r="N185" s="11">
        <f>INDEX(itemMlPerQty, MATCH(K185, itemNames, 0))</f>
        <v>0</v>
      </c>
      <c r="O185" s="11">
        <f t="shared" si="186"/>
        <v>0</v>
      </c>
      <c r="P185" s="11">
        <f t="shared" si="187"/>
        <v>0</v>
      </c>
      <c r="Q185" s="11">
        <f>MROUND(IF(L185 = "", IF(J185 = "", I185, IF(M185 &lt;&gt; 0, O185 / M185, P185 / N185)) * recipe10DayScale, IF(ISNA(CONVERT(O185, "kg", L185)), CONVERT(P185 * recipe10DayScale, "l", L185), CONVERT(O185 * recipe10DayScale, "kg", L185))), roundTo)</f>
        <v>3.75</v>
      </c>
      <c r="R185" s="11">
        <f>recipe10TotScale * IF(L185 = "", Q185 * M185, IF(ISNA(CONVERT(Q185, L185, "kg")), CONVERT(Q185, L185, "l") * IF(N185 &lt;&gt; 0, M185 / N185, 0), CONVERT(Q185, L185, "kg")))</f>
        <v>0</v>
      </c>
      <c r="S185" s="11">
        <f>recipe10TotScale * IF(R185 = 0, IF(L185 = "", Q185 * N185, IF(ISNA(CONVERT(Q185, L185, "l")), CONVERT(Q185, L185, "kg") * IF(M185 &lt;&gt; 0, N185 / M185, 0), CONVERT(Q185, L185, "l"))), 0)</f>
        <v>0</v>
      </c>
      <c r="T185" s="11">
        <f>recipe10TotScale * IF(AND(R185 = 0, S185 = 0, J185 = "", L185 = ""), Q185, 0)</f>
        <v>3.75</v>
      </c>
      <c r="V185" s="8" t="b">
        <f>INDEX(itemPrepMethods, MATCH(K185, itemNames, 0))="chop"</f>
        <v>0</v>
      </c>
      <c r="W185" s="21" t="str">
        <f>IF(V185, Q185, "")</f>
        <v/>
      </c>
      <c r="X185" s="22" t="str">
        <f>IF(V185, IF(L185 = "", "", L185), "")</f>
        <v/>
      </c>
      <c r="Y185" s="22" t="str">
        <f>IF(V185, K185, "")</f>
        <v/>
      </c>
      <c r="Z185" s="23"/>
      <c r="AA185" s="8" t="b">
        <f>INDEX(itemPrepMethods, MATCH(K185, itemNames, 0))="soak"</f>
        <v>0</v>
      </c>
      <c r="AB185" s="22" t="str">
        <f>IF(AA185, Q185, "")</f>
        <v/>
      </c>
      <c r="AC185" s="22" t="str">
        <f>IF(AA185, IF(L185 = "", "", L185), "")</f>
        <v/>
      </c>
      <c r="AD185" s="22" t="str">
        <f>IF(AA185, K185, "")</f>
        <v/>
      </c>
    </row>
    <row r="186" spans="1:30" x14ac:dyDescent="0.25">
      <c r="A186" s="129"/>
      <c r="B186" s="129"/>
      <c r="C186" s="129"/>
      <c r="D186" s="129"/>
      <c r="I186" s="11"/>
      <c r="L186" s="8"/>
      <c r="M186" s="8"/>
      <c r="N186" s="8"/>
      <c r="W186" s="21"/>
      <c r="X186" s="22"/>
      <c r="Y186" s="22"/>
      <c r="Z186" s="23"/>
      <c r="AA186" s="30"/>
      <c r="AB186" s="21"/>
      <c r="AC186" s="21"/>
      <c r="AD186" s="21"/>
    </row>
    <row r="187" spans="1:30" x14ac:dyDescent="0.25">
      <c r="A187" s="129" t="s">
        <v>126</v>
      </c>
      <c r="B187" s="129"/>
      <c r="C187" s="129"/>
      <c r="D187" s="129"/>
      <c r="I187" s="11"/>
      <c r="L187" s="8"/>
      <c r="M187" s="8"/>
      <c r="N187" s="8"/>
      <c r="W187" s="21"/>
      <c r="X187" s="22"/>
      <c r="Y187" s="22"/>
      <c r="Z187" s="23"/>
      <c r="AA187" s="30"/>
      <c r="AB187" s="21"/>
      <c r="AC187" s="21"/>
      <c r="AD187" s="21"/>
    </row>
    <row r="188" spans="1:30" x14ac:dyDescent="0.25">
      <c r="A188" s="5" t="s">
        <v>21</v>
      </c>
      <c r="B188" s="16">
        <f t="shared" ref="B188" si="192">Q188</f>
        <v>3</v>
      </c>
      <c r="C188" s="4" t="str">
        <f t="shared" ref="C188" si="193">IF(L188="","",L188)</f>
        <v/>
      </c>
      <c r="D188" s="45" t="str">
        <f>_xlfn.CONCAT(K188, U188)</f>
        <v>juiced lemons</v>
      </c>
      <c r="I188" s="25">
        <v>4.75</v>
      </c>
      <c r="J188" s="19"/>
      <c r="K188" s="19" t="s">
        <v>316</v>
      </c>
      <c r="L188" s="20"/>
      <c r="M188" s="11">
        <f>INDEX(itemGPerQty, MATCH(K188, itemNames, 0))</f>
        <v>0</v>
      </c>
      <c r="N188" s="11">
        <f>INDEX(itemMlPerQty, MATCH(K188, itemNames, 0))</f>
        <v>0</v>
      </c>
      <c r="O188" s="11">
        <f t="shared" ref="O188:O190" si="194">IF(J188 = "", I188 * M188, IF(ISNA(CONVERT(I188, J188, "kg")), CONVERT(I188, J188, "l") * IF(N188 &lt;&gt; 0, M188 / N188, 0), CONVERT(I188, J188, "kg")))</f>
        <v>0</v>
      </c>
      <c r="P188" s="11">
        <f t="shared" ref="P188:P190" si="195">IF(J188 = "", I188 * N188, IF(ISNA(CONVERT(I188, J188, "l")), CONVERT(I188, J188, "kg") * IF(M188 &lt;&gt; 0, N188 / M188, 0), CONVERT(I188, J188, "l")))</f>
        <v>0</v>
      </c>
      <c r="Q188" s="11">
        <f>MROUND(IF(L188 = "", IF(J188 = "", I188, IF(M188 &lt;&gt; 0, O188 / M188, P188 / N188)) * recipe10DayScale, IF(ISNA(CONVERT(O188, "kg", L188)), CONVERT(P188 * recipe10DayScale, "l", L188), CONVERT(O188 * recipe10DayScale, "kg", L188))), roundTo)</f>
        <v>3</v>
      </c>
      <c r="R188" s="11">
        <f>recipe10TotScale * IF(L188 = "", Q188 * M188, IF(ISNA(CONVERT(Q188, L188, "kg")), CONVERT(Q188, L188, "l") * IF(N188 &lt;&gt; 0, M188 / N188, 0), CONVERT(Q188, L188, "kg")))</f>
        <v>0</v>
      </c>
      <c r="S188" s="11">
        <f>recipe10TotScale * IF(R188 = 0, IF(L188 = "", Q188 * N188, IF(ISNA(CONVERT(Q188, L188, "l")), CONVERT(Q188, L188, "kg") * IF(M188 &lt;&gt; 0, N188 / M188, 0), CONVERT(Q188, L188, "l"))), 0)</f>
        <v>0</v>
      </c>
      <c r="T188" s="11">
        <f>recipe10TotScale * IF(AND(R188 = 0, S188 = 0, J188 = "", L188 = ""), Q188, 0)</f>
        <v>3</v>
      </c>
      <c r="V188" s="8" t="b">
        <f>INDEX(itemPrepMethods, MATCH(K188, itemNames, 0))="chop"</f>
        <v>1</v>
      </c>
      <c r="W188" s="21">
        <f>IF(V188, Q188, "")</f>
        <v>3</v>
      </c>
      <c r="X188" s="22" t="str">
        <f>IF(V188, IF(L188 = "", "", L188), "")</f>
        <v/>
      </c>
      <c r="Y188" s="22" t="str">
        <f>IF(V188, K188, "")</f>
        <v>juiced lemons</v>
      </c>
      <c r="Z188" s="23"/>
      <c r="AA188" s="8" t="b">
        <f>INDEX(itemPrepMethods, MATCH(K188, itemNames, 0))="soak"</f>
        <v>0</v>
      </c>
      <c r="AB188" s="22" t="str">
        <f>IF(AA188, Q188, "")</f>
        <v/>
      </c>
      <c r="AC188" s="22" t="str">
        <f>IF(AA188, IF(L188 = "", "", L188), "")</f>
        <v/>
      </c>
      <c r="AD188" s="22" t="str">
        <f>IF(AA188, K188, "")</f>
        <v/>
      </c>
    </row>
    <row r="189" spans="1:30" x14ac:dyDescent="0.25">
      <c r="A189" s="5" t="s">
        <v>21</v>
      </c>
      <c r="B189" s="16">
        <f t="shared" ref="B189" si="196">Q189</f>
        <v>750</v>
      </c>
      <c r="C189" s="4" t="str">
        <f t="shared" ref="C189" si="197">IF(L189="","",L189)</f>
        <v>g</v>
      </c>
      <c r="D189" s="5" t="str">
        <f>_xlfn.CONCAT(K189, U189)</f>
        <v>frozen green beans</v>
      </c>
      <c r="I189" s="25">
        <v>1.2</v>
      </c>
      <c r="J189" s="19" t="s">
        <v>12</v>
      </c>
      <c r="K189" s="19" t="s">
        <v>420</v>
      </c>
      <c r="L189" s="20" t="s">
        <v>0</v>
      </c>
      <c r="M189" s="11">
        <f>INDEX(itemGPerQty, MATCH(K189, itemNames, 0))</f>
        <v>0</v>
      </c>
      <c r="N189" s="11">
        <f>INDEX(itemMlPerQty, MATCH(K189, itemNames, 0))</f>
        <v>0</v>
      </c>
      <c r="O189" s="11">
        <f t="shared" si="194"/>
        <v>1.2</v>
      </c>
      <c r="P189" s="11">
        <f t="shared" si="195"/>
        <v>0</v>
      </c>
      <c r="Q189" s="11">
        <f>MROUND(IF(L189 = "", IF(J189 = "", I189, IF(M189 &lt;&gt; 0, O189 / M189, P189 / N189)) * recipe10DayScale, IF(ISNA(CONVERT(O189, "kg", L189)), CONVERT(P189 * recipe10DayScale, "l", L189), CONVERT(O189 * recipe10DayScale, "kg", L189))), roundTo)</f>
        <v>750</v>
      </c>
      <c r="R189" s="11">
        <f>recipe10TotScale * IF(L189 = "", Q189 * M189, IF(ISNA(CONVERT(Q189, L189, "kg")), CONVERT(Q189, L189, "l") * IF(N189 &lt;&gt; 0, M189 / N189, 0), CONVERT(Q189, L189, "kg")))</f>
        <v>0.75</v>
      </c>
      <c r="S189" s="11">
        <f>recipe10TotScale * IF(R189 = 0, IF(L189 = "", Q189 * N189, IF(ISNA(CONVERT(Q189, L189, "l")), CONVERT(Q189, L189, "kg") * IF(M189 &lt;&gt; 0, N189 / M189, 0), CONVERT(Q189, L189, "l"))), 0)</f>
        <v>0</v>
      </c>
      <c r="T189" s="11">
        <f>recipe10TotScale * IF(AND(R189 = 0, S189 = 0, J189 = "", L189 = ""), Q189, 0)</f>
        <v>0</v>
      </c>
      <c r="V189" s="8" t="b">
        <f>INDEX(itemPrepMethods, MATCH(K189, itemNames, 0))="chop"</f>
        <v>0</v>
      </c>
      <c r="W189" s="21" t="str">
        <f>IF(V189, Q189, "")</f>
        <v/>
      </c>
      <c r="X189" s="22" t="str">
        <f>IF(V189, IF(L189 = "", "", L189), "")</f>
        <v/>
      </c>
      <c r="Y189" s="22" t="str">
        <f>IF(V189, K189, "")</f>
        <v/>
      </c>
      <c r="Z189" s="23"/>
      <c r="AA189" s="8" t="b">
        <f>INDEX(itemPrepMethods, MATCH(K189, itemNames, 0))="soak"</f>
        <v>0</v>
      </c>
      <c r="AB189" s="22" t="str">
        <f>IF(AA189, Q189, "")</f>
        <v/>
      </c>
      <c r="AC189" s="22" t="str">
        <f>IF(AA189, IF(L189 = "", "", L189), "")</f>
        <v/>
      </c>
      <c r="AD189" s="22" t="str">
        <f>IF(AA189, K189, "")</f>
        <v/>
      </c>
    </row>
    <row r="190" spans="1:30" x14ac:dyDescent="0.25">
      <c r="A190" s="5" t="s">
        <v>21</v>
      </c>
      <c r="B190" s="16">
        <f t="shared" ref="B190" si="198">Q190</f>
        <v>1.25</v>
      </c>
      <c r="C190" s="4" t="str">
        <f t="shared" ref="C190" si="199">IF(L190="","",L190)</f>
        <v/>
      </c>
      <c r="D190" s="5" t="str">
        <f>_xlfn.CONCAT(K190, U190)</f>
        <v>tinned coconut cream</v>
      </c>
      <c r="I190" s="25">
        <v>1.9</v>
      </c>
      <c r="J190" s="19"/>
      <c r="K190" s="19" t="s">
        <v>367</v>
      </c>
      <c r="L190" s="20"/>
      <c r="M190" s="11">
        <f>INDEX(itemGPerQty, MATCH(K190, itemNames, 0))</f>
        <v>0</v>
      </c>
      <c r="N190" s="11">
        <f>INDEX(itemMlPerQty, MATCH(K190, itemNames, 0))</f>
        <v>0</v>
      </c>
      <c r="O190" s="11">
        <f t="shared" si="194"/>
        <v>0</v>
      </c>
      <c r="P190" s="11">
        <f t="shared" si="195"/>
        <v>0</v>
      </c>
      <c r="Q190" s="11">
        <f>MROUND(IF(L190 = "", IF(J190 = "", I190, IF(M190 &lt;&gt; 0, O190 / M190, P190 / N190)) * recipe10DayScale, IF(ISNA(CONVERT(O190, "kg", L190)), CONVERT(P190 * recipe10DayScale, "l", L190), CONVERT(O190 * recipe10DayScale, "kg", L190))), roundTo)</f>
        <v>1.25</v>
      </c>
      <c r="R190" s="11">
        <f>recipe10TotScale * IF(L190 = "", Q190 * M190, IF(ISNA(CONVERT(Q190, L190, "kg")), CONVERT(Q190, L190, "l") * IF(N190 &lt;&gt; 0, M190 / N190, 0), CONVERT(Q190, L190, "kg")))</f>
        <v>0</v>
      </c>
      <c r="S190" s="11">
        <f>recipe10TotScale * IF(R190 = 0, IF(L190 = "", Q190 * N190, IF(ISNA(CONVERT(Q190, L190, "l")), CONVERT(Q190, L190, "kg") * IF(M190 &lt;&gt; 0, N190 / M190, 0), CONVERT(Q190, L190, "l"))), 0)</f>
        <v>0</v>
      </c>
      <c r="T190" s="11">
        <f>recipe10TotScale * IF(AND(R190 = 0, S190 = 0, J190 = "", L190 = ""), Q190, 0)</f>
        <v>1.25</v>
      </c>
      <c r="V190" s="8" t="b">
        <f>INDEX(itemPrepMethods, MATCH(K190, itemNames, 0))="chop"</f>
        <v>0</v>
      </c>
      <c r="W190" s="21" t="str">
        <f>IF(V190, Q190, "")</f>
        <v/>
      </c>
      <c r="X190" s="22" t="str">
        <f>IF(V190, IF(L190 = "", "", L190), "")</f>
        <v/>
      </c>
      <c r="Y190" s="22" t="str">
        <f>IF(V190, K190, "")</f>
        <v/>
      </c>
      <c r="Z190" s="23"/>
      <c r="AA190" s="8" t="b">
        <f>INDEX(itemPrepMethods, MATCH(K190, itemNames, 0))="soak"</f>
        <v>0</v>
      </c>
      <c r="AB190" s="22" t="str">
        <f>IF(AA190, Q190, "")</f>
        <v/>
      </c>
      <c r="AC190" s="22" t="str">
        <f>IF(AA190, IF(L190 = "", "", L190), "")</f>
        <v/>
      </c>
      <c r="AD190" s="22" t="str">
        <f>IF(AA190, K190, "")</f>
        <v/>
      </c>
    </row>
    <row r="191" spans="1:30" x14ac:dyDescent="0.25">
      <c r="A191" s="129"/>
      <c r="B191" s="129"/>
      <c r="C191" s="129"/>
      <c r="D191" s="129"/>
      <c r="I191" s="11"/>
      <c r="L191" s="8"/>
      <c r="M191" s="8"/>
      <c r="N191" s="8"/>
      <c r="W191" s="21"/>
      <c r="X191" s="22"/>
      <c r="Y191" s="22"/>
      <c r="Z191" s="23"/>
      <c r="AA191" s="30"/>
      <c r="AB191" s="21"/>
      <c r="AC191" s="21"/>
      <c r="AD191" s="21"/>
    </row>
    <row r="192" spans="1:30" x14ac:dyDescent="0.25">
      <c r="A192" s="129" t="s">
        <v>259</v>
      </c>
      <c r="B192" s="129"/>
      <c r="C192" s="129"/>
      <c r="D192" s="129"/>
      <c r="I192" s="11"/>
      <c r="L192" s="8"/>
      <c r="M192" s="8"/>
      <c r="N192" s="8"/>
      <c r="W192" s="21"/>
      <c r="X192" s="22"/>
      <c r="Y192" s="22"/>
      <c r="Z192" s="23"/>
      <c r="AA192" s="30"/>
      <c r="AB192" s="21"/>
      <c r="AC192" s="21"/>
      <c r="AD192" s="21"/>
    </row>
    <row r="193" spans="1:30" x14ac:dyDescent="0.25">
      <c r="A193" s="129"/>
      <c r="B193" s="129"/>
      <c r="C193" s="129"/>
      <c r="D193" s="129"/>
      <c r="I193" s="11"/>
      <c r="L193" s="8"/>
      <c r="M193" s="8"/>
      <c r="N193" s="8"/>
      <c r="W193" s="21"/>
      <c r="X193" s="22"/>
      <c r="Y193" s="22"/>
      <c r="Z193" s="23"/>
      <c r="AA193" s="30"/>
      <c r="AB193" s="21"/>
      <c r="AC193" s="21"/>
      <c r="AD193" s="21"/>
    </row>
    <row r="194" spans="1:30" x14ac:dyDescent="0.25">
      <c r="A194" s="129" t="s">
        <v>147</v>
      </c>
      <c r="B194" s="129"/>
      <c r="C194" s="129"/>
      <c r="D194" s="129"/>
      <c r="I194" s="11"/>
      <c r="L194" s="8"/>
      <c r="M194" s="8"/>
      <c r="N194" s="8"/>
      <c r="W194" s="21"/>
      <c r="X194" s="22"/>
      <c r="Y194" s="22"/>
      <c r="Z194" s="23"/>
      <c r="AA194" s="30"/>
      <c r="AB194" s="21"/>
      <c r="AC194" s="21"/>
      <c r="AD194" s="21"/>
    </row>
    <row r="195" spans="1:30" x14ac:dyDescent="0.25">
      <c r="A195" s="5" t="s">
        <v>21</v>
      </c>
      <c r="B195" s="16">
        <f t="shared" ref="B195" si="200">Q195</f>
        <v>2</v>
      </c>
      <c r="C195" s="4" t="str">
        <f t="shared" ref="C195:C197" si="201">IF(L195="","",L195)</f>
        <v>cup</v>
      </c>
      <c r="D195" s="5" t="str">
        <f>_xlfn.CONCAT(K195, U195)</f>
        <v>cashew nuts</v>
      </c>
      <c r="I195" s="25">
        <v>3</v>
      </c>
      <c r="J195" s="19" t="s">
        <v>16</v>
      </c>
      <c r="K195" s="19" t="s">
        <v>148</v>
      </c>
      <c r="L195" s="20" t="s">
        <v>16</v>
      </c>
      <c r="M195" s="11">
        <f>INDEX(itemGPerQty, MATCH(K195, itemNames, 0))</f>
        <v>0</v>
      </c>
      <c r="N195" s="11">
        <f>INDEX(itemMlPerQty, MATCH(K195, itemNames, 0))</f>
        <v>0</v>
      </c>
      <c r="O195" s="11">
        <f>IF(J195 = "", I195 * M195, IF(ISNA(CONVERT(I195, J195, "kg")), CONVERT(I195, J195, "l") * IF(N195 &lt;&gt; 0, M195 / N195, 0), CONVERT(I195, J195, "kg")))</f>
        <v>0</v>
      </c>
      <c r="P195" s="11">
        <f>IF(J195 = "", I195 * N195, IF(ISNA(CONVERT(I195, J195, "l")), CONVERT(I195, J195, "kg") * IF(M195 &lt;&gt; 0, N195 / M195, 0), CONVERT(I195, J195, "l")))</f>
        <v>0.70976470949999992</v>
      </c>
      <c r="Q195" s="11">
        <f>MROUND(IF(L195 = "", IF(J195 = "", I195, IF(M195 &lt;&gt; 0, O195 / M195, P195 / N195)) * recipe10DayScale, IF(ISNA(CONVERT(O195, "kg", L195)), CONVERT(P195 * recipe10DayScale, "l", L195), CONVERT(O195 * recipe10DayScale, "kg", L195))), roundTo)</f>
        <v>2</v>
      </c>
      <c r="R195" s="11">
        <f>recipe10TotScale * IF(L195 = "", Q195 * M195, IF(ISNA(CONVERT(Q195, L195, "kg")), CONVERT(Q195, L195, "l") * IF(N195 &lt;&gt; 0, M195 / N195, 0), CONVERT(Q195, L195, "kg")))</f>
        <v>0</v>
      </c>
      <c r="S195" s="11">
        <f>recipe10TotScale * IF(R195 = 0, IF(L195 = "", Q195 * N195, IF(ISNA(CONVERT(Q195, L195, "l")), CONVERT(Q195, L195, "kg") * IF(M195 &lt;&gt; 0, N195 / M195, 0), CONVERT(Q195, L195, "l"))), 0)</f>
        <v>0.47317647299999999</v>
      </c>
      <c r="T195" s="11">
        <f>recipe10TotScale * IF(AND(R195 = 0, S195 = 0, J195 = "", L195 = ""), Q195, 0)</f>
        <v>0</v>
      </c>
      <c r="V195" s="8" t="b">
        <f>INDEX(itemPrepMethods, MATCH(K195, itemNames, 0))="chop"</f>
        <v>0</v>
      </c>
      <c r="W195" s="21" t="str">
        <f>IF(V195, Q195, "")</f>
        <v/>
      </c>
      <c r="X195" s="22" t="str">
        <f>IF(V195, IF(L195 = "", "", L195), "")</f>
        <v/>
      </c>
      <c r="Y195" s="22" t="str">
        <f>IF(V195, K195, "")</f>
        <v/>
      </c>
      <c r="Z195" s="23"/>
      <c r="AA195" s="8" t="b">
        <f>INDEX(itemPrepMethods, MATCH(K195, itemNames, 0))="soak"</f>
        <v>0</v>
      </c>
      <c r="AB195" s="22" t="str">
        <f>IF(AA195, Q195, "")</f>
        <v/>
      </c>
      <c r="AC195" s="22" t="str">
        <f>IF(AA195, IF(L195 = "", "", L195), "")</f>
        <v/>
      </c>
      <c r="AD195" s="22" t="str">
        <f>IF(AA195, K195, "")</f>
        <v/>
      </c>
    </row>
    <row r="196" spans="1:30" x14ac:dyDescent="0.25">
      <c r="A196" s="5" t="s">
        <v>21</v>
      </c>
      <c r="B196" s="16"/>
      <c r="C196" s="4" t="str">
        <f t="shared" si="201"/>
        <v/>
      </c>
      <c r="D196" s="5" t="str">
        <f>_xlfn.CONCAT(K196, U196)</f>
        <v>grilled tofu</v>
      </c>
      <c r="I196" s="11"/>
      <c r="L196" s="8"/>
      <c r="M196" s="8"/>
      <c r="N196" s="8"/>
      <c r="O196" s="8"/>
      <c r="P196" s="8"/>
      <c r="Q196" s="8"/>
      <c r="T196" s="8"/>
      <c r="U196" s="8" t="s">
        <v>95</v>
      </c>
      <c r="V196" s="30"/>
      <c r="W196" s="21"/>
      <c r="X196" s="22"/>
      <c r="Y196" s="22"/>
      <c r="Z196" s="23"/>
      <c r="AA196" s="30"/>
      <c r="AB196" s="21"/>
      <c r="AC196" s="21"/>
      <c r="AD196" s="21"/>
    </row>
    <row r="197" spans="1:30" x14ac:dyDescent="0.25">
      <c r="A197" s="5" t="s">
        <v>21</v>
      </c>
      <c r="B197" s="16"/>
      <c r="C197" s="4" t="str">
        <f t="shared" si="201"/>
        <v/>
      </c>
      <c r="D197" s="5" t="str">
        <f>_xlfn.CONCAT(K197, U197)</f>
        <v>sprigs fresh coriander, for garnish</v>
      </c>
      <c r="I197" s="26"/>
      <c r="J197" s="24"/>
      <c r="K197" s="19" t="s">
        <v>526</v>
      </c>
      <c r="L197" s="24"/>
      <c r="M197" s="24"/>
      <c r="N197" s="24"/>
      <c r="O197" s="24"/>
      <c r="P197" s="24"/>
      <c r="U197" s="8" t="s">
        <v>175</v>
      </c>
      <c r="V197" s="8" t="b">
        <f>INDEX(itemPrepMethods, MATCH(K197, itemNames, 0))="chop"</f>
        <v>0</v>
      </c>
      <c r="W197" s="21" t="str">
        <f>IF(V197, Q197, "")</f>
        <v/>
      </c>
      <c r="X197" s="22" t="str">
        <f>IF(V197, IF(L197 = "", "", L197), "")</f>
        <v/>
      </c>
      <c r="Y197" s="22" t="str">
        <f>IF(V197, K197, "")</f>
        <v/>
      </c>
      <c r="Z197" s="23"/>
      <c r="AA197" s="8" t="b">
        <f>INDEX(itemPrepMethods, MATCH(K197, itemNames, 0))="soak"</f>
        <v>0</v>
      </c>
      <c r="AB197" s="22" t="str">
        <f>IF(AA197, Q197, "")</f>
        <v/>
      </c>
      <c r="AC197" s="22" t="str">
        <f>IF(AA197, IF(L197 = "", "", L197), "")</f>
        <v/>
      </c>
      <c r="AD197" s="22" t="str">
        <f>IF(AA197, K197, "")</f>
        <v/>
      </c>
    </row>
    <row r="198" spans="1:30" ht="15.75" x14ac:dyDescent="0.25">
      <c r="A198" s="130" t="s">
        <v>511</v>
      </c>
      <c r="B198" s="130"/>
      <c r="C198" s="130"/>
      <c r="D198" s="130"/>
      <c r="E198" s="7" t="s">
        <v>103</v>
      </c>
      <c r="F198" s="39" t="s">
        <v>56</v>
      </c>
      <c r="G198" s="39"/>
      <c r="H198" s="11"/>
    </row>
    <row r="199" spans="1:30" ht="24" x14ac:dyDescent="0.2">
      <c r="A199" s="130" t="s">
        <v>216</v>
      </c>
      <c r="B199" s="130"/>
      <c r="C199" s="130"/>
      <c r="D199" s="130"/>
      <c r="E199" s="6" t="s">
        <v>39</v>
      </c>
      <c r="F199" s="37">
        <v>15</v>
      </c>
      <c r="G199" s="11"/>
      <c r="H199" s="11"/>
      <c r="I199" s="33" t="s">
        <v>355</v>
      </c>
      <c r="J199" s="34" t="s">
        <v>356</v>
      </c>
      <c r="K199" s="34" t="s">
        <v>17</v>
      </c>
      <c r="L199" s="35" t="s">
        <v>359</v>
      </c>
      <c r="M199" s="33" t="s">
        <v>115</v>
      </c>
      <c r="N199" s="33" t="s">
        <v>116</v>
      </c>
      <c r="O199" s="33" t="s">
        <v>357</v>
      </c>
      <c r="P199" s="33" t="s">
        <v>358</v>
      </c>
      <c r="Q199" s="34" t="s">
        <v>286</v>
      </c>
      <c r="R199" s="33" t="s">
        <v>287</v>
      </c>
      <c r="S199" s="33" t="s">
        <v>288</v>
      </c>
      <c r="T199" s="33" t="s">
        <v>289</v>
      </c>
      <c r="U199" s="34" t="s">
        <v>22</v>
      </c>
      <c r="V199" s="34" t="s">
        <v>169</v>
      </c>
      <c r="W199" s="36" t="s">
        <v>286</v>
      </c>
      <c r="X199" s="34" t="s">
        <v>167</v>
      </c>
      <c r="Y199" s="34" t="s">
        <v>168</v>
      </c>
      <c r="Z199" s="34" t="s">
        <v>263</v>
      </c>
      <c r="AA199" s="34" t="s">
        <v>170</v>
      </c>
      <c r="AB199" s="36" t="s">
        <v>286</v>
      </c>
      <c r="AC199" s="34" t="s">
        <v>171</v>
      </c>
      <c r="AD199" s="34" t="s">
        <v>172</v>
      </c>
    </row>
    <row r="200" spans="1:30" ht="16.5" thickBot="1" x14ac:dyDescent="0.3">
      <c r="A200" s="131" t="str">
        <f>_xlfn.CONCAT(F200," servings")</f>
        <v>10 servings</v>
      </c>
      <c r="B200" s="131"/>
      <c r="C200" s="131"/>
      <c r="D200" s="131"/>
      <c r="E200" s="29" t="s">
        <v>281</v>
      </c>
      <c r="F200" s="37">
        <f>wkdyRegDinner</f>
        <v>10</v>
      </c>
      <c r="G200" s="11"/>
      <c r="H200" s="11"/>
      <c r="I200" s="26"/>
      <c r="J200" s="6"/>
      <c r="K200" s="6"/>
      <c r="L200" s="27"/>
      <c r="M200" s="26"/>
      <c r="N200" s="26"/>
      <c r="O200" s="26"/>
      <c r="P200" s="26"/>
      <c r="Q200" s="6"/>
      <c r="R200" s="26"/>
      <c r="S200" s="26"/>
      <c r="T200" s="26"/>
      <c r="U200" s="6"/>
      <c r="V200" s="6"/>
      <c r="W200" s="130" t="s">
        <v>521</v>
      </c>
      <c r="X200" s="130"/>
      <c r="Y200" s="130"/>
      <c r="Z200" s="130"/>
      <c r="AA200" s="6"/>
      <c r="AB200" s="130" t="s">
        <v>522</v>
      </c>
      <c r="AC200" s="130"/>
      <c r="AD200" s="130"/>
    </row>
    <row r="201" spans="1:30" s="41" customFormat="1" ht="16.5" thickBot="1" x14ac:dyDescent="0.3">
      <c r="A201" s="129"/>
      <c r="B201" s="129"/>
      <c r="C201" s="129"/>
      <c r="D201" s="129"/>
      <c r="E201" s="29" t="s">
        <v>284</v>
      </c>
      <c r="F201" s="14">
        <f>F200/F199</f>
        <v>0.66666666666666663</v>
      </c>
      <c r="G201" s="15" t="s">
        <v>302</v>
      </c>
      <c r="H201" s="11"/>
      <c r="I201" s="26"/>
      <c r="J201" s="39"/>
      <c r="K201" s="39"/>
      <c r="L201" s="27"/>
      <c r="M201" s="26"/>
      <c r="N201" s="26"/>
      <c r="O201" s="26"/>
      <c r="P201" s="26"/>
      <c r="Q201" s="39"/>
      <c r="R201" s="26"/>
      <c r="S201" s="26"/>
      <c r="T201" s="26"/>
      <c r="U201" s="39"/>
      <c r="V201" s="39"/>
      <c r="W201" s="130" t="str">
        <f>A198</f>
        <v>MONDAY DINNER</v>
      </c>
      <c r="X201" s="130"/>
      <c r="Y201" s="130"/>
      <c r="Z201" s="130"/>
      <c r="AB201" s="130" t="str">
        <f>A198</f>
        <v>MONDAY DINNER</v>
      </c>
      <c r="AC201" s="130"/>
      <c r="AD201" s="130"/>
    </row>
    <row r="202" spans="1:30" ht="15.75" x14ac:dyDescent="0.25">
      <c r="A202" s="129" t="s">
        <v>217</v>
      </c>
      <c r="B202" s="129"/>
      <c r="C202" s="129"/>
      <c r="D202" s="129"/>
      <c r="E202" s="30"/>
      <c r="F202" s="30"/>
      <c r="G202" s="30"/>
      <c r="H202" s="17"/>
      <c r="I202" s="11"/>
      <c r="W202" s="130" t="str">
        <f>A199</f>
        <v>KUMARA, CARROT, AND CORN SOUP</v>
      </c>
      <c r="X202" s="130"/>
      <c r="Y202" s="130"/>
      <c r="Z202" s="130"/>
      <c r="AA202" s="41"/>
      <c r="AB202" s="130" t="str">
        <f>A199</f>
        <v>KUMARA, CARROT, AND CORN SOUP</v>
      </c>
      <c r="AC202" s="130"/>
      <c r="AD202" s="130"/>
    </row>
    <row r="203" spans="1:30" ht="15.75" thickBot="1" x14ac:dyDescent="0.3">
      <c r="A203" s="5" t="s">
        <v>21</v>
      </c>
      <c r="B203" s="16">
        <f>Q203</f>
        <v>3</v>
      </c>
      <c r="C203" s="4" t="str">
        <f>IF(L203="","",L203)</f>
        <v>lt</v>
      </c>
      <c r="D203" s="5" t="str">
        <f>_xlfn.CONCAT(K203, U203)</f>
        <v>vegetable stock</v>
      </c>
      <c r="E203" s="29" t="s">
        <v>273</v>
      </c>
      <c r="F203" s="37">
        <f>wkdyRegDinner</f>
        <v>10</v>
      </c>
      <c r="G203" s="30"/>
      <c r="I203" s="18">
        <v>4.5</v>
      </c>
      <c r="J203" s="19" t="s">
        <v>542</v>
      </c>
      <c r="K203" s="19" t="s">
        <v>40</v>
      </c>
      <c r="L203" s="20" t="s">
        <v>542</v>
      </c>
      <c r="M203" s="11">
        <f>INDEX(itemGPerQty, MATCH(K203, itemNames, 0))</f>
        <v>0</v>
      </c>
      <c r="N203" s="11">
        <f>INDEX(itemMlPerQty, MATCH(K203, itemNames, 0))</f>
        <v>0</v>
      </c>
      <c r="O203" s="11">
        <f>IF(J203 = "", I203 * M203, IF(ISNA(CONVERT(I203, J203, "kg")), CONVERT(I203, J203, "l") * IF(N203 &lt;&gt; 0, M203 / N203, 0), CONVERT(I203, J203, "kg")))</f>
        <v>0</v>
      </c>
      <c r="P203" s="11">
        <f>IF(J203 = "", I203 * N203, IF(ISNA(CONVERT(I203, J203, "l")), CONVERT(I203, J203, "kg") * IF(M203 &lt;&gt; 0, N203 / M203, 0), CONVERT(I203, J203, "l")))</f>
        <v>4.5</v>
      </c>
      <c r="Q203" s="11">
        <f>MROUND(IF(L203 = "", IF(J203 = "", I203, IF(M203 &lt;&gt; 0, O203 / M203, P203 / N203)) * recipe05DayScale, IF(ISNA(CONVERT(O203, "kg", L203)), CONVERT(P203 * recipe05DayScale, "l", L203), CONVERT(O203 * recipe05DayScale, "kg", L203))), roundTo)</f>
        <v>3</v>
      </c>
      <c r="R203" s="11">
        <f>recipe05TotScale * IF(L203 = "", Q203 * M203, IF(ISNA(CONVERT(Q203, L203, "kg")), CONVERT(Q203, L203, "l") * IF(N203 &lt;&gt; 0, M203 / N203, 0), CONVERT(Q203, L203, "kg")))</f>
        <v>0</v>
      </c>
      <c r="S203" s="11">
        <f>recipe05TotScale * IF(R203 = 0, IF(L203 = "", Q203 * N203, IF(ISNA(CONVERT(Q203, L203, "l")), CONVERT(Q203, L203, "kg") * IF(M203 &lt;&gt; 0, N203 / M203, 0), CONVERT(Q203, L203, "l"))), 0)</f>
        <v>3</v>
      </c>
      <c r="T203" s="11">
        <f>recipe05TotScale * IF(AND(R203 = 0, S203 = 0, J203 = "", L203 = ""), Q203, 0)</f>
        <v>0</v>
      </c>
      <c r="V203" s="8" t="b">
        <f>INDEX(itemPrepMethods, MATCH(K203, itemNames, 0))="chop"</f>
        <v>0</v>
      </c>
      <c r="W203" s="21" t="str">
        <f>IF(V203, Q203, "")</f>
        <v/>
      </c>
      <c r="X203" s="22" t="str">
        <f>IF(V203, IF(L203 = "", "", L203), "")</f>
        <v/>
      </c>
      <c r="Y203" s="22" t="str">
        <f>IF(V203, K203, "")</f>
        <v/>
      </c>
      <c r="Z203" s="23"/>
      <c r="AA203" s="8" t="b">
        <f>INDEX(itemPrepMethods, MATCH(K203, itemNames, 0))="soak"</f>
        <v>0</v>
      </c>
      <c r="AB203" s="22" t="str">
        <f>IF(AA203, Q203, "")</f>
        <v/>
      </c>
      <c r="AC203" s="22" t="str">
        <f>IF(AA203, IF(L203 = "", "", L203), "")</f>
        <v/>
      </c>
      <c r="AD203" s="22" t="str">
        <f>IF(AA203, K203, "")</f>
        <v/>
      </c>
    </row>
    <row r="204" spans="1:30" ht="16.5" thickBot="1" x14ac:dyDescent="0.3">
      <c r="A204" s="133"/>
      <c r="B204" s="133"/>
      <c r="C204" s="133"/>
      <c r="D204" s="133"/>
      <c r="E204" s="29" t="s">
        <v>285</v>
      </c>
      <c r="F204" s="14">
        <f>F203/F200</f>
        <v>1</v>
      </c>
      <c r="G204" s="15" t="s">
        <v>303</v>
      </c>
      <c r="H204" s="11"/>
      <c r="I204" s="26"/>
      <c r="J204" s="6"/>
      <c r="K204" s="6"/>
      <c r="L204" s="27"/>
      <c r="M204" s="26"/>
      <c r="N204" s="26"/>
      <c r="O204" s="26"/>
      <c r="P204" s="26"/>
      <c r="Q204" s="6"/>
      <c r="R204" s="26"/>
      <c r="S204" s="26"/>
      <c r="T204" s="26"/>
      <c r="U204" s="6"/>
      <c r="W204" s="21"/>
      <c r="X204" s="21"/>
      <c r="Y204" s="21"/>
      <c r="Z204" s="21"/>
      <c r="AA204" s="30"/>
      <c r="AB204" s="21"/>
      <c r="AC204" s="21"/>
      <c r="AD204" s="21"/>
    </row>
    <row r="205" spans="1:30" x14ac:dyDescent="0.25">
      <c r="A205" s="129" t="s">
        <v>91</v>
      </c>
      <c r="B205" s="129"/>
      <c r="C205" s="129"/>
      <c r="D205" s="129"/>
      <c r="H205" s="11"/>
      <c r="I205" s="26"/>
      <c r="J205" s="6"/>
      <c r="K205" s="6"/>
      <c r="L205" s="27"/>
      <c r="M205" s="26"/>
      <c r="N205" s="26"/>
      <c r="O205" s="26"/>
      <c r="P205" s="26"/>
      <c r="Q205" s="6"/>
      <c r="R205" s="26"/>
      <c r="S205" s="26"/>
      <c r="T205" s="26"/>
      <c r="U205" s="6"/>
      <c r="W205" s="21"/>
      <c r="X205" s="21"/>
      <c r="Y205" s="21"/>
      <c r="Z205" s="21"/>
      <c r="AA205" s="30"/>
      <c r="AB205" s="21"/>
      <c r="AC205" s="21"/>
      <c r="AD205" s="21"/>
    </row>
    <row r="206" spans="1:30" x14ac:dyDescent="0.25">
      <c r="A206" s="5" t="s">
        <v>21</v>
      </c>
      <c r="B206" s="16">
        <f t="shared" ref="B206:B221" si="202">Q206</f>
        <v>4.5</v>
      </c>
      <c r="C206" s="4" t="str">
        <f t="shared" ref="C206:C230" si="203">IF(L206="","",L206)</f>
        <v>lt</v>
      </c>
      <c r="D206" s="48" t="str">
        <f>_xlfn.CONCAT(K206, U206)</f>
        <v>chopped kumara</v>
      </c>
      <c r="I206" s="18">
        <v>12</v>
      </c>
      <c r="J206" s="19"/>
      <c r="K206" s="19" t="s">
        <v>124</v>
      </c>
      <c r="L206" s="20" t="s">
        <v>542</v>
      </c>
      <c r="M206" s="11">
        <f t="shared" ref="M206:M221" si="204">INDEX(itemGPerQty, MATCH(K206, itemNames, 0))</f>
        <v>0.30149999999999999</v>
      </c>
      <c r="N206" s="11">
        <f t="shared" ref="N206:N221" si="205">INDEX(itemMlPerQty, MATCH(K206, itemNames, 0))</f>
        <v>0.57499999999999996</v>
      </c>
      <c r="O206" s="11">
        <f t="shared" ref="O206:O221" si="206">IF(J206 = "", I206 * M206, IF(ISNA(CONVERT(I206, J206, "kg")), CONVERT(I206, J206, "l") * IF(N206 &lt;&gt; 0, M206 / N206, 0), CONVERT(I206, J206, "kg")))</f>
        <v>3.6179999999999999</v>
      </c>
      <c r="P206" s="11">
        <f t="shared" ref="P206:P221" si="207">IF(J206 = "", I206 * N206, IF(ISNA(CONVERT(I206, J206, "l")), CONVERT(I206, J206, "kg") * IF(M206 &lt;&gt; 0, N206 / M206, 0), CONVERT(I206, J206, "l")))</f>
        <v>6.8999999999999995</v>
      </c>
      <c r="Q206" s="11">
        <f>MROUND(IF(L206 = "", IF(J206 = "", I206, IF(M206 &lt;&gt; 0, O206 / M206, P206 / N206)) * recipe05DayScale, IF(ISNA(CONVERT(O206, "kg", L206)), CONVERT(P206 * recipe05DayScale, "l", L206), CONVERT(O206 * recipe05DayScale, "kg", L206))), roundTo)</f>
        <v>4.5</v>
      </c>
      <c r="R206" s="11">
        <f>recipe05TotScale * IF(L206 = "", Q206 * M206, IF(ISNA(CONVERT(Q206, L206, "kg")), CONVERT(Q206, L206, "l") * IF(N206 &lt;&gt; 0, M206 / N206, 0), CONVERT(Q206, L206, "kg")))</f>
        <v>2.3595652173913044</v>
      </c>
      <c r="S206" s="11">
        <f>recipe05TotScale * IF(R206 = 0, IF(L206 = "", Q206 * N206, IF(ISNA(CONVERT(Q206, L206, "l")), CONVERT(Q206, L206, "kg") * IF(M206 &lt;&gt; 0, N206 / M206, 0), CONVERT(Q206, L206, "l"))), 0)</f>
        <v>0</v>
      </c>
      <c r="T206" s="11">
        <f>recipe05TotScale * IF(AND(R206 = 0, S206 = 0, J206 = "", L206 = ""), Q206, 0)</f>
        <v>0</v>
      </c>
      <c r="V206" s="8" t="b">
        <f>INDEX(itemPrepMethods, MATCH(K206, itemNames, 0))="chop"</f>
        <v>1</v>
      </c>
      <c r="W206" s="21">
        <f>IF(V206, Q206, "")</f>
        <v>4.5</v>
      </c>
      <c r="X206" s="22" t="str">
        <f>IF(V206, IF(L206 = "", "", L206), "")</f>
        <v>lt</v>
      </c>
      <c r="Y206" s="22" t="str">
        <f>IF(V206, K206, "")</f>
        <v>chopped kumara</v>
      </c>
      <c r="Z206" s="23"/>
      <c r="AA206" s="8" t="b">
        <f>INDEX(itemPrepMethods, MATCH(K206, itemNames, 0))="soak"</f>
        <v>0</v>
      </c>
      <c r="AB206" s="22" t="str">
        <f>IF(AA206, Q206, "")</f>
        <v/>
      </c>
      <c r="AC206" s="22" t="str">
        <f>IF(AA206, IF(L206 = "", "", L206), "")</f>
        <v/>
      </c>
      <c r="AD206" s="22" t="str">
        <f>IF(AA206, K206, "")</f>
        <v/>
      </c>
    </row>
    <row r="207" spans="1:30" x14ac:dyDescent="0.25">
      <c r="A207" s="5" t="s">
        <v>21</v>
      </c>
      <c r="B207" s="16">
        <f t="shared" si="202"/>
        <v>1.5</v>
      </c>
      <c r="C207" s="4" t="str">
        <f t="shared" si="203"/>
        <v>lt</v>
      </c>
      <c r="D207" s="5" t="str">
        <f>_xlfn.CONCAT(K207, U207)</f>
        <v>chopped carrots</v>
      </c>
      <c r="I207" s="18">
        <v>12</v>
      </c>
      <c r="J207" s="19"/>
      <c r="K207" s="19" t="s">
        <v>5</v>
      </c>
      <c r="L207" s="20" t="s">
        <v>542</v>
      </c>
      <c r="M207" s="11">
        <f t="shared" si="204"/>
        <v>0.14833333333333334</v>
      </c>
      <c r="N207" s="11">
        <f t="shared" si="205"/>
        <v>0.19999999999999998</v>
      </c>
      <c r="O207" s="11">
        <f t="shared" si="206"/>
        <v>1.7800000000000002</v>
      </c>
      <c r="P207" s="11">
        <f t="shared" si="207"/>
        <v>2.4</v>
      </c>
      <c r="Q207" s="11">
        <f>MROUND(IF(L207 = "", IF(J207 = "", I207, IF(M207 &lt;&gt; 0, O207 / M207, P207 / N207)) * recipe05DayScale, IF(ISNA(CONVERT(O207, "kg", L207)), CONVERT(P207 * recipe05DayScale, "l", L207), CONVERT(O207 * recipe05DayScale, "kg", L207))), roundTo)</f>
        <v>1.5</v>
      </c>
      <c r="R207" s="11">
        <f>recipe05TotScale * IF(L207 = "", Q207 * M207, IF(ISNA(CONVERT(Q207, L207, "kg")), CONVERT(Q207, L207, "l") * IF(N207 &lt;&gt; 0, M207 / N207, 0), CONVERT(Q207, L207, "kg")))</f>
        <v>1.1125000000000003</v>
      </c>
      <c r="S207" s="11">
        <f>recipe05TotScale * IF(R207 = 0, IF(L207 = "", Q207 * N207, IF(ISNA(CONVERT(Q207, L207, "l")), CONVERT(Q207, L207, "kg") * IF(M207 &lt;&gt; 0, N207 / M207, 0), CONVERT(Q207, L207, "l"))), 0)</f>
        <v>0</v>
      </c>
      <c r="T207" s="11">
        <f>recipe05TotScale * IF(AND(R207 = 0, S207 = 0, J207 = "", L207 = ""), Q207, 0)</f>
        <v>0</v>
      </c>
      <c r="V207" s="8" t="b">
        <f>INDEX(itemPrepMethods, MATCH(K207, itemNames, 0))="chop"</f>
        <v>1</v>
      </c>
      <c r="W207" s="21">
        <f>IF(V207, Q207, "")</f>
        <v>1.5</v>
      </c>
      <c r="X207" s="22" t="str">
        <f>IF(V207, IF(L207 = "", "", L207), "")</f>
        <v>lt</v>
      </c>
      <c r="Y207" s="22" t="str">
        <f>IF(V207, K207, "")</f>
        <v>chopped carrots</v>
      </c>
      <c r="Z207" s="23"/>
      <c r="AA207" s="8" t="b">
        <f>INDEX(itemPrepMethods, MATCH(K207, itemNames, 0))="soak"</f>
        <v>0</v>
      </c>
      <c r="AB207" s="22" t="str">
        <f>IF(AA207, Q207, "")</f>
        <v/>
      </c>
      <c r="AC207" s="22" t="str">
        <f>IF(AA207, IF(L207 = "", "", L207), "")</f>
        <v/>
      </c>
      <c r="AD207" s="22" t="str">
        <f>IF(AA207, K207, "")</f>
        <v/>
      </c>
    </row>
    <row r="208" spans="1:30" x14ac:dyDescent="0.25">
      <c r="A208" s="5" t="s">
        <v>21</v>
      </c>
      <c r="B208" s="16"/>
      <c r="C208" s="4" t="str">
        <f>IF(L208="","",L208)</f>
        <v/>
      </c>
      <c r="D208" s="5" t="str">
        <f>_xlfn.CONCAT(K208, U208)</f>
        <v>water, ONLY IF REQUIRED to completely cover vegetables</v>
      </c>
      <c r="I208" s="11"/>
      <c r="K208" s="19" t="s">
        <v>33</v>
      </c>
      <c r="L208" s="8"/>
      <c r="M208" s="8"/>
      <c r="N208" s="8"/>
      <c r="O208" s="8"/>
      <c r="P208" s="8"/>
      <c r="U208" s="8" t="s">
        <v>218</v>
      </c>
      <c r="V208" s="8" t="b">
        <f>INDEX(itemPrepMethods, MATCH(K208, itemNames, 0))="chop"</f>
        <v>0</v>
      </c>
      <c r="W208" s="21" t="str">
        <f>IF(V208, Q208, "")</f>
        <v/>
      </c>
      <c r="X208" s="22" t="str">
        <f>IF(V208, IF(L208 = "", "", L208), "")</f>
        <v/>
      </c>
      <c r="Y208" s="22" t="str">
        <f>IF(V208, K208, "")</f>
        <v/>
      </c>
      <c r="Z208" s="23"/>
      <c r="AA208" s="8" t="b">
        <f>INDEX(itemPrepMethods, MATCH(K208, itemNames, 0))="soak"</f>
        <v>0</v>
      </c>
      <c r="AB208" s="22" t="str">
        <f>IF(AA208, Q208, "")</f>
        <v/>
      </c>
      <c r="AC208" s="22" t="str">
        <f>IF(AA208, IF(L208 = "", "", L208), "")</f>
        <v/>
      </c>
      <c r="AD208" s="22" t="str">
        <f>IF(AA208, K208, "")</f>
        <v/>
      </c>
    </row>
    <row r="209" spans="1:30" ht="15.75" x14ac:dyDescent="0.25">
      <c r="A209" s="133"/>
      <c r="B209" s="133"/>
      <c r="C209" s="133"/>
      <c r="D209" s="133"/>
      <c r="E209" s="6"/>
      <c r="F209" s="6"/>
      <c r="G209" s="11"/>
      <c r="H209" s="11"/>
      <c r="I209" s="26"/>
      <c r="J209" s="6"/>
      <c r="K209" s="6"/>
      <c r="L209" s="27"/>
      <c r="M209" s="26"/>
      <c r="N209" s="26"/>
      <c r="O209" s="26"/>
      <c r="P209" s="26"/>
      <c r="Q209" s="6"/>
      <c r="R209" s="26"/>
      <c r="S209" s="26"/>
      <c r="T209" s="26"/>
      <c r="U209" s="6"/>
      <c r="W209" s="21"/>
      <c r="X209" s="21"/>
      <c r="Y209" s="21"/>
      <c r="Z209" s="21"/>
      <c r="AA209" s="30"/>
      <c r="AB209" s="21"/>
      <c r="AC209" s="21"/>
      <c r="AD209" s="21"/>
    </row>
    <row r="210" spans="1:30" x14ac:dyDescent="0.25">
      <c r="A210" s="129" t="s">
        <v>219</v>
      </c>
      <c r="B210" s="129"/>
      <c r="C210" s="129"/>
      <c r="D210" s="129"/>
      <c r="E210" s="6"/>
      <c r="F210" s="6"/>
      <c r="G210" s="11"/>
      <c r="H210" s="11"/>
      <c r="I210" s="26"/>
      <c r="J210" s="6"/>
      <c r="K210" s="6"/>
      <c r="L210" s="27"/>
      <c r="M210" s="26"/>
      <c r="N210" s="26"/>
      <c r="O210" s="26"/>
      <c r="P210" s="26"/>
      <c r="Q210" s="6"/>
      <c r="R210" s="26"/>
      <c r="S210" s="26"/>
      <c r="T210" s="26"/>
      <c r="U210" s="6"/>
      <c r="W210" s="21"/>
      <c r="X210" s="21"/>
      <c r="Y210" s="21"/>
      <c r="Z210" s="21"/>
      <c r="AA210" s="30"/>
      <c r="AB210" s="21"/>
      <c r="AC210" s="21"/>
      <c r="AD210" s="21"/>
    </row>
    <row r="211" spans="1:30" ht="15.75" x14ac:dyDescent="0.25">
      <c r="A211" s="133"/>
      <c r="B211" s="133"/>
      <c r="C211" s="133"/>
      <c r="D211" s="133"/>
      <c r="E211" s="6"/>
      <c r="F211" s="6"/>
      <c r="G211" s="11"/>
      <c r="H211" s="11"/>
      <c r="I211" s="26"/>
      <c r="J211" s="6"/>
      <c r="K211" s="6"/>
      <c r="L211" s="27"/>
      <c r="M211" s="26"/>
      <c r="N211" s="26"/>
      <c r="O211" s="26"/>
      <c r="P211" s="26"/>
      <c r="Q211" s="6"/>
      <c r="R211" s="26"/>
      <c r="S211" s="26"/>
      <c r="T211" s="26"/>
      <c r="U211" s="6"/>
      <c r="W211" s="21"/>
      <c r="X211" s="21"/>
      <c r="Y211" s="21"/>
      <c r="Z211" s="21"/>
      <c r="AA211" s="30"/>
      <c r="AB211" s="21"/>
      <c r="AC211" s="21"/>
      <c r="AD211" s="21"/>
    </row>
    <row r="212" spans="1:30" x14ac:dyDescent="0.25">
      <c r="A212" s="129" t="s">
        <v>226</v>
      </c>
      <c r="B212" s="129"/>
      <c r="C212" s="129"/>
      <c r="D212" s="129"/>
      <c r="E212" s="6"/>
      <c r="F212" s="6"/>
      <c r="G212" s="11"/>
      <c r="H212" s="11"/>
      <c r="I212" s="26"/>
      <c r="J212" s="6"/>
      <c r="K212" s="6"/>
      <c r="L212" s="27"/>
      <c r="M212" s="26"/>
      <c r="N212" s="26"/>
      <c r="O212" s="26"/>
      <c r="P212" s="26"/>
      <c r="Q212" s="6"/>
      <c r="R212" s="26"/>
      <c r="S212" s="26"/>
      <c r="T212" s="26"/>
      <c r="U212" s="6"/>
      <c r="W212" s="21"/>
      <c r="X212" s="21"/>
      <c r="Y212" s="21"/>
      <c r="Z212" s="21"/>
      <c r="AA212" s="30"/>
      <c r="AB212" s="21"/>
      <c r="AC212" s="21"/>
      <c r="AD212" s="21"/>
    </row>
    <row r="213" spans="1:30" ht="15.75" x14ac:dyDescent="0.25">
      <c r="A213" s="133"/>
      <c r="B213" s="133"/>
      <c r="C213" s="133"/>
      <c r="D213" s="133"/>
      <c r="E213" s="6"/>
      <c r="F213" s="6"/>
      <c r="G213" s="11"/>
      <c r="H213" s="11"/>
      <c r="I213" s="26"/>
      <c r="J213" s="6"/>
      <c r="K213" s="6"/>
      <c r="L213" s="27"/>
      <c r="M213" s="26"/>
      <c r="N213" s="26"/>
      <c r="O213" s="26"/>
      <c r="P213" s="26"/>
      <c r="Q213" s="6"/>
      <c r="R213" s="26"/>
      <c r="S213" s="26"/>
      <c r="T213" s="26"/>
      <c r="U213" s="6"/>
      <c r="W213" s="21"/>
      <c r="X213" s="21"/>
      <c r="Y213" s="21"/>
      <c r="Z213" s="21"/>
      <c r="AA213" s="30"/>
      <c r="AB213" s="21"/>
      <c r="AC213" s="21"/>
      <c r="AD213" s="21"/>
    </row>
    <row r="214" spans="1:30" x14ac:dyDescent="0.25">
      <c r="A214" s="129" t="s">
        <v>220</v>
      </c>
      <c r="B214" s="129"/>
      <c r="C214" s="129"/>
      <c r="D214" s="129"/>
      <c r="E214" s="6"/>
      <c r="F214" s="6"/>
      <c r="G214" s="11"/>
      <c r="H214" s="11"/>
      <c r="I214" s="26"/>
      <c r="J214" s="6"/>
      <c r="K214" s="6"/>
      <c r="L214" s="27"/>
      <c r="M214" s="26"/>
      <c r="N214" s="26"/>
      <c r="O214" s="26"/>
      <c r="P214" s="26"/>
      <c r="Q214" s="6"/>
      <c r="R214" s="26"/>
      <c r="S214" s="26"/>
      <c r="T214" s="26"/>
      <c r="U214" s="6"/>
      <c r="W214" s="21"/>
      <c r="X214" s="21"/>
      <c r="Y214" s="21"/>
      <c r="Z214" s="21"/>
      <c r="AA214" s="30"/>
      <c r="AB214" s="21"/>
      <c r="AC214" s="21"/>
      <c r="AD214" s="21"/>
    </row>
    <row r="215" spans="1:30" x14ac:dyDescent="0.25">
      <c r="A215" s="5" t="s">
        <v>21</v>
      </c>
      <c r="B215" s="16">
        <f t="shared" si="202"/>
        <v>2</v>
      </c>
      <c r="C215" s="4" t="str">
        <f t="shared" si="203"/>
        <v/>
      </c>
      <c r="D215" s="5" t="str">
        <f>_xlfn.CONCAT(K215, U215)</f>
        <v>tinned creamed corn</v>
      </c>
      <c r="I215" s="18">
        <v>3</v>
      </c>
      <c r="J215" s="19"/>
      <c r="K215" s="19" t="s">
        <v>369</v>
      </c>
      <c r="L215" s="20"/>
      <c r="M215" s="11">
        <f t="shared" si="204"/>
        <v>0</v>
      </c>
      <c r="N215" s="11">
        <f t="shared" si="205"/>
        <v>0</v>
      </c>
      <c r="O215" s="11">
        <f t="shared" si="206"/>
        <v>0</v>
      </c>
      <c r="P215" s="11">
        <f t="shared" si="207"/>
        <v>0</v>
      </c>
      <c r="Q215" s="11">
        <f>MROUND(IF(L215 = "", IF(J215 = "", I215, IF(M215 &lt;&gt; 0, O215 / M215, P215 / N215)) * recipe05DayScale, IF(ISNA(CONVERT(O215, "kg", L215)), CONVERT(P215 * recipe05DayScale, "l", L215), CONVERT(O215 * recipe05DayScale, "kg", L215))), roundTo)</f>
        <v>2</v>
      </c>
      <c r="R215" s="11">
        <f>recipe05TotScale * IF(L215 = "", Q215 * M215, IF(ISNA(CONVERT(Q215, L215, "kg")), CONVERT(Q215, L215, "l") * IF(N215 &lt;&gt; 0, M215 / N215, 0), CONVERT(Q215, L215, "kg")))</f>
        <v>0</v>
      </c>
      <c r="S215" s="11">
        <f>recipe05TotScale * IF(R215 = 0, IF(L215 = "", Q215 * N215, IF(ISNA(CONVERT(Q215, L215, "l")), CONVERT(Q215, L215, "kg") * IF(M215 &lt;&gt; 0, N215 / M215, 0), CONVERT(Q215, L215, "l"))), 0)</f>
        <v>0</v>
      </c>
      <c r="T215" s="11">
        <f>recipe05TotScale * IF(AND(R215 = 0, S215 = 0, J215 = "", L215 = ""), Q215, 0)</f>
        <v>2</v>
      </c>
      <c r="V215" s="8" t="b">
        <f>INDEX(itemPrepMethods, MATCH(K215, itemNames, 0))="chop"</f>
        <v>0</v>
      </c>
      <c r="W215" s="21" t="str">
        <f>IF(V215, Q215, "")</f>
        <v/>
      </c>
      <c r="X215" s="22" t="str">
        <f>IF(V215, IF(L215 = "", "", L215), "")</f>
        <v/>
      </c>
      <c r="Y215" s="22" t="str">
        <f>IF(V215, K215, "")</f>
        <v/>
      </c>
      <c r="Z215" s="23"/>
      <c r="AA215" s="8" t="b">
        <f>INDEX(itemPrepMethods, MATCH(K215, itemNames, 0))="soak"</f>
        <v>0</v>
      </c>
      <c r="AB215" s="22" t="str">
        <f>IF(AA215, Q215, "")</f>
        <v/>
      </c>
      <c r="AC215" s="22" t="str">
        <f>IF(AA215, IF(L215 = "", "", L215), "")</f>
        <v/>
      </c>
      <c r="AD215" s="22" t="str">
        <f>IF(AA215, K215, "")</f>
        <v/>
      </c>
    </row>
    <row r="216" spans="1:30" x14ac:dyDescent="0.25">
      <c r="A216" s="5" t="s">
        <v>21</v>
      </c>
      <c r="B216" s="16">
        <f t="shared" si="202"/>
        <v>5.25</v>
      </c>
      <c r="C216" s="4" t="str">
        <f t="shared" si="203"/>
        <v>tbs</v>
      </c>
      <c r="D216" s="5" t="str">
        <f>_xlfn.CONCAT(K216, U216)</f>
        <v>dijon mustard</v>
      </c>
      <c r="I216" s="18">
        <v>8</v>
      </c>
      <c r="J216" s="19" t="s">
        <v>15</v>
      </c>
      <c r="K216" s="19" t="s">
        <v>50</v>
      </c>
      <c r="L216" s="20" t="s">
        <v>15</v>
      </c>
      <c r="M216" s="11">
        <f t="shared" si="204"/>
        <v>0</v>
      </c>
      <c r="N216" s="11">
        <f t="shared" si="205"/>
        <v>0</v>
      </c>
      <c r="O216" s="11">
        <f t="shared" si="206"/>
        <v>0</v>
      </c>
      <c r="P216" s="11">
        <f t="shared" si="207"/>
        <v>0.11829411825</v>
      </c>
      <c r="Q216" s="11">
        <f>MROUND(IF(L216 = "", IF(J216 = "", I216, IF(M216 &lt;&gt; 0, O216 / M216, P216 / N216)) * recipe05DayScale, IF(ISNA(CONVERT(O216, "kg", L216)), CONVERT(P216 * recipe05DayScale, "l", L216), CONVERT(O216 * recipe05DayScale, "kg", L216))), roundTo)</f>
        <v>5.25</v>
      </c>
      <c r="R216" s="11">
        <f>recipe05TotScale * IF(L216 = "", Q216 * M216, IF(ISNA(CONVERT(Q216, L216, "kg")), CONVERT(Q216, L216, "l") * IF(N216 &lt;&gt; 0, M216 / N216, 0), CONVERT(Q216, L216, "kg")))</f>
        <v>0</v>
      </c>
      <c r="S216" s="11">
        <f>recipe05TotScale * IF(R216 = 0, IF(L216 = "", Q216 * N216, IF(ISNA(CONVERT(Q216, L216, "l")), CONVERT(Q216, L216, "kg") * IF(M216 &lt;&gt; 0, N216 / M216, 0), CONVERT(Q216, L216, "l"))), 0)</f>
        <v>7.7630515101562492E-2</v>
      </c>
      <c r="T216" s="11">
        <f>recipe05TotScale * IF(AND(R216 = 0, S216 = 0, J216 = "", L216 = ""), Q216, 0)</f>
        <v>0</v>
      </c>
      <c r="V216" s="8" t="b">
        <f>INDEX(itemPrepMethods, MATCH(K216, itemNames, 0))="chop"</f>
        <v>0</v>
      </c>
      <c r="W216" s="21" t="str">
        <f>IF(V216, Q216, "")</f>
        <v/>
      </c>
      <c r="X216" s="22" t="str">
        <f>IF(V216, IF(L216 = "", "", L216), "")</f>
        <v/>
      </c>
      <c r="Y216" s="22" t="str">
        <f>IF(V216, K216, "")</f>
        <v/>
      </c>
      <c r="Z216" s="23"/>
      <c r="AA216" s="8" t="b">
        <f>INDEX(itemPrepMethods, MATCH(K216, itemNames, 0))="soak"</f>
        <v>0</v>
      </c>
      <c r="AB216" s="22" t="str">
        <f>IF(AA216, Q216, "")</f>
        <v/>
      </c>
      <c r="AC216" s="22" t="str">
        <f>IF(AA216, IF(L216 = "", "", L216), "")</f>
        <v/>
      </c>
      <c r="AD216" s="22" t="str">
        <f>IF(AA216, K216, "")</f>
        <v/>
      </c>
    </row>
    <row r="217" spans="1:30" x14ac:dyDescent="0.25">
      <c r="A217" s="5" t="s">
        <v>21</v>
      </c>
      <c r="B217" s="16">
        <f>Q217</f>
        <v>0.25</v>
      </c>
      <c r="C217" s="4" t="str">
        <f>IF(L217="","",L217)</f>
        <v>cup</v>
      </c>
      <c r="D217" s="5" t="str">
        <f>_xlfn.CONCAT(K217, U217)</f>
        <v>olive oil</v>
      </c>
      <c r="I217" s="18">
        <v>0.33</v>
      </c>
      <c r="J217" s="19" t="s">
        <v>16</v>
      </c>
      <c r="K217" s="19" t="s">
        <v>52</v>
      </c>
      <c r="L217" s="20" t="s">
        <v>16</v>
      </c>
      <c r="M217" s="11">
        <f>INDEX(itemGPerQty, MATCH(K217, itemNames, 0))</f>
        <v>0</v>
      </c>
      <c r="N217" s="11">
        <f>INDEX(itemMlPerQty, MATCH(K217, itemNames, 0))</f>
        <v>0</v>
      </c>
      <c r="O217" s="11">
        <f>IF(J217 = "", I217 * M217, IF(ISNA(CONVERT(I217, J217, "kg")), CONVERT(I217, J217, "l") * IF(N217 &lt;&gt; 0, M217 / N217, 0), CONVERT(I217, J217, "kg")))</f>
        <v>0</v>
      </c>
      <c r="P217" s="11">
        <f>IF(J217 = "", I217 * N217, IF(ISNA(CONVERT(I217, J217, "l")), CONVERT(I217, J217, "kg") * IF(M217 &lt;&gt; 0, N217 / M217, 0), CONVERT(I217, J217, "l")))</f>
        <v>7.8074118045000002E-2</v>
      </c>
      <c r="Q217" s="11">
        <f>MROUND(IF(L217 = "", IF(J217 = "", I217, IF(M217 &lt;&gt; 0, O217 / M217, P217 / N217)) * recipe05DayScale, IF(ISNA(CONVERT(O217, "kg", L217)), CONVERT(P217 * recipe05DayScale, "l", L217), CONVERT(O217 * recipe05DayScale, "kg", L217))), roundTo)</f>
        <v>0.25</v>
      </c>
      <c r="R217" s="11">
        <f>recipe05TotScale * IF(L217 = "", Q217 * M217, IF(ISNA(CONVERT(Q217, L217, "kg")), CONVERT(Q217, L217, "l") * IF(N217 &lt;&gt; 0, M217 / N217, 0), CONVERT(Q217, L217, "kg")))</f>
        <v>0</v>
      </c>
      <c r="S217" s="11">
        <f>recipe05TotScale * IF(R217 = 0, IF(L217 = "", Q217 * N217, IF(ISNA(CONVERT(Q217, L217, "l")), CONVERT(Q217, L217, "kg") * IF(M217 &lt;&gt; 0, N217 / M217, 0), CONVERT(Q217, L217, "l"))), 0)</f>
        <v>5.9147059124999998E-2</v>
      </c>
      <c r="T217" s="11">
        <f>recipe05TotScale * IF(AND(R217 = 0, S217 = 0, J217 = "", L217 = ""), Q217, 0)</f>
        <v>0</v>
      </c>
      <c r="V217" s="8" t="b">
        <f>INDEX(itemPrepMethods, MATCH(K217, itemNames, 0))="chop"</f>
        <v>0</v>
      </c>
      <c r="W217" s="21" t="str">
        <f>IF(V217, Q217, "")</f>
        <v/>
      </c>
      <c r="X217" s="22" t="str">
        <f>IF(V217, IF(L217 = "", "", L217), "")</f>
        <v/>
      </c>
      <c r="Y217" s="22" t="str">
        <f>IF(V217, K217, "")</f>
        <v/>
      </c>
      <c r="Z217" s="23"/>
      <c r="AA217" s="8" t="b">
        <f>INDEX(itemPrepMethods, MATCH(K217, itemNames, 0))="soak"</f>
        <v>0</v>
      </c>
      <c r="AB217" s="22" t="str">
        <f>IF(AA217, Q217, "")</f>
        <v/>
      </c>
      <c r="AC217" s="22" t="str">
        <f>IF(AA217, IF(L217 = "", "", L217), "")</f>
        <v/>
      </c>
      <c r="AD217" s="22" t="str">
        <f>IF(AA217, K217, "")</f>
        <v/>
      </c>
    </row>
    <row r="218" spans="1:30" ht="15.75" x14ac:dyDescent="0.25">
      <c r="A218" s="133"/>
      <c r="B218" s="133"/>
      <c r="C218" s="133"/>
      <c r="D218" s="133"/>
      <c r="E218" s="6"/>
      <c r="F218" s="6"/>
      <c r="G218" s="11"/>
      <c r="H218" s="11"/>
      <c r="I218" s="26"/>
      <c r="J218" s="6"/>
      <c r="K218" s="6"/>
      <c r="L218" s="27"/>
      <c r="M218" s="26"/>
      <c r="N218" s="26"/>
      <c r="O218" s="26"/>
      <c r="P218" s="26"/>
      <c r="Q218" s="6"/>
      <c r="R218" s="26"/>
      <c r="S218" s="26"/>
      <c r="T218" s="26"/>
      <c r="U218" s="6"/>
      <c r="W218" s="21"/>
      <c r="X218" s="21"/>
      <c r="Y218" s="21"/>
      <c r="Z218" s="21"/>
      <c r="AA218" s="30"/>
      <c r="AB218" s="21"/>
      <c r="AC218" s="21"/>
      <c r="AD218" s="21"/>
    </row>
    <row r="219" spans="1:30" x14ac:dyDescent="0.25">
      <c r="A219" s="129" t="s">
        <v>221</v>
      </c>
      <c r="B219" s="129"/>
      <c r="C219" s="129"/>
      <c r="D219" s="129"/>
      <c r="E219" s="6"/>
      <c r="F219" s="6"/>
      <c r="G219" s="11"/>
      <c r="H219" s="11"/>
      <c r="I219" s="26"/>
      <c r="J219" s="6"/>
      <c r="K219" s="6"/>
      <c r="L219" s="27"/>
      <c r="M219" s="26"/>
      <c r="N219" s="26"/>
      <c r="O219" s="26"/>
      <c r="P219" s="26"/>
      <c r="Q219" s="6"/>
      <c r="R219" s="26"/>
      <c r="S219" s="26"/>
      <c r="T219" s="26"/>
      <c r="U219" s="6"/>
      <c r="W219" s="21"/>
      <c r="X219" s="21"/>
      <c r="Y219" s="21"/>
      <c r="Z219" s="21"/>
      <c r="AA219" s="30"/>
      <c r="AB219" s="21"/>
      <c r="AC219" s="21"/>
      <c r="AD219" s="21"/>
    </row>
    <row r="220" spans="1:30" x14ac:dyDescent="0.25">
      <c r="A220" s="5" t="s">
        <v>21</v>
      </c>
      <c r="B220" s="16">
        <f>Q220</f>
        <v>4</v>
      </c>
      <c r="C220" s="4" t="str">
        <f>IF(L220="","",L220)</f>
        <v>tsp</v>
      </c>
      <c r="D220" s="5" t="str">
        <f>_xlfn.CONCAT(K220, U220)</f>
        <v>ground cumin</v>
      </c>
      <c r="I220" s="18">
        <v>6</v>
      </c>
      <c r="J220" s="19" t="s">
        <v>13</v>
      </c>
      <c r="K220" s="19" t="s">
        <v>14</v>
      </c>
      <c r="L220" s="20" t="s">
        <v>13</v>
      </c>
      <c r="M220" s="11">
        <f>INDEX(itemGPerQty, MATCH(K220, itemNames, 0))</f>
        <v>1.0999999999999999E-2</v>
      </c>
      <c r="N220" s="11">
        <f>INDEX(itemMlPerQty, MATCH(K220, itemNames, 0))</f>
        <v>2.2180100000000001E-2</v>
      </c>
      <c r="O220" s="11">
        <f>IF(J220 = "", I220 * M220, IF(ISNA(CONVERT(I220, J220, "kg")), CONVERT(I220, J220, "l") * IF(N220 &lt;&gt; 0, M220 / N220, 0), CONVERT(I220, J220, "kg")))</f>
        <v>1.4666697859229668E-2</v>
      </c>
      <c r="P220" s="11">
        <f>IF(J220 = "", I220 * N220, IF(ISNA(CONVERT(I220, J220, "l")), CONVERT(I220, J220, "kg") * IF(M220 &lt;&gt; 0, N220 / M220, 0), CONVERT(I220, J220, "l")))</f>
        <v>2.9573529562499999E-2</v>
      </c>
      <c r="Q220" s="11">
        <f>MROUND(IF(L220 = "", IF(J220 = "", I220, IF(M220 &lt;&gt; 0, O220 / M220, P220 / N220)) * recipe05DayScale, IF(ISNA(CONVERT(O220, "kg", L220)), CONVERT(P220 * recipe05DayScale, "l", L220), CONVERT(O220 * recipe05DayScale, "kg", L220))), roundTo)</f>
        <v>4</v>
      </c>
      <c r="R220" s="11">
        <f>recipe05TotScale * IF(L220 = "", Q220 * M220, IF(ISNA(CONVERT(Q220, L220, "kg")), CONVERT(Q220, L220, "l") * IF(N220 &lt;&gt; 0, M220 / N220, 0), CONVERT(Q220, L220, "kg")))</f>
        <v>9.7777985728197785E-3</v>
      </c>
      <c r="S220" s="11">
        <f>recipe05TotScale * IF(R220 = 0, IF(L220 = "", Q220 * N220, IF(ISNA(CONVERT(Q220, L220, "l")), CONVERT(Q220, L220, "kg") * IF(M220 &lt;&gt; 0, N220 / M220, 0), CONVERT(Q220, L220, "l"))), 0)</f>
        <v>0</v>
      </c>
      <c r="T220" s="11">
        <f>recipe05TotScale * IF(AND(R220 = 0, S220 = 0, J220 = "", L220 = ""), Q220, 0)</f>
        <v>0</v>
      </c>
      <c r="V220" s="8" t="b">
        <f>INDEX(itemPrepMethods, MATCH(K220, itemNames, 0))="chop"</f>
        <v>0</v>
      </c>
      <c r="W220" s="21" t="str">
        <f>IF(V220, Q220, "")</f>
        <v/>
      </c>
      <c r="X220" s="22" t="str">
        <f>IF(V220, IF(L220 = "", "", L220), "")</f>
        <v/>
      </c>
      <c r="Y220" s="22" t="str">
        <f>IF(V220, K220, "")</f>
        <v/>
      </c>
      <c r="Z220" s="23"/>
      <c r="AA220" s="8" t="b">
        <f>INDEX(itemPrepMethods, MATCH(K220, itemNames, 0))="soak"</f>
        <v>0</v>
      </c>
      <c r="AB220" s="22" t="str">
        <f>IF(AA220, Q220, "")</f>
        <v/>
      </c>
      <c r="AC220" s="22" t="str">
        <f>IF(AA220, IF(L220 = "", "", L220), "")</f>
        <v/>
      </c>
      <c r="AD220" s="22" t="str">
        <f>IF(AA220, K220, "")</f>
        <v/>
      </c>
    </row>
    <row r="221" spans="1:30" x14ac:dyDescent="0.25">
      <c r="A221" s="5" t="s">
        <v>21</v>
      </c>
      <c r="B221" s="16">
        <f t="shared" si="202"/>
        <v>4</v>
      </c>
      <c r="C221" s="4" t="str">
        <f t="shared" si="203"/>
        <v>tbs</v>
      </c>
      <c r="D221" s="5" t="str">
        <f>_xlfn.CONCAT(K221, U221)</f>
        <v>nutritional yeast</v>
      </c>
      <c r="I221" s="18">
        <v>6</v>
      </c>
      <c r="J221" s="19" t="s">
        <v>15</v>
      </c>
      <c r="K221" s="19" t="s">
        <v>51</v>
      </c>
      <c r="L221" s="20" t="s">
        <v>15</v>
      </c>
      <c r="M221" s="11">
        <f t="shared" si="204"/>
        <v>0</v>
      </c>
      <c r="N221" s="11">
        <f t="shared" si="205"/>
        <v>0</v>
      </c>
      <c r="O221" s="11">
        <f t="shared" si="206"/>
        <v>0</v>
      </c>
      <c r="P221" s="11">
        <f t="shared" si="207"/>
        <v>8.872058868749999E-2</v>
      </c>
      <c r="Q221" s="11">
        <f>MROUND(IF(L221 = "", IF(J221 = "", I221, IF(M221 &lt;&gt; 0, O221 / M221, P221 / N221)) * recipe05DayScale, IF(ISNA(CONVERT(O221, "kg", L221)), CONVERT(P221 * recipe05DayScale, "l", L221), CONVERT(O221 * recipe05DayScale, "kg", L221))), roundTo)</f>
        <v>4</v>
      </c>
      <c r="R221" s="11">
        <f>recipe05TotScale * IF(L221 = "", Q221 * M221, IF(ISNA(CONVERT(Q221, L221, "kg")), CONVERT(Q221, L221, "l") * IF(N221 &lt;&gt; 0, M221 / N221, 0), CONVERT(Q221, L221, "kg")))</f>
        <v>0</v>
      </c>
      <c r="S221" s="11">
        <f>recipe05TotScale * IF(R221 = 0, IF(L221 = "", Q221 * N221, IF(ISNA(CONVERT(Q221, L221, "l")), CONVERT(Q221, L221, "kg") * IF(M221 &lt;&gt; 0, N221 / M221, 0), CONVERT(Q221, L221, "l"))), 0)</f>
        <v>5.9147059124999998E-2</v>
      </c>
      <c r="T221" s="11">
        <f>recipe05TotScale * IF(AND(R221 = 0, S221 = 0, J221 = "", L221 = ""), Q221, 0)</f>
        <v>0</v>
      </c>
      <c r="V221" s="8" t="b">
        <f>INDEX(itemPrepMethods, MATCH(K221, itemNames, 0))="chop"</f>
        <v>0</v>
      </c>
      <c r="W221" s="21" t="str">
        <f>IF(V221, Q221, "")</f>
        <v/>
      </c>
      <c r="X221" s="22" t="str">
        <f>IF(V221, IF(L221 = "", "", L221), "")</f>
        <v/>
      </c>
      <c r="Y221" s="22" t="str">
        <f>IF(V221, K221, "")</f>
        <v/>
      </c>
      <c r="Z221" s="23"/>
      <c r="AA221" s="8" t="b">
        <f>INDEX(itemPrepMethods, MATCH(K221, itemNames, 0))="soak"</f>
        <v>0</v>
      </c>
      <c r="AB221" s="22" t="str">
        <f>IF(AA221, Q221, "")</f>
        <v/>
      </c>
      <c r="AC221" s="22" t="str">
        <f>IF(AA221, IF(L221 = "", "", L221), "")</f>
        <v/>
      </c>
      <c r="AD221" s="22" t="str">
        <f>IF(AA221, K221, "")</f>
        <v/>
      </c>
    </row>
    <row r="222" spans="1:30" x14ac:dyDescent="0.25">
      <c r="B222" s="16"/>
      <c r="I222" s="8"/>
      <c r="L222" s="8"/>
      <c r="W222" s="21"/>
      <c r="X222" s="21"/>
      <c r="Y222" s="21"/>
      <c r="Z222" s="21"/>
      <c r="AA222" s="30"/>
      <c r="AB222" s="21"/>
      <c r="AC222" s="21"/>
      <c r="AD222" s="21"/>
    </row>
    <row r="223" spans="1:30" x14ac:dyDescent="0.25">
      <c r="A223" s="129" t="s">
        <v>222</v>
      </c>
      <c r="B223" s="129"/>
      <c r="C223" s="129"/>
      <c r="D223" s="129"/>
      <c r="I223" s="8"/>
      <c r="L223" s="8"/>
      <c r="W223" s="21"/>
      <c r="X223" s="21"/>
      <c r="Y223" s="21"/>
      <c r="Z223" s="21"/>
      <c r="AA223" s="30"/>
      <c r="AB223" s="21"/>
      <c r="AC223" s="21"/>
      <c r="AD223" s="21"/>
    </row>
    <row r="224" spans="1:30" x14ac:dyDescent="0.25">
      <c r="B224" s="16"/>
      <c r="I224" s="8"/>
      <c r="L224" s="8"/>
      <c r="W224" s="21"/>
      <c r="X224" s="21"/>
      <c r="Y224" s="21"/>
      <c r="Z224" s="21"/>
      <c r="AA224" s="30"/>
      <c r="AB224" s="21"/>
      <c r="AC224" s="21"/>
      <c r="AD224" s="21"/>
    </row>
    <row r="225" spans="1:30" x14ac:dyDescent="0.25">
      <c r="A225" s="129" t="s">
        <v>224</v>
      </c>
      <c r="B225" s="129"/>
      <c r="C225" s="129"/>
      <c r="D225" s="129"/>
      <c r="I225" s="8"/>
      <c r="L225" s="8"/>
      <c r="W225" s="21"/>
      <c r="X225" s="21"/>
      <c r="Y225" s="21"/>
      <c r="Z225" s="21"/>
      <c r="AA225" s="30"/>
      <c r="AB225" s="21"/>
      <c r="AC225" s="21"/>
      <c r="AD225" s="21"/>
    </row>
    <row r="226" spans="1:30" x14ac:dyDescent="0.25">
      <c r="A226" s="5" t="s">
        <v>21</v>
      </c>
      <c r="B226" s="16"/>
      <c r="C226" s="4" t="str">
        <f t="shared" ref="C226" si="208">IF(L226="","",L226)</f>
        <v/>
      </c>
      <c r="D226" s="5" t="str">
        <f>_xlfn.CONCAT(K226, U226)</f>
        <v>salt, to taste</v>
      </c>
      <c r="I226" s="11"/>
      <c r="K226" s="19" t="s">
        <v>11</v>
      </c>
      <c r="L226" s="8"/>
      <c r="M226" s="8"/>
      <c r="N226" s="8"/>
      <c r="O226" s="8"/>
      <c r="P226" s="8"/>
      <c r="U226" s="8" t="s">
        <v>173</v>
      </c>
      <c r="V226" s="8" t="b">
        <f>INDEX(itemPrepMethods, MATCH(K226, itemNames, 0))="chop"</f>
        <v>0</v>
      </c>
      <c r="W226" s="21" t="str">
        <f>IF(V226, Q226, "")</f>
        <v/>
      </c>
      <c r="X226" s="22" t="str">
        <f>IF(V226, IF(L226 = "", "", L226), "")</f>
        <v/>
      </c>
      <c r="Y226" s="22" t="str">
        <f>IF(V226, K226, "")</f>
        <v/>
      </c>
      <c r="Z226" s="23"/>
      <c r="AA226" s="8" t="b">
        <f>INDEX(itemPrepMethods, MATCH(K226, itemNames, 0))="soak"</f>
        <v>0</v>
      </c>
      <c r="AB226" s="22" t="str">
        <f>IF(AA226, Q226, "")</f>
        <v/>
      </c>
      <c r="AC226" s="22" t="str">
        <f>IF(AA226, IF(L226 = "", "", L226), "")</f>
        <v/>
      </c>
      <c r="AD226" s="22" t="str">
        <f>IF(AA226, K226, "")</f>
        <v/>
      </c>
    </row>
    <row r="227" spans="1:30" x14ac:dyDescent="0.25">
      <c r="A227" s="5" t="s">
        <v>21</v>
      </c>
      <c r="B227" s="16"/>
      <c r="C227" s="4" t="str">
        <f t="shared" si="203"/>
        <v/>
      </c>
      <c r="D227" s="5" t="str">
        <f>_xlfn.CONCAT(K227, U227)</f>
        <v>ground black pepper, to taste</v>
      </c>
      <c r="I227" s="11"/>
      <c r="K227" s="19" t="s">
        <v>54</v>
      </c>
      <c r="L227" s="8"/>
      <c r="M227" s="8"/>
      <c r="N227" s="8"/>
      <c r="O227" s="8"/>
      <c r="P227" s="8"/>
      <c r="U227" s="8" t="s">
        <v>173</v>
      </c>
      <c r="V227" s="8" t="b">
        <f>INDEX(itemPrepMethods, MATCH(K227, itemNames, 0))="chop"</f>
        <v>0</v>
      </c>
      <c r="W227" s="21" t="str">
        <f>IF(V227, Q227, "")</f>
        <v/>
      </c>
      <c r="X227" s="22" t="str">
        <f>IF(V227, IF(L227 = "", "", L227), "")</f>
        <v/>
      </c>
      <c r="Y227" s="22" t="str">
        <f>IF(V227, K227, "")</f>
        <v/>
      </c>
      <c r="Z227" s="23"/>
      <c r="AA227" s="8" t="b">
        <f>INDEX(itemPrepMethods, MATCH(K227, itemNames, 0))="soak"</f>
        <v>0</v>
      </c>
      <c r="AB227" s="22" t="str">
        <f>IF(AA227, Q227, "")</f>
        <v/>
      </c>
      <c r="AC227" s="22" t="str">
        <f>IF(AA227, IF(L227 = "", "", L227), "")</f>
        <v/>
      </c>
      <c r="AD227" s="22" t="str">
        <f>IF(AA227, K227, "")</f>
        <v/>
      </c>
    </row>
    <row r="228" spans="1:30" x14ac:dyDescent="0.25">
      <c r="B228" s="16"/>
      <c r="I228" s="8"/>
      <c r="L228" s="8"/>
      <c r="W228" s="21"/>
      <c r="X228" s="21"/>
      <c r="Y228" s="21"/>
      <c r="Z228" s="21"/>
      <c r="AA228" s="30"/>
      <c r="AB228" s="21"/>
      <c r="AC228" s="21"/>
      <c r="AD228" s="21"/>
    </row>
    <row r="229" spans="1:30" x14ac:dyDescent="0.25">
      <c r="A229" s="129" t="s">
        <v>225</v>
      </c>
      <c r="B229" s="129"/>
      <c r="C229" s="129"/>
      <c r="D229" s="129"/>
      <c r="I229" s="8"/>
      <c r="L229" s="8"/>
      <c r="W229" s="21"/>
      <c r="X229" s="21"/>
      <c r="Y229" s="21"/>
      <c r="Z229" s="21"/>
      <c r="AA229" s="30"/>
      <c r="AB229" s="21"/>
      <c r="AC229" s="21"/>
      <c r="AD229" s="21"/>
    </row>
    <row r="230" spans="1:30" x14ac:dyDescent="0.25">
      <c r="A230" s="5" t="s">
        <v>21</v>
      </c>
      <c r="B230" s="16"/>
      <c r="C230" s="4" t="str">
        <f t="shared" si="203"/>
        <v/>
      </c>
      <c r="D230" s="5" t="str">
        <f>_xlfn.CONCAT(K230, U230)</f>
        <v>chopped fresh chives, if available</v>
      </c>
      <c r="I230" s="11"/>
      <c r="K230" s="19" t="s">
        <v>57</v>
      </c>
      <c r="L230" s="8"/>
      <c r="M230" s="8"/>
      <c r="N230" s="8"/>
      <c r="O230" s="8"/>
      <c r="P230" s="8"/>
      <c r="U230" s="8" t="s">
        <v>195</v>
      </c>
      <c r="V230" s="8" t="b">
        <f>INDEX(itemPrepMethods, MATCH(K230, itemNames, 0))="chop"</f>
        <v>1</v>
      </c>
      <c r="W230" s="21"/>
      <c r="X230" s="22" t="str">
        <f>IF(V230, IF(L230 = "", "", L230), "")</f>
        <v/>
      </c>
      <c r="Y230" s="22" t="str">
        <f>IF(V230, K230, "")</f>
        <v>chopped fresh chives</v>
      </c>
      <c r="Z230" s="23"/>
      <c r="AA230" s="8" t="b">
        <f>INDEX(itemPrepMethods, MATCH(K230, itemNames, 0))="soak"</f>
        <v>0</v>
      </c>
      <c r="AB230" s="22" t="str">
        <f>IF(AA230, Q230, "")</f>
        <v/>
      </c>
      <c r="AC230" s="22" t="str">
        <f>IF(AA230, IF(L230 = "", "", L230), "")</f>
        <v/>
      </c>
      <c r="AD230" s="22" t="str">
        <f>IF(AA230, K230, "")</f>
        <v/>
      </c>
    </row>
    <row r="231" spans="1:30" ht="15.75" x14ac:dyDescent="0.25">
      <c r="A231" s="130" t="s">
        <v>512</v>
      </c>
      <c r="B231" s="130"/>
      <c r="C231" s="130"/>
      <c r="D231" s="130"/>
      <c r="E231" s="7" t="s">
        <v>104</v>
      </c>
      <c r="F231" s="39" t="s">
        <v>67</v>
      </c>
      <c r="G231" s="39"/>
      <c r="H231" s="11"/>
    </row>
    <row r="232" spans="1:30" ht="24" x14ac:dyDescent="0.2">
      <c r="A232" s="130" t="s">
        <v>26</v>
      </c>
      <c r="B232" s="130"/>
      <c r="C232" s="130"/>
      <c r="D232" s="130"/>
      <c r="E232" s="6" t="s">
        <v>39</v>
      </c>
      <c r="F232" s="37">
        <v>14</v>
      </c>
      <c r="G232" s="11"/>
      <c r="H232" s="11"/>
      <c r="I232" s="33" t="s">
        <v>355</v>
      </c>
      <c r="J232" s="34" t="s">
        <v>356</v>
      </c>
      <c r="K232" s="34" t="s">
        <v>17</v>
      </c>
      <c r="L232" s="35" t="s">
        <v>359</v>
      </c>
      <c r="M232" s="33" t="s">
        <v>115</v>
      </c>
      <c r="N232" s="33" t="s">
        <v>116</v>
      </c>
      <c r="O232" s="33" t="s">
        <v>357</v>
      </c>
      <c r="P232" s="33" t="s">
        <v>358</v>
      </c>
      <c r="Q232" s="34" t="s">
        <v>286</v>
      </c>
      <c r="R232" s="33" t="s">
        <v>287</v>
      </c>
      <c r="S232" s="33" t="s">
        <v>288</v>
      </c>
      <c r="T232" s="33" t="s">
        <v>289</v>
      </c>
      <c r="U232" s="34" t="s">
        <v>22</v>
      </c>
      <c r="V232" s="34" t="s">
        <v>169</v>
      </c>
      <c r="W232" s="36" t="s">
        <v>286</v>
      </c>
      <c r="X232" s="34" t="s">
        <v>167</v>
      </c>
      <c r="Y232" s="34" t="s">
        <v>168</v>
      </c>
      <c r="Z232" s="34" t="s">
        <v>263</v>
      </c>
      <c r="AA232" s="34" t="s">
        <v>170</v>
      </c>
      <c r="AB232" s="36" t="s">
        <v>286</v>
      </c>
      <c r="AC232" s="34" t="s">
        <v>171</v>
      </c>
      <c r="AD232" s="34" t="s">
        <v>172</v>
      </c>
    </row>
    <row r="233" spans="1:30" ht="16.5" thickBot="1" x14ac:dyDescent="0.3">
      <c r="A233" s="131" t="str">
        <f>_xlfn.CONCAT(F233," servings")</f>
        <v>10 servings</v>
      </c>
      <c r="B233" s="131"/>
      <c r="C233" s="131"/>
      <c r="D233" s="131"/>
      <c r="E233" s="29" t="s">
        <v>281</v>
      </c>
      <c r="F233" s="37">
        <f>wkdyRegLunch</f>
        <v>10</v>
      </c>
      <c r="G233" s="11"/>
      <c r="H233" s="11"/>
      <c r="I233" s="26"/>
      <c r="J233" s="6"/>
      <c r="K233" s="6"/>
      <c r="L233" s="27"/>
      <c r="M233" s="26"/>
      <c r="N233" s="26"/>
      <c r="O233" s="26"/>
      <c r="P233" s="26"/>
      <c r="Q233" s="6"/>
      <c r="R233" s="26"/>
      <c r="S233" s="26"/>
      <c r="T233" s="26"/>
      <c r="U233" s="6"/>
      <c r="W233" s="130" t="s">
        <v>521</v>
      </c>
      <c r="X233" s="130"/>
      <c r="Y233" s="130"/>
      <c r="Z233" s="130"/>
      <c r="AB233" s="130" t="s">
        <v>522</v>
      </c>
      <c r="AC233" s="130"/>
      <c r="AD233" s="130"/>
    </row>
    <row r="234" spans="1:30" s="41" customFormat="1" ht="16.5" thickBot="1" x14ac:dyDescent="0.3">
      <c r="A234" s="129"/>
      <c r="B234" s="129"/>
      <c r="C234" s="129"/>
      <c r="D234" s="129"/>
      <c r="E234" s="29" t="s">
        <v>284</v>
      </c>
      <c r="F234" s="14">
        <f>F233/F232</f>
        <v>0.7142857142857143</v>
      </c>
      <c r="G234" s="15" t="s">
        <v>304</v>
      </c>
      <c r="H234" s="11"/>
      <c r="I234" s="26"/>
      <c r="J234" s="39"/>
      <c r="K234" s="39"/>
      <c r="L234" s="27"/>
      <c r="M234" s="26"/>
      <c r="N234" s="26"/>
      <c r="O234" s="26"/>
      <c r="P234" s="26"/>
      <c r="Q234" s="39"/>
      <c r="R234" s="26"/>
      <c r="S234" s="26"/>
      <c r="T234" s="26"/>
      <c r="U234" s="39"/>
      <c r="W234" s="130" t="str">
        <f>A231</f>
        <v>TUESDAY LUNCH</v>
      </c>
      <c r="X234" s="130"/>
      <c r="Y234" s="130"/>
      <c r="Z234" s="130"/>
      <c r="AB234" s="130" t="str">
        <f>A231</f>
        <v>TUESDAY LUNCH</v>
      </c>
      <c r="AC234" s="130"/>
      <c r="AD234" s="130"/>
    </row>
    <row r="235" spans="1:30" ht="15.75" x14ac:dyDescent="0.25">
      <c r="A235" s="129" t="s">
        <v>90</v>
      </c>
      <c r="B235" s="129"/>
      <c r="C235" s="129"/>
      <c r="D235" s="129"/>
      <c r="E235" s="30"/>
      <c r="F235" s="30"/>
      <c r="G235" s="30"/>
      <c r="H235" s="17"/>
      <c r="I235" s="11"/>
      <c r="W235" s="130" t="str">
        <f>A232</f>
        <v>BROCCOLI AND TOFU WITH PEANUT SAUCE</v>
      </c>
      <c r="X235" s="130"/>
      <c r="Y235" s="130"/>
      <c r="Z235" s="130"/>
      <c r="AA235" s="41"/>
      <c r="AB235" s="130" t="str">
        <f>A232</f>
        <v>BROCCOLI AND TOFU WITH PEANUT SAUCE</v>
      </c>
      <c r="AC235" s="130"/>
      <c r="AD235" s="130"/>
    </row>
    <row r="236" spans="1:30" ht="15.75" thickBot="1" x14ac:dyDescent="0.3">
      <c r="A236" s="5" t="s">
        <v>21</v>
      </c>
      <c r="B236" s="16">
        <f t="shared" ref="B236:B237" si="209">Q236</f>
        <v>2.25</v>
      </c>
      <c r="C236" s="4" t="str">
        <f>IF(L236="","",L236)</f>
        <v>cup</v>
      </c>
      <c r="D236" s="5" t="str">
        <f>_xlfn.CONCAT(K236, U236)</f>
        <v>peanut butter</v>
      </c>
      <c r="E236" s="29" t="s">
        <v>273</v>
      </c>
      <c r="F236" s="37">
        <f>wkdyRegLunch</f>
        <v>10</v>
      </c>
      <c r="G236" s="30"/>
      <c r="I236" s="18">
        <v>3</v>
      </c>
      <c r="J236" s="19" t="s">
        <v>16</v>
      </c>
      <c r="K236" s="19" t="s">
        <v>79</v>
      </c>
      <c r="L236" s="20" t="s">
        <v>16</v>
      </c>
      <c r="M236" s="11">
        <f>INDEX(itemGPerQty, MATCH(K236, itemNames, 0))</f>
        <v>0</v>
      </c>
      <c r="N236" s="11">
        <f>INDEX(itemMlPerQty, MATCH(K236, itemNames, 0))</f>
        <v>0</v>
      </c>
      <c r="O236" s="11">
        <f t="shared" ref="O236:O237" si="210">IF(J236 = "", I236 * M236, IF(ISNA(CONVERT(I236, J236, "kg")), CONVERT(I236, J236, "l") * IF(N236 &lt;&gt; 0, M236 / N236, 0), CONVERT(I236, J236, "kg")))</f>
        <v>0</v>
      </c>
      <c r="P236" s="11">
        <f t="shared" ref="P236:P237" si="211">IF(J236 = "", I236 * N236, IF(ISNA(CONVERT(I236, J236, "l")), CONVERT(I236, J236, "kg") * IF(M236 &lt;&gt; 0, N236 / M236, 0), CONVERT(I236, J236, "l")))</f>
        <v>0.70976470949999992</v>
      </c>
      <c r="Q236" s="11">
        <f>MROUND(IF(L236 = "", IF(J236 = "", I236, IF(M236 &lt;&gt; 0, O236 / M236, P236 / N236)) * recipe06DayScale, IF(ISNA(CONVERT(O236, "kg", L236)), CONVERT(P236 * recipe06DayScale, "l", L236), CONVERT(O236 * recipe06DayScale, "kg", L236))), roundTo)</f>
        <v>2.25</v>
      </c>
      <c r="R236" s="11">
        <f>recipe06TotScale * IF(L236 = "", Q236 * M236, IF(ISNA(CONVERT(Q236, L236, "kg")), CONVERT(Q236, L236, "l") * IF(N236 &lt;&gt; 0, M236 / N236, 0), CONVERT(Q236, L236, "kg")))</f>
        <v>0</v>
      </c>
      <c r="S236" s="11">
        <f>recipe06TotScale * IF(R236 = 0, IF(L236 = "", Q236 * N236, IF(ISNA(CONVERT(Q236, L236, "l")), CONVERT(Q236, L236, "kg") * IF(M236 &lt;&gt; 0, N236 / M236, 0), CONVERT(Q236, L236, "l"))), 0)</f>
        <v>0.53232353212499994</v>
      </c>
      <c r="T236" s="11">
        <f>recipe06TotScale * IF(AND(R236 = 0, S236 = 0, J236 = "", L236 = ""), Q236, 0)</f>
        <v>0</v>
      </c>
      <c r="V236" s="8" t="b">
        <f>INDEX(itemPrepMethods, MATCH(K236, itemNames, 0))="chop"</f>
        <v>0</v>
      </c>
      <c r="W236" s="21" t="str">
        <f>IF(V236, Q236, "")</f>
        <v/>
      </c>
      <c r="X236" s="22" t="str">
        <f>IF(V236, IF(L236 = "", "", L236), "")</f>
        <v/>
      </c>
      <c r="Y236" s="22" t="str">
        <f>IF(V236, K236, "")</f>
        <v/>
      </c>
      <c r="Z236" s="23"/>
      <c r="AA236" s="8" t="b">
        <f>INDEX(itemPrepMethods, MATCH(K236, itemNames, 0))="soak"</f>
        <v>0</v>
      </c>
      <c r="AB236" s="22" t="str">
        <f>IF(AA236, Q236, "")</f>
        <v/>
      </c>
      <c r="AC236" s="22" t="str">
        <f>IF(AA236, IF(L236 = "", "", L236), "")</f>
        <v/>
      </c>
      <c r="AD236" s="22" t="str">
        <f>IF(AA236, K236, "")</f>
        <v/>
      </c>
    </row>
    <row r="237" spans="1:30" ht="15.75" thickBot="1" x14ac:dyDescent="0.3">
      <c r="A237" s="5" t="s">
        <v>21</v>
      </c>
      <c r="B237" s="16">
        <f t="shared" si="209"/>
        <v>2.75</v>
      </c>
      <c r="C237" s="4" t="str">
        <f>IF(L237="","",L237)</f>
        <v>cup</v>
      </c>
      <c r="D237" s="5" t="str">
        <f>_xlfn.CONCAT(K237, U237)</f>
        <v>hot water</v>
      </c>
      <c r="E237" s="29" t="s">
        <v>285</v>
      </c>
      <c r="F237" s="14">
        <f>F236/F233</f>
        <v>1</v>
      </c>
      <c r="G237" s="15" t="s">
        <v>305</v>
      </c>
      <c r="I237" s="18">
        <v>4</v>
      </c>
      <c r="J237" s="19" t="s">
        <v>16</v>
      </c>
      <c r="K237" s="19" t="s">
        <v>86</v>
      </c>
      <c r="L237" s="20" t="s">
        <v>16</v>
      </c>
      <c r="M237" s="11">
        <f>INDEX(itemGPerQty, MATCH(K237, itemNames, 0))</f>
        <v>1</v>
      </c>
      <c r="N237" s="11">
        <f>INDEX(itemMlPerQty, MATCH(K237, itemNames, 0))</f>
        <v>1</v>
      </c>
      <c r="O237" s="11">
        <f t="shared" si="210"/>
        <v>0.94635294599999997</v>
      </c>
      <c r="P237" s="11">
        <f t="shared" si="211"/>
        <v>0.94635294599999997</v>
      </c>
      <c r="Q237" s="11">
        <f>MROUND(IF(L237 = "", IF(J237 = "", I237, IF(M237 &lt;&gt; 0, O237 / M237, P237 / N237)) * recipe06DayScale, IF(ISNA(CONVERT(O237, "kg", L237)), CONVERT(P237 * recipe06DayScale, "l", L237), CONVERT(O237 * recipe06DayScale, "kg", L237))), roundTo)</f>
        <v>2.75</v>
      </c>
      <c r="R237" s="11">
        <f>recipe06TotScale * IF(L237 = "", Q237 * M237, IF(ISNA(CONVERT(Q237, L237, "kg")), CONVERT(Q237, L237, "l") * IF(N237 &lt;&gt; 0, M237 / N237, 0), CONVERT(Q237, L237, "kg")))</f>
        <v>0.65061765037499997</v>
      </c>
      <c r="S237" s="11">
        <f>recipe06TotScale * IF(R237 = 0, IF(L237 = "", Q237 * N237, IF(ISNA(CONVERT(Q237, L237, "l")), CONVERT(Q237, L237, "kg") * IF(M237 &lt;&gt; 0, N237 / M237, 0), CONVERT(Q237, L237, "l"))), 0)</f>
        <v>0</v>
      </c>
      <c r="T237" s="11">
        <f>recipe06TotScale * IF(AND(R237 = 0, S237 = 0, J237 = "", L237 = ""), Q237, 0)</f>
        <v>0</v>
      </c>
      <c r="V237" s="8" t="b">
        <f>INDEX(itemPrepMethods, MATCH(K237, itemNames, 0))="chop"</f>
        <v>0</v>
      </c>
      <c r="W237" s="21" t="str">
        <f>IF(V237, Q237, "")</f>
        <v/>
      </c>
      <c r="X237" s="22" t="str">
        <f>IF(V237, IF(L237 = "", "", L237), "")</f>
        <v/>
      </c>
      <c r="Y237" s="22" t="str">
        <f>IF(V237, K237, "")</f>
        <v/>
      </c>
      <c r="Z237" s="23"/>
      <c r="AA237" s="8" t="b">
        <f>INDEX(itemPrepMethods, MATCH(K237, itemNames, 0))="soak"</f>
        <v>0</v>
      </c>
      <c r="AB237" s="22" t="str">
        <f>IF(AA237, Q237, "")</f>
        <v/>
      </c>
      <c r="AC237" s="22" t="str">
        <f>IF(AA237, IF(L237 = "", "", L237), "")</f>
        <v/>
      </c>
      <c r="AD237" s="22" t="str">
        <f>IF(AA237, K237, "")</f>
        <v/>
      </c>
    </row>
    <row r="238" spans="1:30" x14ac:dyDescent="0.25">
      <c r="A238" s="129"/>
      <c r="B238" s="129"/>
      <c r="C238" s="129"/>
      <c r="D238" s="129"/>
      <c r="I238" s="11"/>
      <c r="W238" s="21"/>
      <c r="X238" s="21"/>
      <c r="Y238" s="21"/>
      <c r="Z238" s="21"/>
      <c r="AA238" s="30"/>
      <c r="AB238" s="21"/>
      <c r="AC238" s="21"/>
      <c r="AD238" s="21"/>
    </row>
    <row r="239" spans="1:30" x14ac:dyDescent="0.25">
      <c r="A239" s="129" t="s">
        <v>91</v>
      </c>
      <c r="B239" s="129"/>
      <c r="C239" s="129"/>
      <c r="D239" s="129"/>
      <c r="I239" s="11"/>
      <c r="W239" s="21"/>
      <c r="X239" s="21"/>
      <c r="Y239" s="21"/>
      <c r="Z239" s="21"/>
      <c r="AA239" s="30"/>
      <c r="AB239" s="21"/>
      <c r="AC239" s="21"/>
      <c r="AD239" s="21"/>
    </row>
    <row r="240" spans="1:30" x14ac:dyDescent="0.25">
      <c r="A240" s="5" t="s">
        <v>21</v>
      </c>
      <c r="B240" s="16">
        <f t="shared" ref="B240:B241" si="212">Q240</f>
        <v>0.25</v>
      </c>
      <c r="C240" s="4" t="str">
        <f>IF(L240="","",L240)</f>
        <v>cup</v>
      </c>
      <c r="D240" s="5" t="str">
        <f>_xlfn.CONCAT(K240, U240)</f>
        <v>cider vinegar</v>
      </c>
      <c r="I240" s="18">
        <v>0.5</v>
      </c>
      <c r="J240" s="19" t="s">
        <v>16</v>
      </c>
      <c r="K240" s="19" t="s">
        <v>87</v>
      </c>
      <c r="L240" s="20" t="s">
        <v>16</v>
      </c>
      <c r="M240" s="11">
        <f>INDEX(itemGPerQty, MATCH(K240, itemNames, 0))</f>
        <v>0</v>
      </c>
      <c r="N240" s="11">
        <f>INDEX(itemMlPerQty, MATCH(K240, itemNames, 0))</f>
        <v>0</v>
      </c>
      <c r="O240" s="11">
        <f t="shared" ref="O240:O241" si="213">IF(J240 = "", I240 * M240, IF(ISNA(CONVERT(I240, J240, "kg")), CONVERT(I240, J240, "l") * IF(N240 &lt;&gt; 0, M240 / N240, 0), CONVERT(I240, J240, "kg")))</f>
        <v>0</v>
      </c>
      <c r="P240" s="11">
        <f t="shared" ref="P240:P241" si="214">IF(J240 = "", I240 * N240, IF(ISNA(CONVERT(I240, J240, "l")), CONVERT(I240, J240, "kg") * IF(M240 &lt;&gt; 0, N240 / M240, 0), CONVERT(I240, J240, "l")))</f>
        <v>0.11829411825</v>
      </c>
      <c r="Q240" s="11">
        <f>MROUND(IF(L240 = "", IF(J240 = "", I240, IF(M240 &lt;&gt; 0, O240 / M240, P240 / N240)) * recipe06DayScale, IF(ISNA(CONVERT(O240, "kg", L240)), CONVERT(P240 * recipe06DayScale, "l", L240), CONVERT(O240 * recipe06DayScale, "kg", L240))), roundTo)</f>
        <v>0.25</v>
      </c>
      <c r="R240" s="11">
        <f>recipe06TotScale * IF(L240 = "", Q240 * M240, IF(ISNA(CONVERT(Q240, L240, "kg")), CONVERT(Q240, L240, "l") * IF(N240 &lt;&gt; 0, M240 / N240, 0), CONVERT(Q240, L240, "kg")))</f>
        <v>0</v>
      </c>
      <c r="S240" s="11">
        <f>recipe06TotScale * IF(R240 = 0, IF(L240 = "", Q240 * N240, IF(ISNA(CONVERT(Q240, L240, "l")), CONVERT(Q240, L240, "kg") * IF(M240 &lt;&gt; 0, N240 / M240, 0), CONVERT(Q240, L240, "l"))), 0)</f>
        <v>5.9147059124999998E-2</v>
      </c>
      <c r="T240" s="11">
        <f>recipe06TotScale * IF(AND(R240 = 0, S240 = 0, J240 = "", L240 = ""), Q240, 0)</f>
        <v>0</v>
      </c>
      <c r="V240" s="8" t="b">
        <f>INDEX(itemPrepMethods, MATCH(K240, itemNames, 0))="chop"</f>
        <v>0</v>
      </c>
      <c r="W240" s="21" t="str">
        <f>IF(V240, Q240, "")</f>
        <v/>
      </c>
      <c r="X240" s="22" t="str">
        <f>IF(V240, IF(L240 = "", "", L240), "")</f>
        <v/>
      </c>
      <c r="Y240" s="22" t="str">
        <f>IF(V240, K240, "")</f>
        <v/>
      </c>
      <c r="Z240" s="23"/>
      <c r="AA240" s="8" t="b">
        <f>INDEX(itemPrepMethods, MATCH(K240, itemNames, 0))="soak"</f>
        <v>0</v>
      </c>
      <c r="AB240" s="22" t="str">
        <f>IF(AA240, Q240, "")</f>
        <v/>
      </c>
      <c r="AC240" s="22" t="str">
        <f>IF(AA240, IF(L240 = "", "", L240), "")</f>
        <v/>
      </c>
      <c r="AD240" s="22" t="str">
        <f>IF(AA240, K240, "")</f>
        <v/>
      </c>
    </row>
    <row r="241" spans="1:30" x14ac:dyDescent="0.25">
      <c r="A241" s="5" t="s">
        <v>21</v>
      </c>
      <c r="B241" s="16">
        <f t="shared" si="212"/>
        <v>0.25</v>
      </c>
      <c r="C241" s="4" t="str">
        <f>IF(L241="","",L241)</f>
        <v>cup</v>
      </c>
      <c r="D241" s="5" t="str">
        <f>_xlfn.CONCAT(K241, U241)</f>
        <v>soy sauce</v>
      </c>
      <c r="I241" s="18">
        <v>0.5</v>
      </c>
      <c r="J241" s="19" t="s">
        <v>16</v>
      </c>
      <c r="K241" s="19" t="s">
        <v>88</v>
      </c>
      <c r="L241" s="20" t="s">
        <v>16</v>
      </c>
      <c r="M241" s="11">
        <f>INDEX(itemGPerQty, MATCH(K241, itemNames, 0))</f>
        <v>0</v>
      </c>
      <c r="N241" s="11">
        <f>INDEX(itemMlPerQty, MATCH(K241, itemNames, 0))</f>
        <v>0</v>
      </c>
      <c r="O241" s="11">
        <f t="shared" si="213"/>
        <v>0</v>
      </c>
      <c r="P241" s="11">
        <f t="shared" si="214"/>
        <v>0.11829411825</v>
      </c>
      <c r="Q241" s="11">
        <f>MROUND(IF(L241 = "", IF(J241 = "", I241, IF(M241 &lt;&gt; 0, O241 / M241, P241 / N241)) * recipe06DayScale, IF(ISNA(CONVERT(O241, "kg", L241)), CONVERT(P241 * recipe06DayScale, "l", L241), CONVERT(O241 * recipe06DayScale, "kg", L241))), roundTo)</f>
        <v>0.25</v>
      </c>
      <c r="R241" s="11">
        <f>recipe06TotScale * IF(L241 = "", Q241 * M241, IF(ISNA(CONVERT(Q241, L241, "kg")), CONVERT(Q241, L241, "l") * IF(N241 &lt;&gt; 0, M241 / N241, 0), CONVERT(Q241, L241, "kg")))</f>
        <v>0</v>
      </c>
      <c r="S241" s="11">
        <f>recipe06TotScale * IF(R241 = 0, IF(L241 = "", Q241 * N241, IF(ISNA(CONVERT(Q241, L241, "l")), CONVERT(Q241, L241, "kg") * IF(M241 &lt;&gt; 0, N241 / M241, 0), CONVERT(Q241, L241, "l"))), 0)</f>
        <v>5.9147059124999998E-2</v>
      </c>
      <c r="T241" s="11">
        <f>recipe06TotScale * IF(AND(R241 = 0, S241 = 0, J241 = "", L241 = ""), Q241, 0)</f>
        <v>0</v>
      </c>
      <c r="V241" s="8" t="b">
        <f>INDEX(itemPrepMethods, MATCH(K241, itemNames, 0))="chop"</f>
        <v>0</v>
      </c>
      <c r="W241" s="21" t="str">
        <f>IF(V241, Q241, "")</f>
        <v/>
      </c>
      <c r="X241" s="22" t="str">
        <f>IF(V241, IF(L241 = "", "", L241), "")</f>
        <v/>
      </c>
      <c r="Y241" s="22" t="str">
        <f>IF(V241, K241, "")</f>
        <v/>
      </c>
      <c r="Z241" s="23"/>
      <c r="AA241" s="8" t="b">
        <f>INDEX(itemPrepMethods, MATCH(K241, itemNames, 0))="soak"</f>
        <v>0</v>
      </c>
      <c r="AB241" s="22" t="str">
        <f>IF(AA241, Q241, "")</f>
        <v/>
      </c>
      <c r="AC241" s="22" t="str">
        <f>IF(AA241, IF(L241 = "", "", L241), "")</f>
        <v/>
      </c>
      <c r="AD241" s="22" t="str">
        <f>IF(AA241, K241, "")</f>
        <v/>
      </c>
    </row>
    <row r="242" spans="1:30" x14ac:dyDescent="0.25">
      <c r="A242" s="129"/>
      <c r="B242" s="129"/>
      <c r="C242" s="129"/>
      <c r="D242" s="129"/>
      <c r="I242" s="11"/>
      <c r="W242" s="21"/>
      <c r="X242" s="21"/>
      <c r="Y242" s="21"/>
      <c r="Z242" s="21"/>
      <c r="AA242" s="30"/>
      <c r="AB242" s="21"/>
      <c r="AC242" s="21"/>
      <c r="AD242" s="21"/>
    </row>
    <row r="243" spans="1:30" x14ac:dyDescent="0.25">
      <c r="A243" s="129" t="s">
        <v>92</v>
      </c>
      <c r="B243" s="129"/>
      <c r="C243" s="129"/>
      <c r="D243" s="129"/>
      <c r="I243" s="11"/>
      <c r="W243" s="21"/>
      <c r="X243" s="21"/>
      <c r="Y243" s="21"/>
      <c r="Z243" s="21"/>
      <c r="AA243" s="30"/>
      <c r="AB243" s="21"/>
      <c r="AC243" s="21"/>
      <c r="AD243" s="21"/>
    </row>
    <row r="244" spans="1:30" ht="36" x14ac:dyDescent="0.25">
      <c r="A244" s="5" t="s">
        <v>21</v>
      </c>
      <c r="B244" s="16">
        <f>Q244</f>
        <v>2.25</v>
      </c>
      <c r="C244" s="4" t="str">
        <f>IF(L244="","",L244)</f>
        <v/>
      </c>
      <c r="D244" s="5" t="str">
        <f>_xlfn.CONCAT(K244, U244)</f>
        <v>blocks tofu, cut into cubes</v>
      </c>
      <c r="I244" s="18">
        <v>3</v>
      </c>
      <c r="J244" s="19"/>
      <c r="K244" s="19" t="s">
        <v>227</v>
      </c>
      <c r="L244" s="20"/>
      <c r="M244" s="11">
        <f>INDEX(itemGPerQty, MATCH(K244, itemNames, 0))</f>
        <v>0.311</v>
      </c>
      <c r="N244" s="11">
        <f>INDEX(itemMlPerQty, MATCH(K244, itemNames, 0))</f>
        <v>0.5</v>
      </c>
      <c r="O244" s="11">
        <f>IF(J244 = "", I244 * M244, IF(ISNA(CONVERT(I244, J244, "kg")), CONVERT(I244, J244, "l") * IF(N244 &lt;&gt; 0, M244 / N244, 0), CONVERT(I244, J244, "kg")))</f>
        <v>0.93300000000000005</v>
      </c>
      <c r="P244" s="11">
        <f>IF(J244 = "", I244 * N244, IF(ISNA(CONVERT(I244, J244, "l")), CONVERT(I244, J244, "kg") * IF(M244 &lt;&gt; 0, N244 / M244, 0), CONVERT(I244, J244, "l")))</f>
        <v>1.5</v>
      </c>
      <c r="Q244" s="11">
        <f>MROUND(IF(L244 = "", IF(J244 = "", I244, IF(M244 &lt;&gt; 0, O244 / M244, P244 / N244)) * recipe06DayScale, IF(ISNA(CONVERT(O244, "kg", L244)), CONVERT(P244 * recipe06DayScale, "l", L244), CONVERT(O244 * recipe06DayScale, "kg", L244))), roundTo)</f>
        <v>2.25</v>
      </c>
      <c r="R244" s="11">
        <f>recipe06TotScale * IF(L244 = "", Q244 * M244, IF(ISNA(CONVERT(Q244, L244, "kg")), CONVERT(Q244, L244, "l") * IF(N244 &lt;&gt; 0, M244 / N244, 0), CONVERT(Q244, L244, "kg")))</f>
        <v>0.69974999999999998</v>
      </c>
      <c r="S244" s="11">
        <f>recipe06TotScale * IF(R244 = 0, IF(L244 = "", Q244 * N244, IF(ISNA(CONVERT(Q244, L244, "l")), CONVERT(Q244, L244, "kg") * IF(M244 &lt;&gt; 0, N244 / M244, 0), CONVERT(Q244, L244, "l"))), 0)</f>
        <v>0</v>
      </c>
      <c r="T244" s="11">
        <f>recipe06TotScale * IF(AND(R244 = 0, S244 = 0, J244 = "", L244 = ""), Q244, 0)</f>
        <v>0</v>
      </c>
      <c r="V244" s="8" t="b">
        <f>INDEX(itemPrepMethods, MATCH(K244, itemNames, 0))="chop"</f>
        <v>1</v>
      </c>
      <c r="W244" s="21">
        <f>IF(V244, Q244, "")</f>
        <v>2.25</v>
      </c>
      <c r="X244" s="22" t="str">
        <f>IF(V244, IF(L244 = "", "", L244), "")</f>
        <v/>
      </c>
      <c r="Y244" s="22" t="str">
        <f>IF(V244, K244, "")</f>
        <v>blocks tofu, cut into cubes</v>
      </c>
      <c r="Z244" s="23" t="s">
        <v>229</v>
      </c>
      <c r="AA244" s="8" t="b">
        <f>INDEX(itemPrepMethods, MATCH(K244, itemNames, 0))="soak"</f>
        <v>0</v>
      </c>
      <c r="AB244" s="22" t="str">
        <f>IF(AA244, Q244, "")</f>
        <v/>
      </c>
      <c r="AC244" s="22" t="str">
        <f>IF(AA244, IF(L244 = "", "", L244), "")</f>
        <v/>
      </c>
      <c r="AD244" s="22" t="str">
        <f>IF(AA244, K244, "")</f>
        <v/>
      </c>
    </row>
    <row r="245" spans="1:30" x14ac:dyDescent="0.25">
      <c r="A245" s="129"/>
      <c r="B245" s="129"/>
      <c r="C245" s="129"/>
      <c r="D245" s="129"/>
      <c r="I245" s="11"/>
      <c r="W245" s="21"/>
      <c r="X245" s="21"/>
      <c r="Y245" s="21"/>
      <c r="Z245" s="21"/>
      <c r="AA245" s="30"/>
      <c r="AB245" s="21"/>
      <c r="AC245" s="21"/>
      <c r="AD245" s="21"/>
    </row>
    <row r="246" spans="1:30" x14ac:dyDescent="0.25">
      <c r="A246" s="129" t="s">
        <v>93</v>
      </c>
      <c r="B246" s="129"/>
      <c r="C246" s="129"/>
      <c r="D246" s="129"/>
      <c r="I246" s="11"/>
      <c r="W246" s="21"/>
      <c r="X246" s="21"/>
      <c r="Y246" s="21"/>
      <c r="Z246" s="21"/>
      <c r="AA246" s="30"/>
      <c r="AB246" s="21"/>
      <c r="AC246" s="21"/>
      <c r="AD246" s="21"/>
    </row>
    <row r="247" spans="1:30" x14ac:dyDescent="0.25">
      <c r="A247" s="5" t="s">
        <v>21</v>
      </c>
      <c r="B247" s="16">
        <f>Q247</f>
        <v>3.5</v>
      </c>
      <c r="C247" s="4" t="str">
        <f>IF(L247="","",L247)</f>
        <v/>
      </c>
      <c r="D247" s="5" t="str">
        <f>_xlfn.CONCAT(K247, U247)</f>
        <v>garlic cloves. Remove from oil once cooked</v>
      </c>
      <c r="I247" s="18">
        <v>5</v>
      </c>
      <c r="J247" s="19"/>
      <c r="K247" s="19" t="s">
        <v>8</v>
      </c>
      <c r="L247" s="20"/>
      <c r="M247" s="11">
        <f>INDEX(itemGPerQty, MATCH(K247, itemNames, 0))</f>
        <v>0</v>
      </c>
      <c r="N247" s="11">
        <f>INDEX(itemMlPerQty, MATCH(K247, itemNames, 0))</f>
        <v>0</v>
      </c>
      <c r="O247" s="11">
        <f>IF(J247 = "", I247 * M247, IF(ISNA(CONVERT(I247, J247, "kg")), CONVERT(I247, J247, "l") * IF(N247 &lt;&gt; 0, M247 / N247, 0), CONVERT(I247, J247, "kg")))</f>
        <v>0</v>
      </c>
      <c r="P247" s="11">
        <f>IF(J247 = "", I247 * N247, IF(ISNA(CONVERT(I247, J247, "l")), CONVERT(I247, J247, "kg") * IF(M247 &lt;&gt; 0, N247 / M247, 0), CONVERT(I247, J247, "l")))</f>
        <v>0</v>
      </c>
      <c r="Q247" s="11">
        <f>MROUND(IF(L247 = "", IF(J247 = "", I247, IF(M247 &lt;&gt; 0, O247 / M247, P247 / N247)) * recipe06DayScale, IF(ISNA(CONVERT(O247, "kg", L247)), CONVERT(P247 * recipe06DayScale, "l", L247), CONVERT(O247 * recipe06DayScale, "kg", L247))), roundTo)</f>
        <v>3.5</v>
      </c>
      <c r="R247" s="11">
        <f>recipe06TotScale * IF(L247 = "", Q247 * M247, IF(ISNA(CONVERT(Q247, L247, "kg")), CONVERT(Q247, L247, "l") * IF(N247 &lt;&gt; 0, M247 / N247, 0), CONVERT(Q247, L247, "kg")))</f>
        <v>0</v>
      </c>
      <c r="S247" s="11">
        <f>recipe06TotScale * IF(R247 = 0, IF(L247 = "", Q247 * N247, IF(ISNA(CONVERT(Q247, L247, "l")), CONVERT(Q247, L247, "kg") * IF(M247 &lt;&gt; 0, N247 / M247, 0), CONVERT(Q247, L247, "l"))), 0)</f>
        <v>0</v>
      </c>
      <c r="T247" s="11">
        <f>recipe06TotScale * IF(AND(R247 = 0, S247 = 0, J247 = "", L247 = ""), Q247, 0)</f>
        <v>3.5</v>
      </c>
      <c r="U247" s="8" t="s">
        <v>200</v>
      </c>
      <c r="V247" s="8" t="b">
        <f>INDEX(itemPrepMethods, MATCH(K247, itemNames, 0))="chop"</f>
        <v>0</v>
      </c>
      <c r="W247" s="21" t="str">
        <f>IF(V247, Q247, "")</f>
        <v/>
      </c>
      <c r="X247" s="22" t="str">
        <f>IF(V247, IF(L247 = "", "", L247), "")</f>
        <v/>
      </c>
      <c r="Y247" s="22" t="str">
        <f>IF(V247, K247, "")</f>
        <v/>
      </c>
      <c r="Z247" s="23"/>
      <c r="AA247" s="8" t="b">
        <f>INDEX(itemPrepMethods, MATCH(K247, itemNames, 0))="soak"</f>
        <v>0</v>
      </c>
      <c r="AB247" s="22" t="str">
        <f>IF(AA247, Q247, "")</f>
        <v/>
      </c>
      <c r="AC247" s="22" t="str">
        <f>IF(AA247, IF(L247 = "", "", L247), "")</f>
        <v/>
      </c>
      <c r="AD247" s="22" t="str">
        <f>IF(AA247, K247, "")</f>
        <v/>
      </c>
    </row>
    <row r="248" spans="1:30" x14ac:dyDescent="0.25">
      <c r="A248" s="5" t="s">
        <v>21</v>
      </c>
      <c r="B248" s="16">
        <f t="shared" ref="B248:B249" si="215">Q248</f>
        <v>2.5</v>
      </c>
      <c r="C248" s="4" t="str">
        <f>IF(L248="","",L248)</f>
        <v>cup</v>
      </c>
      <c r="D248" s="5" t="str">
        <f>_xlfn.CONCAT(K248, U248)</f>
        <v>chopped onions</v>
      </c>
      <c r="I248" s="18">
        <v>2.75</v>
      </c>
      <c r="J248" s="19"/>
      <c r="K248" s="19" t="s">
        <v>6</v>
      </c>
      <c r="L248" s="20" t="s">
        <v>16</v>
      </c>
      <c r="M248" s="11">
        <f>INDEX(itemGPerQty, MATCH(K248, itemNames, 0))</f>
        <v>0.185</v>
      </c>
      <c r="N248" s="11">
        <f>INDEX(itemMlPerQty, MATCH(K248, itemNames, 0))</f>
        <v>0.3</v>
      </c>
      <c r="O248" s="11">
        <f t="shared" ref="O248:O249" si="216">IF(J248 = "", I248 * M248, IF(ISNA(CONVERT(I248, J248, "kg")), CONVERT(I248, J248, "l") * IF(N248 &lt;&gt; 0, M248 / N248, 0), CONVERT(I248, J248, "kg")))</f>
        <v>0.50875000000000004</v>
      </c>
      <c r="P248" s="11">
        <f t="shared" ref="P248:P249" si="217">IF(J248 = "", I248 * N248, IF(ISNA(CONVERT(I248, J248, "l")), CONVERT(I248, J248, "kg") * IF(M248 &lt;&gt; 0, N248 / M248, 0), CONVERT(I248, J248, "l")))</f>
        <v>0.82499999999999996</v>
      </c>
      <c r="Q248" s="11">
        <f>MROUND(IF(L248 = "", IF(J248 = "", I248, IF(M248 &lt;&gt; 0, O248 / M248, P248 / N248)) * recipe06DayScale, IF(ISNA(CONVERT(O248, "kg", L248)), CONVERT(P248 * recipe06DayScale, "l", L248), CONVERT(O248 * recipe06DayScale, "kg", L248))), roundTo)</f>
        <v>2.5</v>
      </c>
      <c r="R248" s="11">
        <f>recipe06TotScale * IF(L248 = "", Q248 * M248, IF(ISNA(CONVERT(Q248, L248, "kg")), CONVERT(Q248, L248, "l") * IF(N248 &lt;&gt; 0, M248 / N248, 0), CONVERT(Q248, L248, "kg")))</f>
        <v>0.36474019793750001</v>
      </c>
      <c r="S248" s="11">
        <f>recipe06TotScale * IF(R248 = 0, IF(L248 = "", Q248 * N248, IF(ISNA(CONVERT(Q248, L248, "l")), CONVERT(Q248, L248, "kg") * IF(M248 &lt;&gt; 0, N248 / M248, 0), CONVERT(Q248, L248, "l"))), 0)</f>
        <v>0</v>
      </c>
      <c r="T248" s="11">
        <f>recipe06TotScale * IF(AND(R248 = 0, S248 = 0, J248 = "", L248 = ""), Q248, 0)</f>
        <v>0</v>
      </c>
      <c r="V248" s="8" t="b">
        <f>INDEX(itemPrepMethods, MATCH(K248, itemNames, 0))="chop"</f>
        <v>1</v>
      </c>
      <c r="W248" s="21">
        <f>IF(V248, Q248, "")</f>
        <v>2.5</v>
      </c>
      <c r="X248" s="22" t="str">
        <f>IF(V248, IF(L248 = "", "", L248), "")</f>
        <v>cup</v>
      </c>
      <c r="Y248" s="22" t="str">
        <f>IF(V248, K248, "")</f>
        <v>chopped onions</v>
      </c>
      <c r="Z248" s="23"/>
      <c r="AA248" s="8" t="b">
        <f>INDEX(itemPrepMethods, MATCH(K248, itemNames, 0))="soak"</f>
        <v>0</v>
      </c>
      <c r="AB248" s="22" t="str">
        <f>IF(AA248, Q248, "")</f>
        <v/>
      </c>
      <c r="AC248" s="22" t="str">
        <f>IF(AA248, IF(L248 = "", "", L248), "")</f>
        <v/>
      </c>
      <c r="AD248" s="22" t="str">
        <f>IF(AA248, K248, "")</f>
        <v/>
      </c>
    </row>
    <row r="249" spans="1:30" x14ac:dyDescent="0.25">
      <c r="A249" s="5" t="s">
        <v>21</v>
      </c>
      <c r="B249" s="16">
        <f t="shared" si="215"/>
        <v>0.25</v>
      </c>
      <c r="C249" s="4" t="str">
        <f>IF(L249="","",L249)</f>
        <v>cup</v>
      </c>
      <c r="D249" s="5" t="str">
        <f>_xlfn.CONCAT(K249, U249)</f>
        <v>minced fresh ginger</v>
      </c>
      <c r="I249" s="18">
        <v>0.5</v>
      </c>
      <c r="J249" s="19" t="s">
        <v>16</v>
      </c>
      <c r="K249" s="19" t="s">
        <v>188</v>
      </c>
      <c r="L249" s="20" t="s">
        <v>16</v>
      </c>
      <c r="M249" s="11">
        <f>INDEX(itemGPerQty, MATCH(K249, itemNames, 0))</f>
        <v>2.4E-2</v>
      </c>
      <c r="N249" s="11">
        <f>INDEX(itemMlPerQty, MATCH(K249, itemNames, 0))</f>
        <v>3.4501958300000003E-2</v>
      </c>
      <c r="O249" s="11">
        <f t="shared" si="216"/>
        <v>8.2286889727068033E-2</v>
      </c>
      <c r="P249" s="11">
        <f t="shared" si="217"/>
        <v>0.11829411825</v>
      </c>
      <c r="Q249" s="11">
        <f>MROUND(IF(L249 = "", IF(J249 = "", I249, IF(M249 &lt;&gt; 0, O249 / M249, P249 / N249)) * recipe06DayScale, IF(ISNA(CONVERT(O249, "kg", L249)), CONVERT(P249 * recipe06DayScale, "l", L249), CONVERT(O249 * recipe06DayScale, "kg", L249))), roundTo)</f>
        <v>0.25</v>
      </c>
      <c r="R249" s="11">
        <f>recipe06TotScale * IF(L249 = "", Q249 * M249, IF(ISNA(CONVERT(Q249, L249, "kg")), CONVERT(Q249, L249, "l") * IF(N249 &lt;&gt; 0, M249 / N249, 0), CONVERT(Q249, L249, "kg")))</f>
        <v>4.1143444863534016E-2</v>
      </c>
      <c r="S249" s="11">
        <f>recipe06TotScale * IF(R249 = 0, IF(L249 = "", Q249 * N249, IF(ISNA(CONVERT(Q249, L249, "l")), CONVERT(Q249, L249, "kg") * IF(M249 &lt;&gt; 0, N249 / M249, 0), CONVERT(Q249, L249, "l"))), 0)</f>
        <v>0</v>
      </c>
      <c r="T249" s="11">
        <f>recipe06TotScale * IF(AND(R249 = 0, S249 = 0, J249 = "", L249 = ""), Q249, 0)</f>
        <v>0</v>
      </c>
      <c r="V249" s="8" t="b">
        <f>INDEX(itemPrepMethods, MATCH(K249, itemNames, 0))="chop"</f>
        <v>1</v>
      </c>
      <c r="W249" s="21">
        <f>IF(V249, Q249, "")</f>
        <v>0.25</v>
      </c>
      <c r="X249" s="22" t="str">
        <f>IF(V249, IF(L249 = "", "", L249), "")</f>
        <v>cup</v>
      </c>
      <c r="Y249" s="22" t="str">
        <f>IF(V249, K249, "")</f>
        <v>minced fresh ginger</v>
      </c>
      <c r="Z249" s="23"/>
      <c r="AA249" s="8" t="b">
        <f>INDEX(itemPrepMethods, MATCH(K249, itemNames, 0))="soak"</f>
        <v>0</v>
      </c>
      <c r="AB249" s="22" t="str">
        <f>IF(AA249, Q249, "")</f>
        <v/>
      </c>
      <c r="AC249" s="22" t="str">
        <f>IF(AA249, IF(L249 = "", "", L249), "")</f>
        <v/>
      </c>
      <c r="AD249" s="22" t="str">
        <f>IF(AA249, K249, "")</f>
        <v/>
      </c>
    </row>
    <row r="250" spans="1:30" x14ac:dyDescent="0.25">
      <c r="A250" s="129"/>
      <c r="B250" s="129"/>
      <c r="C250" s="129"/>
      <c r="D250" s="129"/>
      <c r="I250" s="11"/>
      <c r="W250" s="21"/>
      <c r="X250" s="21"/>
      <c r="Y250" s="21"/>
      <c r="Z250" s="21"/>
      <c r="AA250" s="30"/>
      <c r="AB250" s="21"/>
      <c r="AC250" s="21"/>
      <c r="AD250" s="21"/>
    </row>
    <row r="251" spans="1:30" x14ac:dyDescent="0.25">
      <c r="A251" s="129" t="s">
        <v>94</v>
      </c>
      <c r="B251" s="129"/>
      <c r="C251" s="129"/>
      <c r="D251" s="129"/>
      <c r="I251" s="11"/>
      <c r="W251" s="21"/>
      <c r="X251" s="21"/>
      <c r="Y251" s="21"/>
      <c r="Z251" s="21"/>
      <c r="AA251" s="30"/>
      <c r="AB251" s="21"/>
      <c r="AC251" s="21"/>
      <c r="AD251" s="21"/>
    </row>
    <row r="252" spans="1:30" x14ac:dyDescent="0.25">
      <c r="A252" s="5" t="s">
        <v>21</v>
      </c>
      <c r="B252" s="16">
        <f t="shared" ref="B252:B255" si="218">Q252</f>
        <v>2.25</v>
      </c>
      <c r="C252" s="4" t="str">
        <f>IF(L252="","",L252)</f>
        <v>lt</v>
      </c>
      <c r="D252" s="5" t="str">
        <f t="shared" ref="D252:D257" si="219">_xlfn.CONCAT(K252, U252)</f>
        <v>chopped broccoli florets</v>
      </c>
      <c r="I252" s="18">
        <v>3</v>
      </c>
      <c r="J252" s="19"/>
      <c r="K252" s="19" t="s">
        <v>432</v>
      </c>
      <c r="L252" s="20" t="s">
        <v>542</v>
      </c>
      <c r="M252" s="11">
        <f>INDEX(itemGPerQty, MATCH(K252, itemNames, 0))</f>
        <v>0.27300000000000002</v>
      </c>
      <c r="N252" s="11">
        <f>INDEX(itemMlPerQty, MATCH(K252, itemNames, 0))</f>
        <v>1.1000000000000001</v>
      </c>
      <c r="O252" s="11">
        <f t="shared" ref="O252:O255" si="220">IF(J252 = "", I252 * M252, IF(ISNA(CONVERT(I252, J252, "kg")), CONVERT(I252, J252, "l") * IF(N252 &lt;&gt; 0, M252 / N252, 0), CONVERT(I252, J252, "kg")))</f>
        <v>0.81900000000000006</v>
      </c>
      <c r="P252" s="11">
        <f t="shared" ref="P252:P255" si="221">IF(J252 = "", I252 * N252, IF(ISNA(CONVERT(I252, J252, "l")), CONVERT(I252, J252, "kg") * IF(M252 &lt;&gt; 0, N252 / M252, 0), CONVERT(I252, J252, "l")))</f>
        <v>3.3000000000000003</v>
      </c>
      <c r="Q252" s="11">
        <f>MROUND(IF(L252 = "", IF(J252 = "", I252, IF(M252 &lt;&gt; 0, O252 / M252, P252 / N252)) * recipe06DayScale, IF(ISNA(CONVERT(O252, "kg", L252)), CONVERT(P252 * recipe06DayScale, "l", L252), CONVERT(O252 * recipe06DayScale, "kg", L252))), roundTo)</f>
        <v>2.25</v>
      </c>
      <c r="R252" s="11">
        <f>recipe06TotScale * IF(L252 = "", Q252 * M252, IF(ISNA(CONVERT(Q252, L252, "kg")), CONVERT(Q252, L252, "l") * IF(N252 &lt;&gt; 0, M252 / N252, 0), CONVERT(Q252, L252, "kg")))</f>
        <v>0.55840909090909085</v>
      </c>
      <c r="S252" s="11">
        <f>recipe06TotScale * IF(R252 = 0, IF(L252 = "", Q252 * N252, IF(ISNA(CONVERT(Q252, L252, "l")), CONVERT(Q252, L252, "kg") * IF(M252 &lt;&gt; 0, N252 / M252, 0), CONVERT(Q252, L252, "l"))), 0)</f>
        <v>0</v>
      </c>
      <c r="T252" s="11">
        <f>recipe06TotScale * IF(AND(R252 = 0, S252 = 0, J252 = "", L252 = ""), Q252, 0)</f>
        <v>0</v>
      </c>
      <c r="V252" s="8" t="b">
        <f>INDEX(itemPrepMethods, MATCH(K252, itemNames, 0))="chop"</f>
        <v>1</v>
      </c>
      <c r="W252" s="21">
        <f>IF(V252, Q252, "")</f>
        <v>2.25</v>
      </c>
      <c r="X252" s="22" t="str">
        <f>IF(V252, IF(L252 = "", "", L252), "")</f>
        <v>lt</v>
      </c>
      <c r="Y252" s="22" t="str">
        <f>IF(V252, K252, "")</f>
        <v>chopped broccoli florets</v>
      </c>
      <c r="Z252" s="23"/>
      <c r="AA252" s="8" t="b">
        <f>INDEX(itemPrepMethods, MATCH(K252, itemNames, 0))="soak"</f>
        <v>0</v>
      </c>
      <c r="AB252" s="22" t="str">
        <f>IF(AA252, Q252, "")</f>
        <v/>
      </c>
      <c r="AC252" s="22" t="str">
        <f>IF(AA252, IF(L252 = "", "", L252), "")</f>
        <v/>
      </c>
      <c r="AD252" s="22" t="str">
        <f>IF(AA252, K252, "")</f>
        <v/>
      </c>
    </row>
    <row r="253" spans="1:30" x14ac:dyDescent="0.25">
      <c r="A253" s="5" t="s">
        <v>21</v>
      </c>
      <c r="B253" s="16">
        <f t="shared" si="218"/>
        <v>3.25</v>
      </c>
      <c r="C253" s="4" t="str">
        <f>IF(L253="","",L253)</f>
        <v>lt</v>
      </c>
      <c r="D253" s="5" t="str">
        <f t="shared" si="219"/>
        <v>chopped cauliflowers</v>
      </c>
      <c r="I253" s="18">
        <v>2</v>
      </c>
      <c r="J253" s="19"/>
      <c r="K253" s="19" t="s">
        <v>132</v>
      </c>
      <c r="L253" s="20" t="s">
        <v>542</v>
      </c>
      <c r="M253" s="11">
        <f>INDEX(itemGPerQty, MATCH(K253, itemNames, 0))</f>
        <v>0.68899999999999995</v>
      </c>
      <c r="N253" s="11">
        <f>INDEX(itemMlPerQty, MATCH(K253, itemNames, 0))</f>
        <v>2.2000000000000002</v>
      </c>
      <c r="O253" s="11">
        <f t="shared" si="220"/>
        <v>1.3779999999999999</v>
      </c>
      <c r="P253" s="11">
        <f t="shared" si="221"/>
        <v>4.4000000000000004</v>
      </c>
      <c r="Q253" s="11">
        <f>MROUND(IF(L253 = "", IF(J253 = "", I253, IF(M253 &lt;&gt; 0, O253 / M253, P253 / N253)) * recipe06DayScale, IF(ISNA(CONVERT(O253, "kg", L253)), CONVERT(P253 * recipe06DayScale, "l", L253), CONVERT(O253 * recipe06DayScale, "kg", L253))), roundTo)</f>
        <v>3.25</v>
      </c>
      <c r="R253" s="11">
        <f>recipe06TotScale * IF(L253 = "", Q253 * M253, IF(ISNA(CONVERT(Q253, L253, "kg")), CONVERT(Q253, L253, "l") * IF(N253 &lt;&gt; 0, M253 / N253, 0), CONVERT(Q253, L253, "kg")))</f>
        <v>1.0178409090909089</v>
      </c>
      <c r="S253" s="11">
        <f>recipe06TotScale * IF(R253 = 0, IF(L253 = "", Q253 * N253, IF(ISNA(CONVERT(Q253, L253, "l")), CONVERT(Q253, L253, "kg") * IF(M253 &lt;&gt; 0, N253 / M253, 0), CONVERT(Q253, L253, "l"))), 0)</f>
        <v>0</v>
      </c>
      <c r="T253" s="11">
        <f>recipe06TotScale * IF(AND(R253 = 0, S253 = 0, J253 = "", L253 = ""), Q253, 0)</f>
        <v>0</v>
      </c>
      <c r="V253" s="8" t="b">
        <f>INDEX(itemPrepMethods, MATCH(K253, itemNames, 0))="chop"</f>
        <v>1</v>
      </c>
      <c r="W253" s="21">
        <f>IF(V253, Q253, "")</f>
        <v>3.25</v>
      </c>
      <c r="X253" s="22" t="str">
        <f>IF(V253, IF(L253 = "", "", L253), "")</f>
        <v>lt</v>
      </c>
      <c r="Y253" s="22" t="str">
        <f>IF(V253, K253, "")</f>
        <v>chopped cauliflowers</v>
      </c>
      <c r="Z253" s="23"/>
      <c r="AA253" s="8" t="b">
        <f>INDEX(itemPrepMethods, MATCH(K253, itemNames, 0))="soak"</f>
        <v>0</v>
      </c>
      <c r="AB253" s="22" t="str">
        <f>IF(AA253, Q253, "")</f>
        <v/>
      </c>
      <c r="AC253" s="22" t="str">
        <f>IF(AA253, IF(L253 = "", "", L253), "")</f>
        <v/>
      </c>
      <c r="AD253" s="22" t="str">
        <f>IF(AA253, K253, "")</f>
        <v/>
      </c>
    </row>
    <row r="254" spans="1:30" x14ac:dyDescent="0.25">
      <c r="A254" s="5" t="s">
        <v>21</v>
      </c>
      <c r="B254" s="16">
        <f t="shared" si="218"/>
        <v>1</v>
      </c>
      <c r="C254" s="4" t="str">
        <f>IF(L254="","",L254)</f>
        <v>cup</v>
      </c>
      <c r="D254" s="5" t="str">
        <f t="shared" si="219"/>
        <v>peanuts</v>
      </c>
      <c r="I254" s="18">
        <v>1.5</v>
      </c>
      <c r="J254" s="19" t="s">
        <v>16</v>
      </c>
      <c r="K254" s="19" t="s">
        <v>89</v>
      </c>
      <c r="L254" s="20" t="s">
        <v>16</v>
      </c>
      <c r="M254" s="11">
        <f>INDEX(itemGPerQty, MATCH(K254, itemNames, 0))</f>
        <v>0</v>
      </c>
      <c r="N254" s="11">
        <f>INDEX(itemMlPerQty, MATCH(K254, itemNames, 0))</f>
        <v>0</v>
      </c>
      <c r="O254" s="11">
        <f t="shared" si="220"/>
        <v>0</v>
      </c>
      <c r="P254" s="11">
        <f t="shared" si="221"/>
        <v>0.35488235474999996</v>
      </c>
      <c r="Q254" s="11">
        <f>MROUND(IF(L254 = "", IF(J254 = "", I254, IF(M254 &lt;&gt; 0, O254 / M254, P254 / N254)) * recipe06DayScale, IF(ISNA(CONVERT(O254, "kg", L254)), CONVERT(P254 * recipe06DayScale, "l", L254), CONVERT(O254 * recipe06DayScale, "kg", L254))), roundTo)</f>
        <v>1</v>
      </c>
      <c r="R254" s="11">
        <f>recipe06TotScale * IF(L254 = "", Q254 * M254, IF(ISNA(CONVERT(Q254, L254, "kg")), CONVERT(Q254, L254, "l") * IF(N254 &lt;&gt; 0, M254 / N254, 0), CONVERT(Q254, L254, "kg")))</f>
        <v>0</v>
      </c>
      <c r="S254" s="11">
        <f>recipe06TotScale * IF(R254 = 0, IF(L254 = "", Q254 * N254, IF(ISNA(CONVERT(Q254, L254, "l")), CONVERT(Q254, L254, "kg") * IF(M254 &lt;&gt; 0, N254 / M254, 0), CONVERT(Q254, L254, "l"))), 0)</f>
        <v>0.23658823649999999</v>
      </c>
      <c r="T254" s="11">
        <f>recipe06TotScale * IF(AND(R254 = 0, S254 = 0, J254 = "", L254 = ""), Q254, 0)</f>
        <v>0</v>
      </c>
      <c r="V254" s="8" t="b">
        <f>INDEX(itemPrepMethods, MATCH(K254, itemNames, 0))="chop"</f>
        <v>0</v>
      </c>
      <c r="W254" s="21" t="str">
        <f>IF(V254, Q254, "")</f>
        <v/>
      </c>
      <c r="X254" s="22" t="str">
        <f>IF(V254, IF(L254 = "", "", L254), "")</f>
        <v/>
      </c>
      <c r="Y254" s="22" t="str">
        <f>IF(V254, K254, "")</f>
        <v/>
      </c>
      <c r="Z254" s="23"/>
      <c r="AA254" s="8" t="b">
        <f>INDEX(itemPrepMethods, MATCH(K254, itemNames, 0))="soak"</f>
        <v>0</v>
      </c>
      <c r="AB254" s="22" t="str">
        <f>IF(AA254, Q254, "")</f>
        <v/>
      </c>
      <c r="AC254" s="22" t="str">
        <f>IF(AA254, IF(L254 = "", "", L254), "")</f>
        <v/>
      </c>
      <c r="AD254" s="22" t="str">
        <f>IF(AA254, K254, "")</f>
        <v/>
      </c>
    </row>
    <row r="255" spans="1:30" x14ac:dyDescent="0.25">
      <c r="A255" s="5" t="s">
        <v>21</v>
      </c>
      <c r="B255" s="16">
        <f t="shared" si="218"/>
        <v>2.25</v>
      </c>
      <c r="C255" s="4" t="str">
        <f>IF(L255="","",L255)</f>
        <v>cup</v>
      </c>
      <c r="D255" s="5" t="str">
        <f t="shared" si="219"/>
        <v>tinned coconut milk</v>
      </c>
      <c r="I255" s="18">
        <v>3</v>
      </c>
      <c r="J255" s="19" t="s">
        <v>16</v>
      </c>
      <c r="K255" s="19" t="s">
        <v>368</v>
      </c>
      <c r="L255" s="20" t="s">
        <v>16</v>
      </c>
      <c r="M255" s="11">
        <f>INDEX(itemGPerQty, MATCH(K255, itemNames, 0))</f>
        <v>0</v>
      </c>
      <c r="N255" s="11">
        <f>INDEX(itemMlPerQty, MATCH(K255, itemNames, 0))</f>
        <v>0</v>
      </c>
      <c r="O255" s="11">
        <f t="shared" si="220"/>
        <v>0</v>
      </c>
      <c r="P255" s="11">
        <f t="shared" si="221"/>
        <v>0.70976470949999992</v>
      </c>
      <c r="Q255" s="11">
        <f>MROUND(IF(L255 = "", IF(J255 = "", I255, IF(M255 &lt;&gt; 0, O255 / M255, P255 / N255)) * recipe06DayScale, IF(ISNA(CONVERT(O255, "kg", L255)), CONVERT(P255 * recipe06DayScale, "l", L255), CONVERT(O255 * recipe06DayScale, "kg", L255))), roundTo)</f>
        <v>2.25</v>
      </c>
      <c r="R255" s="11">
        <f>recipe06TotScale * IF(L255 = "", Q255 * M255, IF(ISNA(CONVERT(Q255, L255, "kg")), CONVERT(Q255, L255, "l") * IF(N255 &lt;&gt; 0, M255 / N255, 0), CONVERT(Q255, L255, "kg")))</f>
        <v>0</v>
      </c>
      <c r="S255" s="11">
        <f>recipe06TotScale * IF(R255 = 0, IF(L255 = "", Q255 * N255, IF(ISNA(CONVERT(Q255, L255, "l")), CONVERT(Q255, L255, "kg") * IF(M255 &lt;&gt; 0, N255 / M255, 0), CONVERT(Q255, L255, "l"))), 0)</f>
        <v>0.53232353212499994</v>
      </c>
      <c r="T255" s="11">
        <f>recipe06TotScale * IF(AND(R255 = 0, S255 = 0, J255 = "", L255 = ""), Q255, 0)</f>
        <v>0</v>
      </c>
      <c r="V255" s="8" t="b">
        <f>INDEX(itemPrepMethods, MATCH(K255, itemNames, 0))="chop"</f>
        <v>0</v>
      </c>
      <c r="W255" s="21" t="str">
        <f>IF(V255, Q255, "")</f>
        <v/>
      </c>
      <c r="X255" s="22" t="str">
        <f>IF(V255, IF(L255 = "", "", L255), "")</f>
        <v/>
      </c>
      <c r="Y255" s="22" t="str">
        <f>IF(V255, K255, "")</f>
        <v/>
      </c>
      <c r="Z255" s="23"/>
      <c r="AA255" s="8" t="b">
        <f>INDEX(itemPrepMethods, MATCH(K255, itemNames, 0))="soak"</f>
        <v>0</v>
      </c>
      <c r="AB255" s="22" t="str">
        <f>IF(AA255, Q255, "")</f>
        <v/>
      </c>
      <c r="AC255" s="22" t="str">
        <f>IF(AA255, IF(L255 = "", "", L255), "")</f>
        <v/>
      </c>
      <c r="AD255" s="22" t="str">
        <f>IF(AA255, K255, "")</f>
        <v/>
      </c>
    </row>
    <row r="256" spans="1:30" x14ac:dyDescent="0.25">
      <c r="A256" s="5" t="s">
        <v>21</v>
      </c>
      <c r="D256" s="5" t="str">
        <f t="shared" si="219"/>
        <v>grilled tofu</v>
      </c>
      <c r="I256" s="11"/>
      <c r="U256" s="8" t="s">
        <v>95</v>
      </c>
    </row>
    <row r="257" spans="1:30" x14ac:dyDescent="0.25">
      <c r="A257" s="5" t="s">
        <v>21</v>
      </c>
      <c r="D257" s="5" t="str">
        <f t="shared" si="219"/>
        <v>peanut sauce</v>
      </c>
      <c r="I257" s="11"/>
      <c r="U257" s="8" t="s">
        <v>96</v>
      </c>
    </row>
    <row r="258" spans="1:30" ht="15.75" x14ac:dyDescent="0.25">
      <c r="A258" s="130" t="s">
        <v>513</v>
      </c>
      <c r="B258" s="130"/>
      <c r="C258" s="130"/>
      <c r="D258" s="130"/>
      <c r="E258" s="7" t="s">
        <v>105</v>
      </c>
      <c r="F258" s="39" t="s">
        <v>55</v>
      </c>
      <c r="G258" s="39"/>
      <c r="H258" s="11"/>
    </row>
    <row r="259" spans="1:30" ht="24" x14ac:dyDescent="0.2">
      <c r="A259" s="130" t="s">
        <v>27</v>
      </c>
      <c r="B259" s="130"/>
      <c r="C259" s="130"/>
      <c r="D259" s="130"/>
      <c r="E259" s="6" t="s">
        <v>39</v>
      </c>
      <c r="F259" s="37">
        <v>15</v>
      </c>
      <c r="G259" s="11"/>
      <c r="H259" s="11"/>
      <c r="I259" s="33" t="s">
        <v>355</v>
      </c>
      <c r="J259" s="34" t="s">
        <v>356</v>
      </c>
      <c r="K259" s="34" t="s">
        <v>17</v>
      </c>
      <c r="L259" s="35" t="s">
        <v>359</v>
      </c>
      <c r="M259" s="33" t="s">
        <v>115</v>
      </c>
      <c r="N259" s="33" t="s">
        <v>116</v>
      </c>
      <c r="O259" s="33" t="s">
        <v>357</v>
      </c>
      <c r="P259" s="33" t="s">
        <v>358</v>
      </c>
      <c r="Q259" s="34" t="s">
        <v>286</v>
      </c>
      <c r="R259" s="33" t="s">
        <v>287</v>
      </c>
      <c r="S259" s="33" t="s">
        <v>288</v>
      </c>
      <c r="T259" s="33" t="s">
        <v>289</v>
      </c>
      <c r="U259" s="34" t="s">
        <v>22</v>
      </c>
      <c r="V259" s="34" t="s">
        <v>169</v>
      </c>
      <c r="W259" s="36" t="s">
        <v>286</v>
      </c>
      <c r="X259" s="34" t="s">
        <v>167</v>
      </c>
      <c r="Y259" s="34" t="s">
        <v>168</v>
      </c>
      <c r="Z259" s="34" t="s">
        <v>263</v>
      </c>
      <c r="AA259" s="34" t="s">
        <v>170</v>
      </c>
      <c r="AB259" s="36" t="s">
        <v>286</v>
      </c>
      <c r="AC259" s="34" t="s">
        <v>171</v>
      </c>
      <c r="AD259" s="34" t="s">
        <v>172</v>
      </c>
    </row>
    <row r="260" spans="1:30" ht="16.5" thickBot="1" x14ac:dyDescent="0.3">
      <c r="A260" s="131" t="str">
        <f>_xlfn.CONCAT(F260," servings")</f>
        <v>10 servings</v>
      </c>
      <c r="B260" s="131"/>
      <c r="C260" s="131"/>
      <c r="D260" s="131"/>
      <c r="E260" s="29" t="s">
        <v>281</v>
      </c>
      <c r="F260" s="37">
        <f>wkdyRegDinner</f>
        <v>10</v>
      </c>
      <c r="G260" s="11"/>
      <c r="H260" s="17"/>
      <c r="W260" s="130" t="s">
        <v>521</v>
      </c>
      <c r="X260" s="130"/>
      <c r="Y260" s="130"/>
      <c r="Z260" s="130"/>
      <c r="AB260" s="130" t="s">
        <v>522</v>
      </c>
      <c r="AC260" s="130"/>
      <c r="AD260" s="130"/>
    </row>
    <row r="261" spans="1:30" s="41" customFormat="1" ht="16.5" thickBot="1" x14ac:dyDescent="0.3">
      <c r="A261" s="129"/>
      <c r="B261" s="129"/>
      <c r="C261" s="129"/>
      <c r="D261" s="129"/>
      <c r="E261" s="29" t="s">
        <v>284</v>
      </c>
      <c r="F261" s="14">
        <f>F260/F259</f>
        <v>0.66666666666666663</v>
      </c>
      <c r="G261" s="15" t="s">
        <v>306</v>
      </c>
      <c r="H261" s="17"/>
      <c r="I261" s="9"/>
      <c r="L261" s="10"/>
      <c r="M261" s="11"/>
      <c r="N261" s="11"/>
      <c r="O261" s="11"/>
      <c r="P261" s="11"/>
      <c r="Q261" s="11"/>
      <c r="R261" s="11"/>
      <c r="S261" s="11"/>
      <c r="T261" s="11"/>
      <c r="W261" s="130" t="str">
        <f>A258</f>
        <v>TUESDAY DINNER</v>
      </c>
      <c r="X261" s="130"/>
      <c r="Y261" s="130"/>
      <c r="Z261" s="130"/>
      <c r="AB261" s="130" t="str">
        <f>A258</f>
        <v>TUESDAY DINNER</v>
      </c>
      <c r="AC261" s="130"/>
      <c r="AD261" s="130"/>
    </row>
    <row r="262" spans="1:30" ht="15.75" x14ac:dyDescent="0.25">
      <c r="A262" s="129" t="s">
        <v>231</v>
      </c>
      <c r="B262" s="129"/>
      <c r="C262" s="129"/>
      <c r="D262" s="129"/>
      <c r="E262" s="30"/>
      <c r="F262" s="30"/>
      <c r="G262" s="30"/>
      <c r="I262" s="11"/>
      <c r="W262" s="130" t="str">
        <f>A259</f>
        <v>MISO AND TOFU SOUP</v>
      </c>
      <c r="X262" s="130"/>
      <c r="Y262" s="130"/>
      <c r="Z262" s="130"/>
      <c r="AA262" s="41"/>
      <c r="AB262" s="130" t="str">
        <f>A259</f>
        <v>MISO AND TOFU SOUP</v>
      </c>
      <c r="AC262" s="130"/>
      <c r="AD262" s="130"/>
    </row>
    <row r="263" spans="1:30" ht="15.75" thickBot="1" x14ac:dyDescent="0.3">
      <c r="A263" s="5" t="s">
        <v>21</v>
      </c>
      <c r="B263" s="16">
        <f t="shared" ref="B263:B280" si="222">Q263</f>
        <v>3.25</v>
      </c>
      <c r="C263" s="4" t="str">
        <f t="shared" ref="C263:C280" si="223">IF(L263="","",L263)</f>
        <v>tbs</v>
      </c>
      <c r="D263" s="5" t="str">
        <f>_xlfn.CONCAT(K263, U263)</f>
        <v>minced fresh ginger</v>
      </c>
      <c r="E263" s="29" t="s">
        <v>273</v>
      </c>
      <c r="F263" s="37">
        <f>wkdyRegDinner</f>
        <v>10</v>
      </c>
      <c r="G263" s="30"/>
      <c r="I263" s="18">
        <v>5</v>
      </c>
      <c r="J263" s="19" t="s">
        <v>15</v>
      </c>
      <c r="K263" s="19" t="s">
        <v>188</v>
      </c>
      <c r="L263" s="20" t="s">
        <v>15</v>
      </c>
      <c r="M263" s="11">
        <f t="shared" ref="M263:M280" si="224">INDEX(itemGPerQty, MATCH(K263, itemNames, 0))</f>
        <v>2.4E-2</v>
      </c>
      <c r="N263" s="11">
        <f t="shared" ref="N263:N280" si="225">INDEX(itemMlPerQty, MATCH(K263, itemNames, 0))</f>
        <v>3.4501958300000003E-2</v>
      </c>
      <c r="O263" s="11">
        <f t="shared" ref="O263:O280" si="226">IF(J263 = "", I263 * M263, IF(ISNA(CONVERT(I263, J263, "kg")), CONVERT(I263, J263, "l") * IF(N263 &lt;&gt; 0, M263 / N263, 0), CONVERT(I263, J263, "kg")))</f>
        <v>5.1429306079417529E-2</v>
      </c>
      <c r="P263" s="11">
        <f t="shared" ref="P263:P280" si="227">IF(J263 = "", I263 * N263, IF(ISNA(CONVERT(I263, J263, "l")), CONVERT(I263, J263, "kg") * IF(M263 &lt;&gt; 0, N263 / M263, 0), CONVERT(I263, J263, "l")))</f>
        <v>7.3933823906250001E-2</v>
      </c>
      <c r="Q263" s="11">
        <f>MROUND(IF(L263 = "", IF(J263 = "", I263, IF(M263 &lt;&gt; 0, O263 / M263, P263 / N263)) * recipe07DayScale, IF(ISNA(CONVERT(O263, "kg", L263)), CONVERT(P263 * recipe07DayScale, "l", L263), CONVERT(O263 * recipe07DayScale, "kg", L263))), roundTo)</f>
        <v>3.25</v>
      </c>
      <c r="R263" s="11">
        <f>recipe07TotScale * IF(L263 = "", Q263 * M263, IF(ISNA(CONVERT(Q263, L263, "kg")), CONVERT(Q263, L263, "l") * IF(N263 &lt;&gt; 0, M263 / N263, 0), CONVERT(Q263, L263, "kg")))</f>
        <v>3.3429048951621389E-2</v>
      </c>
      <c r="S263" s="11">
        <f>recipe07TotScale * IF(R263 = 0, IF(L263 = "", Q263 * N263, IF(ISNA(CONVERT(Q263, L263, "l")), CONVERT(Q263, L263, "kg") * IF(M263 &lt;&gt; 0, N263 / M263, 0), CONVERT(Q263, L263, "l"))), 0)</f>
        <v>0</v>
      </c>
      <c r="T263" s="11">
        <f>recipe07TotScale * IF(AND(R263 = 0, S263 = 0, J263 = "", L263 = ""), Q263, 0)</f>
        <v>0</v>
      </c>
      <c r="V263" s="8" t="b">
        <f>INDEX(itemPrepMethods, MATCH(K263, itemNames, 0))="chop"</f>
        <v>1</v>
      </c>
      <c r="W263" s="21">
        <f>IF(V263, Q263, "")</f>
        <v>3.25</v>
      </c>
      <c r="X263" s="22" t="str">
        <f>IF(V263, IF(L263 = "", "", L263), "")</f>
        <v>tbs</v>
      </c>
      <c r="Y263" s="22" t="str">
        <f>IF(V263, K263, "")</f>
        <v>minced fresh ginger</v>
      </c>
      <c r="Z263" s="23"/>
      <c r="AA263" s="8" t="b">
        <f>INDEX(itemPrepMethods, MATCH(K263, itemNames, 0))="soak"</f>
        <v>0</v>
      </c>
      <c r="AB263" s="22" t="str">
        <f>IF(AA263, Q263, "")</f>
        <v/>
      </c>
      <c r="AC263" s="22" t="str">
        <f>IF(AA263, IF(L263 = "", "", L263), "")</f>
        <v/>
      </c>
      <c r="AD263" s="22" t="str">
        <f>IF(AA263, K263, "")</f>
        <v/>
      </c>
    </row>
    <row r="264" spans="1:30" ht="15.75" thickBot="1" x14ac:dyDescent="0.3">
      <c r="A264" s="5" t="s">
        <v>21</v>
      </c>
      <c r="B264" s="16">
        <f t="shared" si="222"/>
        <v>1.75</v>
      </c>
      <c r="C264" s="4" t="str">
        <f t="shared" si="223"/>
        <v>lt</v>
      </c>
      <c r="D264" s="5" t="str">
        <f>_xlfn.CONCAT(K264, U264)</f>
        <v>sliced carrots</v>
      </c>
      <c r="E264" s="29" t="s">
        <v>285</v>
      </c>
      <c r="F264" s="14">
        <f>F263/F260</f>
        <v>1</v>
      </c>
      <c r="G264" s="15" t="s">
        <v>307</v>
      </c>
      <c r="I264" s="18">
        <v>10</v>
      </c>
      <c r="J264" s="19"/>
      <c r="K264" s="19" t="s">
        <v>425</v>
      </c>
      <c r="L264" s="20" t="s">
        <v>542</v>
      </c>
      <c r="M264" s="11">
        <f t="shared" si="224"/>
        <v>0.14499999999999999</v>
      </c>
      <c r="N264" s="11">
        <f t="shared" si="225"/>
        <v>0.27500000000000002</v>
      </c>
      <c r="O264" s="11">
        <f t="shared" si="226"/>
        <v>1.45</v>
      </c>
      <c r="P264" s="11">
        <f t="shared" si="227"/>
        <v>2.75</v>
      </c>
      <c r="Q264" s="11">
        <f>MROUND(IF(L264 = "", IF(J264 = "", I264, IF(M264 &lt;&gt; 0, O264 / M264, P264 / N264)) * recipe07DayScale, IF(ISNA(CONVERT(O264, "kg", L264)), CONVERT(P264 * recipe07DayScale, "l", L264), CONVERT(O264 * recipe07DayScale, "kg", L264))), roundTo)</f>
        <v>1.75</v>
      </c>
      <c r="R264" s="11">
        <f>recipe07TotScale * IF(L264 = "", Q264 * M264, IF(ISNA(CONVERT(Q264, L264, "kg")), CONVERT(Q264, L264, "l") * IF(N264 &lt;&gt; 0, M264 / N264, 0), CONVERT(Q264, L264, "kg")))</f>
        <v>0.92272727272727262</v>
      </c>
      <c r="S264" s="11">
        <f>recipe07TotScale * IF(R264 = 0, IF(L264 = "", Q264 * N264, IF(ISNA(CONVERT(Q264, L264, "l")), CONVERT(Q264, L264, "kg") * IF(M264 &lt;&gt; 0, N264 / M264, 0), CONVERT(Q264, L264, "l"))), 0)</f>
        <v>0</v>
      </c>
      <c r="T264" s="11">
        <f>recipe07TotScale * IF(AND(R264 = 0, S264 = 0, J264 = "", L264 = ""), Q264, 0)</f>
        <v>0</v>
      </c>
      <c r="V264" s="8" t="b">
        <f>INDEX(itemPrepMethods, MATCH(K264, itemNames, 0))="chop"</f>
        <v>1</v>
      </c>
      <c r="W264" s="21">
        <f>IF(V264, Q264, "")</f>
        <v>1.75</v>
      </c>
      <c r="X264" s="22" t="str">
        <f>IF(V264, IF(L264 = "", "", L264), "")</f>
        <v>lt</v>
      </c>
      <c r="Y264" s="22" t="str">
        <f>IF(V264, K264, "")</f>
        <v>sliced carrots</v>
      </c>
      <c r="Z264" s="23"/>
      <c r="AA264" s="8" t="b">
        <f>INDEX(itemPrepMethods, MATCH(K264, itemNames, 0))="soak"</f>
        <v>0</v>
      </c>
      <c r="AB264" s="22" t="str">
        <f>IF(AA264, Q264, "")</f>
        <v/>
      </c>
      <c r="AC264" s="22" t="str">
        <f>IF(AA264, IF(L264 = "", "", L264), "")</f>
        <v/>
      </c>
      <c r="AD264" s="22" t="str">
        <f>IF(AA264, K264, "")</f>
        <v/>
      </c>
    </row>
    <row r="265" spans="1:30" x14ac:dyDescent="0.25">
      <c r="A265" s="5" t="s">
        <v>21</v>
      </c>
      <c r="B265" s="16">
        <f t="shared" si="222"/>
        <v>2.75</v>
      </c>
      <c r="C265" s="4" t="str">
        <f t="shared" si="223"/>
        <v>cup</v>
      </c>
      <c r="D265" s="5" t="str">
        <f>_xlfn.CONCAT(K265, U265)</f>
        <v>sliced celery stalks</v>
      </c>
      <c r="I265" s="18">
        <v>5</v>
      </c>
      <c r="J265" s="19"/>
      <c r="K265" s="19" t="s">
        <v>142</v>
      </c>
      <c r="L265" s="20" t="s">
        <v>16</v>
      </c>
      <c r="M265" s="11">
        <f t="shared" si="224"/>
        <v>0.1</v>
      </c>
      <c r="N265" s="11">
        <f t="shared" si="225"/>
        <v>0.2</v>
      </c>
      <c r="O265" s="11">
        <f t="shared" si="226"/>
        <v>0.5</v>
      </c>
      <c r="P265" s="11">
        <f t="shared" si="227"/>
        <v>1</v>
      </c>
      <c r="Q265" s="11">
        <f>MROUND(IF(L265 = "", IF(J265 = "", I265, IF(M265 &lt;&gt; 0, O265 / M265, P265 / N265)) * recipe07DayScale, IF(ISNA(CONVERT(O265, "kg", L265)), CONVERT(P265 * recipe07DayScale, "l", L265), CONVERT(O265 * recipe07DayScale, "kg", L265))), roundTo)</f>
        <v>2.75</v>
      </c>
      <c r="R265" s="11">
        <f>recipe07TotScale * IF(L265 = "", Q265 * M265, IF(ISNA(CONVERT(Q265, L265, "kg")), CONVERT(Q265, L265, "l") * IF(N265 &lt;&gt; 0, M265 / N265, 0), CONVERT(Q265, L265, "kg")))</f>
        <v>0.32530882518749998</v>
      </c>
      <c r="S265" s="11">
        <f>recipe07TotScale * IF(R265 = 0, IF(L265 = "", Q265 * N265, IF(ISNA(CONVERT(Q265, L265, "l")), CONVERT(Q265, L265, "kg") * IF(M265 &lt;&gt; 0, N265 / M265, 0), CONVERT(Q265, L265, "l"))), 0)</f>
        <v>0</v>
      </c>
      <c r="T265" s="11">
        <f>recipe07TotScale * IF(AND(R265 = 0, S265 = 0, J265 = "", L265 = ""), Q265, 0)</f>
        <v>0</v>
      </c>
      <c r="V265" s="8" t="b">
        <f>INDEX(itemPrepMethods, MATCH(K265, itemNames, 0))="chop"</f>
        <v>1</v>
      </c>
      <c r="W265" s="21">
        <f>IF(V265, Q265, "")</f>
        <v>2.75</v>
      </c>
      <c r="X265" s="22" t="str">
        <f>IF(V265, IF(L265 = "", "", L265), "")</f>
        <v>cup</v>
      </c>
      <c r="Y265" s="22" t="str">
        <f>IF(V265, K265, "")</f>
        <v>sliced celery stalks</v>
      </c>
      <c r="Z265" s="23"/>
      <c r="AA265" s="8" t="b">
        <f>INDEX(itemPrepMethods, MATCH(K265, itemNames, 0))="soak"</f>
        <v>0</v>
      </c>
      <c r="AB265" s="22" t="str">
        <f>IF(AA265, Q265, "")</f>
        <v/>
      </c>
      <c r="AC265" s="22" t="str">
        <f>IF(AA265, IF(L265 = "", "", L265), "")</f>
        <v/>
      </c>
      <c r="AD265" s="22" t="str">
        <f>IF(AA265, K265, "")</f>
        <v/>
      </c>
    </row>
    <row r="266" spans="1:30" x14ac:dyDescent="0.25">
      <c r="A266" s="5" t="s">
        <v>21</v>
      </c>
      <c r="B266" s="16">
        <f t="shared" si="222"/>
        <v>4.25</v>
      </c>
      <c r="C266" s="4" t="str">
        <f t="shared" si="223"/>
        <v>lt</v>
      </c>
      <c r="D266" s="5" t="str">
        <f>_xlfn.CONCAT(K266, U266)</f>
        <v>thinly sliced white cabbage leaves</v>
      </c>
      <c r="I266" s="18">
        <v>20</v>
      </c>
      <c r="J266" s="19"/>
      <c r="K266" s="19" t="s">
        <v>73</v>
      </c>
      <c r="L266" s="20" t="s">
        <v>542</v>
      </c>
      <c r="M266" s="11">
        <f t="shared" si="224"/>
        <v>7.4999999999999997E-2</v>
      </c>
      <c r="N266" s="11">
        <f t="shared" si="225"/>
        <v>0.32500000000000001</v>
      </c>
      <c r="O266" s="11">
        <f t="shared" si="226"/>
        <v>1.5</v>
      </c>
      <c r="P266" s="11">
        <f t="shared" si="227"/>
        <v>6.5</v>
      </c>
      <c r="Q266" s="11">
        <f>MROUND(IF(L266 = "", IF(J266 = "", I266, IF(M266 &lt;&gt; 0, O266 / M266, P266 / N266)) * recipe07DayScale, IF(ISNA(CONVERT(O266, "kg", L266)), CONVERT(P266 * recipe07DayScale, "l", L266), CONVERT(O266 * recipe07DayScale, "kg", L266))), roundTo)</f>
        <v>4.25</v>
      </c>
      <c r="R266" s="11">
        <f>recipe07TotScale * IF(L266 = "", Q266 * M266, IF(ISNA(CONVERT(Q266, L266, "kg")), CONVERT(Q266, L266, "l") * IF(N266 &lt;&gt; 0, M266 / N266, 0), CONVERT(Q266, L266, "kg")))</f>
        <v>0.98076923076923073</v>
      </c>
      <c r="S266" s="11">
        <f>recipe07TotScale * IF(R266 = 0, IF(L266 = "", Q266 * N266, IF(ISNA(CONVERT(Q266, L266, "l")), CONVERT(Q266, L266, "kg") * IF(M266 &lt;&gt; 0, N266 / M266, 0), CONVERT(Q266, L266, "l"))), 0)</f>
        <v>0</v>
      </c>
      <c r="T266" s="11">
        <f>recipe07TotScale * IF(AND(R266 = 0, S266 = 0, J266 = "", L266 = ""), Q266, 0)</f>
        <v>0</v>
      </c>
      <c r="V266" s="8" t="b">
        <f>INDEX(itemPrepMethods, MATCH(K266, itemNames, 0))="chop"</f>
        <v>1</v>
      </c>
      <c r="W266" s="21">
        <f>IF(V266, Q266, "")</f>
        <v>4.25</v>
      </c>
      <c r="X266" s="22" t="str">
        <f>IF(V266, IF(L266 = "", "", L266), "")</f>
        <v>lt</v>
      </c>
      <c r="Y266" s="22" t="str">
        <f>IF(V266, K266, "")</f>
        <v>thinly sliced white cabbage leaves</v>
      </c>
      <c r="Z266" s="23"/>
      <c r="AA266" s="8" t="b">
        <f>INDEX(itemPrepMethods, MATCH(K266, itemNames, 0))="soak"</f>
        <v>0</v>
      </c>
      <c r="AB266" s="22" t="str">
        <f>IF(AA266, Q266, "")</f>
        <v/>
      </c>
      <c r="AC266" s="22" t="str">
        <f>IF(AA266, IF(L266 = "", "", L266), "")</f>
        <v/>
      </c>
      <c r="AD266" s="22" t="str">
        <f>IF(AA266, K266, "")</f>
        <v/>
      </c>
    </row>
    <row r="267" spans="1:30" x14ac:dyDescent="0.25">
      <c r="A267" s="129"/>
      <c r="B267" s="129"/>
      <c r="C267" s="129"/>
      <c r="D267" s="129"/>
      <c r="I267" s="11"/>
      <c r="W267" s="21"/>
      <c r="X267" s="21"/>
      <c r="Y267" s="21"/>
      <c r="Z267" s="21"/>
      <c r="AB267" s="21"/>
      <c r="AC267" s="21"/>
      <c r="AD267" s="21"/>
    </row>
    <row r="268" spans="1:30" x14ac:dyDescent="0.25">
      <c r="A268" s="129" t="s">
        <v>232</v>
      </c>
      <c r="B268" s="129"/>
      <c r="C268" s="129"/>
      <c r="D268" s="129"/>
      <c r="I268" s="11"/>
      <c r="W268" s="21"/>
      <c r="X268" s="21"/>
      <c r="Y268" s="21"/>
      <c r="Z268" s="21"/>
      <c r="AB268" s="21"/>
      <c r="AC268" s="21"/>
      <c r="AD268" s="21"/>
    </row>
    <row r="269" spans="1:30" x14ac:dyDescent="0.25">
      <c r="A269" s="5" t="s">
        <v>21</v>
      </c>
      <c r="B269" s="16">
        <f t="shared" si="222"/>
        <v>2.25</v>
      </c>
      <c r="C269" s="4" t="str">
        <f t="shared" si="223"/>
        <v>lt</v>
      </c>
      <c r="D269" s="5" t="str">
        <f>_xlfn.CONCAT(K269, U269)</f>
        <v>vegetable stock</v>
      </c>
      <c r="I269" s="18">
        <v>3.55</v>
      </c>
      <c r="J269" s="19" t="s">
        <v>542</v>
      </c>
      <c r="K269" s="19" t="s">
        <v>40</v>
      </c>
      <c r="L269" s="20" t="s">
        <v>542</v>
      </c>
      <c r="M269" s="11">
        <f t="shared" si="224"/>
        <v>0</v>
      </c>
      <c r="N269" s="11">
        <f t="shared" si="225"/>
        <v>0</v>
      </c>
      <c r="O269" s="11">
        <f t="shared" si="226"/>
        <v>0</v>
      </c>
      <c r="P269" s="11">
        <f t="shared" si="227"/>
        <v>3.55</v>
      </c>
      <c r="Q269" s="11">
        <f>MROUND(IF(L269 = "", IF(J269 = "", I269, IF(M269 &lt;&gt; 0, O269 / M269, P269 / N269)) * recipe07DayScale, IF(ISNA(CONVERT(O269, "kg", L269)), CONVERT(P269 * recipe07DayScale, "l", L269), CONVERT(O269 * recipe07DayScale, "kg", L269))), roundTo)</f>
        <v>2.25</v>
      </c>
      <c r="R269" s="11">
        <f>recipe07TotScale * IF(L269 = "", Q269 * M269, IF(ISNA(CONVERT(Q269, L269, "kg")), CONVERT(Q269, L269, "l") * IF(N269 &lt;&gt; 0, M269 / N269, 0), CONVERT(Q269, L269, "kg")))</f>
        <v>0</v>
      </c>
      <c r="S269" s="11">
        <f>recipe07TotScale * IF(R269 = 0, IF(L269 = "", Q269 * N269, IF(ISNA(CONVERT(Q269, L269, "l")), CONVERT(Q269, L269, "kg") * IF(M269 &lt;&gt; 0, N269 / M269, 0), CONVERT(Q269, L269, "l"))), 0)</f>
        <v>2.25</v>
      </c>
      <c r="T269" s="11">
        <f>recipe07TotScale * IF(AND(R269 = 0, S269 = 0, J269 = "", L269 = ""), Q269, 0)</f>
        <v>0</v>
      </c>
      <c r="V269" s="8" t="b">
        <f>INDEX(itemPrepMethods, MATCH(K269, itemNames, 0))="chop"</f>
        <v>0</v>
      </c>
      <c r="W269" s="21" t="str">
        <f>IF(V269, Q269, "")</f>
        <v/>
      </c>
      <c r="X269" s="22" t="str">
        <f>IF(V269, IF(L269 = "", "", L269), "")</f>
        <v/>
      </c>
      <c r="Y269" s="22" t="str">
        <f>IF(V269, K269, "")</f>
        <v/>
      </c>
      <c r="Z269" s="23"/>
      <c r="AA269" s="8" t="b">
        <f>INDEX(itemPrepMethods, MATCH(K269, itemNames, 0))="soak"</f>
        <v>0</v>
      </c>
      <c r="AB269" s="22" t="str">
        <f>IF(AA269, Q269, "")</f>
        <v/>
      </c>
      <c r="AC269" s="22" t="str">
        <f>IF(AA269, IF(L269 = "", "", L269), "")</f>
        <v/>
      </c>
      <c r="AD269" s="22" t="str">
        <f>IF(AA269, K269, "")</f>
        <v/>
      </c>
    </row>
    <row r="270" spans="1:30" x14ac:dyDescent="0.25">
      <c r="A270" s="129"/>
      <c r="B270" s="129"/>
      <c r="C270" s="129"/>
      <c r="D270" s="129"/>
      <c r="I270" s="11"/>
      <c r="W270" s="21"/>
      <c r="X270" s="21"/>
      <c r="Y270" s="21"/>
      <c r="Z270" s="21"/>
      <c r="AB270" s="21"/>
      <c r="AC270" s="21"/>
      <c r="AD270" s="21"/>
    </row>
    <row r="271" spans="1:30" x14ac:dyDescent="0.25">
      <c r="A271" s="129" t="s">
        <v>233</v>
      </c>
      <c r="B271" s="129"/>
      <c r="C271" s="129"/>
      <c r="D271" s="129"/>
      <c r="I271" s="11"/>
      <c r="W271" s="21"/>
      <c r="X271" s="21"/>
      <c r="Y271" s="21"/>
      <c r="Z271" s="21"/>
      <c r="AB271" s="21"/>
      <c r="AC271" s="21"/>
      <c r="AD271" s="21"/>
    </row>
    <row r="272" spans="1:30" x14ac:dyDescent="0.25">
      <c r="A272" s="129"/>
      <c r="B272" s="129"/>
      <c r="C272" s="129"/>
      <c r="D272" s="129"/>
      <c r="I272" s="11"/>
      <c r="W272" s="21"/>
      <c r="X272" s="21"/>
      <c r="Y272" s="21"/>
      <c r="Z272" s="21"/>
      <c r="AB272" s="21"/>
      <c r="AC272" s="21"/>
      <c r="AD272" s="21"/>
    </row>
    <row r="273" spans="1:30" x14ac:dyDescent="0.25">
      <c r="A273" s="129" t="s">
        <v>234</v>
      </c>
      <c r="B273" s="129"/>
      <c r="C273" s="129"/>
      <c r="D273" s="129"/>
      <c r="I273" s="11"/>
      <c r="W273" s="21"/>
      <c r="X273" s="21"/>
      <c r="Y273" s="21"/>
      <c r="Z273" s="21"/>
      <c r="AB273" s="21"/>
      <c r="AC273" s="21"/>
      <c r="AD273" s="21"/>
    </row>
    <row r="274" spans="1:30" ht="36" x14ac:dyDescent="0.25">
      <c r="A274" s="5" t="s">
        <v>21</v>
      </c>
      <c r="B274" s="16">
        <f t="shared" si="222"/>
        <v>2</v>
      </c>
      <c r="C274" s="4" t="str">
        <f t="shared" si="223"/>
        <v/>
      </c>
      <c r="D274" s="5" t="str">
        <f>_xlfn.CONCAT(K274, U274)</f>
        <v>blocks tofu, cut into small cubes</v>
      </c>
      <c r="I274" s="18">
        <v>1</v>
      </c>
      <c r="J274" s="19" t="s">
        <v>12</v>
      </c>
      <c r="K274" s="19" t="s">
        <v>228</v>
      </c>
      <c r="L274" s="20"/>
      <c r="M274" s="11">
        <f t="shared" si="224"/>
        <v>0.315</v>
      </c>
      <c r="N274" s="11">
        <f t="shared" si="225"/>
        <v>0.55000000000000004</v>
      </c>
      <c r="O274" s="11">
        <f t="shared" si="226"/>
        <v>1</v>
      </c>
      <c r="P274" s="11">
        <f t="shared" si="227"/>
        <v>1.7460317460317463</v>
      </c>
      <c r="Q274" s="11">
        <f>MROUND(IF(L274 = "", IF(J274 = "", I274, IF(M274 &lt;&gt; 0, O274 / M274, P274 / N274)) * recipe07DayScale, IF(ISNA(CONVERT(O274, "kg", L274)), CONVERT(P274 * recipe07DayScale, "l", L274), CONVERT(O274 * recipe07DayScale, "kg", L274))), roundTo)</f>
        <v>2</v>
      </c>
      <c r="R274" s="11">
        <f>recipe07TotScale * IF(L274 = "", Q274 * M274, IF(ISNA(CONVERT(Q274, L274, "kg")), CONVERT(Q274, L274, "l") * IF(N274 &lt;&gt; 0, M274 / N274, 0), CONVERT(Q274, L274, "kg")))</f>
        <v>0.63</v>
      </c>
      <c r="S274" s="11">
        <f>recipe07TotScale * IF(R274 = 0, IF(L274 = "", Q274 * N274, IF(ISNA(CONVERT(Q274, L274, "l")), CONVERT(Q274, L274, "kg") * IF(M274 &lt;&gt; 0, N274 / M274, 0), CONVERT(Q274, L274, "l"))), 0)</f>
        <v>0</v>
      </c>
      <c r="T274" s="11">
        <f>recipe07TotScale * IF(AND(R274 = 0, S274 = 0, J274 = "", L274 = ""), Q274, 0)</f>
        <v>0</v>
      </c>
      <c r="V274" s="8" t="b">
        <f>INDEX(itemPrepMethods, MATCH(K274, itemNames, 0))="chop"</f>
        <v>1</v>
      </c>
      <c r="W274" s="21">
        <f>IF(V274, Q274, "")</f>
        <v>2</v>
      </c>
      <c r="X274" s="22" t="str">
        <f>IF(V274, IF(L274 = "", "", L274), "")</f>
        <v/>
      </c>
      <c r="Y274" s="22" t="str">
        <f>IF(V274, K274, "")</f>
        <v>blocks tofu, cut into small cubes</v>
      </c>
      <c r="Z274" s="23" t="s">
        <v>229</v>
      </c>
      <c r="AA274" s="8" t="b">
        <f>INDEX(itemPrepMethods, MATCH(K274, itemNames, 0))="soak"</f>
        <v>0</v>
      </c>
      <c r="AB274" s="22" t="str">
        <f>IF(AA274, Q274, "")</f>
        <v/>
      </c>
      <c r="AC274" s="22" t="str">
        <f>IF(AA274, IF(L274 = "", "", L274), "")</f>
        <v/>
      </c>
      <c r="AD274" s="22" t="str">
        <f>IF(AA274, K274, "")</f>
        <v/>
      </c>
    </row>
    <row r="275" spans="1:30" x14ac:dyDescent="0.25">
      <c r="B275" s="16"/>
      <c r="I275" s="18"/>
      <c r="J275" s="19"/>
      <c r="K275" s="19"/>
      <c r="L275" s="20"/>
      <c r="W275" s="21"/>
      <c r="X275" s="21"/>
      <c r="Y275" s="21"/>
      <c r="Z275" s="21"/>
      <c r="AB275" s="21"/>
      <c r="AC275" s="21"/>
      <c r="AD275" s="21"/>
    </row>
    <row r="276" spans="1:30" x14ac:dyDescent="0.25">
      <c r="A276" s="129" t="s">
        <v>235</v>
      </c>
      <c r="B276" s="129"/>
      <c r="C276" s="129"/>
      <c r="D276" s="129"/>
      <c r="I276" s="18"/>
      <c r="J276" s="19"/>
      <c r="K276" s="19"/>
      <c r="L276" s="20"/>
      <c r="W276" s="21"/>
      <c r="X276" s="21"/>
      <c r="Y276" s="21"/>
      <c r="Z276" s="21"/>
      <c r="AB276" s="21"/>
      <c r="AC276" s="21"/>
      <c r="AD276" s="21"/>
    </row>
    <row r="277" spans="1:30" x14ac:dyDescent="0.25">
      <c r="A277" s="5" t="s">
        <v>21</v>
      </c>
      <c r="B277" s="16">
        <f t="shared" si="222"/>
        <v>1</v>
      </c>
      <c r="C277" s="4" t="str">
        <f t="shared" si="223"/>
        <v/>
      </c>
      <c r="D277" s="38" t="str">
        <f>_xlfn.CONCAT(K277, U277)</f>
        <v>package wakame, then drain and set aside</v>
      </c>
      <c r="I277" s="18">
        <v>1.4</v>
      </c>
      <c r="J277" s="19"/>
      <c r="K277" s="19" t="s">
        <v>428</v>
      </c>
      <c r="L277" s="20"/>
      <c r="M277" s="11">
        <f t="shared" si="224"/>
        <v>0</v>
      </c>
      <c r="N277" s="11">
        <f t="shared" si="225"/>
        <v>0</v>
      </c>
      <c r="O277" s="11">
        <f t="shared" si="226"/>
        <v>0</v>
      </c>
      <c r="P277" s="11">
        <f t="shared" si="227"/>
        <v>0</v>
      </c>
      <c r="Q277" s="11">
        <f>MROUND(IF(L277 = "", IF(J277 = "", I277, IF(M277 &lt;&gt; 0, O277 / M277, P277 / N277)) * recipe07DayScale, IF(ISNA(CONVERT(O277, "kg", L277)), CONVERT(P277 * recipe07DayScale, "l", L277), CONVERT(O277 * recipe07DayScale, "kg", L277))), roundTo)</f>
        <v>1</v>
      </c>
      <c r="R277" s="11">
        <f>recipe07TotScale * IF(L277 = "", Q277 * M277, IF(ISNA(CONVERT(Q277, L277, "kg")), CONVERT(Q277, L277, "l") * IF(N277 &lt;&gt; 0, M277 / N277, 0), CONVERT(Q277, L277, "kg")))</f>
        <v>0</v>
      </c>
      <c r="S277" s="11">
        <f>recipe07TotScale * IF(R277 = 0, IF(L277 = "", Q277 * N277, IF(ISNA(CONVERT(Q277, L277, "l")), CONVERT(Q277, L277, "kg") * IF(M277 &lt;&gt; 0, N277 / M277, 0), CONVERT(Q277, L277, "l"))), 0)</f>
        <v>0</v>
      </c>
      <c r="T277" s="11">
        <f>recipe07TotScale * IF(AND(R277 = 0, S277 = 0, J277 = "", L277 = ""), Q277, 0)</f>
        <v>1</v>
      </c>
      <c r="U277" s="8" t="s">
        <v>236</v>
      </c>
      <c r="V277" s="8" t="b">
        <f>INDEX(itemPrepMethods, MATCH(K277, itemNames, 0))="chop"</f>
        <v>0</v>
      </c>
      <c r="W277" s="21" t="str">
        <f>IF(V277, Q277, "")</f>
        <v/>
      </c>
      <c r="X277" s="22" t="str">
        <f>IF(V277, IF(L277 = "", "", L277), "")</f>
        <v/>
      </c>
      <c r="Y277" s="22" t="str">
        <f>IF(V277, K277, "")</f>
        <v/>
      </c>
      <c r="Z277" s="23"/>
      <c r="AA277" s="8" t="b">
        <f>INDEX(itemPrepMethods, MATCH(K277, itemNames, 0))="soak"</f>
        <v>0</v>
      </c>
      <c r="AB277" s="22" t="str">
        <f>IF(AA277, Q277, "")</f>
        <v/>
      </c>
      <c r="AC277" s="22" t="str">
        <f>IF(AA277, IF(L277 = "", "", L277), "")</f>
        <v/>
      </c>
      <c r="AD277" s="22" t="str">
        <f>IF(AA277, K277, "")</f>
        <v/>
      </c>
    </row>
    <row r="278" spans="1:30" x14ac:dyDescent="0.25">
      <c r="A278" s="129"/>
      <c r="B278" s="129"/>
      <c r="C278" s="129"/>
      <c r="D278" s="129"/>
      <c r="I278" s="11"/>
      <c r="W278" s="21"/>
      <c r="X278" s="21"/>
      <c r="Y278" s="21"/>
      <c r="Z278" s="21"/>
      <c r="AB278" s="21"/>
      <c r="AC278" s="21"/>
      <c r="AD278" s="21"/>
    </row>
    <row r="279" spans="1:30" x14ac:dyDescent="0.25">
      <c r="A279" s="129" t="s">
        <v>237</v>
      </c>
      <c r="B279" s="129"/>
      <c r="C279" s="129"/>
      <c r="D279" s="129"/>
      <c r="I279" s="11"/>
      <c r="W279" s="21"/>
      <c r="X279" s="21"/>
      <c r="Y279" s="21"/>
      <c r="Z279" s="21"/>
      <c r="AB279" s="21"/>
      <c r="AC279" s="21"/>
      <c r="AD279" s="21"/>
    </row>
    <row r="280" spans="1:30" x14ac:dyDescent="0.25">
      <c r="A280" s="5" t="s">
        <v>21</v>
      </c>
      <c r="B280" s="16">
        <f t="shared" si="222"/>
        <v>3.25</v>
      </c>
      <c r="C280" s="4" t="str">
        <f t="shared" si="223"/>
        <v>tbs</v>
      </c>
      <c r="D280" s="5" t="str">
        <f>_xlfn.CONCAT(K280, U280)</f>
        <v>miso</v>
      </c>
      <c r="I280" s="18">
        <v>5</v>
      </c>
      <c r="J280" s="19" t="s">
        <v>15</v>
      </c>
      <c r="K280" s="19" t="s">
        <v>41</v>
      </c>
      <c r="L280" s="20" t="s">
        <v>15</v>
      </c>
      <c r="M280" s="11">
        <f t="shared" si="224"/>
        <v>0</v>
      </c>
      <c r="N280" s="11">
        <f t="shared" si="225"/>
        <v>0</v>
      </c>
      <c r="O280" s="11">
        <f t="shared" si="226"/>
        <v>0</v>
      </c>
      <c r="P280" s="11">
        <f t="shared" si="227"/>
        <v>7.3933823906250001E-2</v>
      </c>
      <c r="Q280" s="11">
        <f>MROUND(IF(L280 = "", IF(J280 = "", I280, IF(M280 &lt;&gt; 0, O280 / M280, P280 / N280)) * recipe07DayScale, IF(ISNA(CONVERT(O280, "kg", L280)), CONVERT(P280 * recipe07DayScale, "l", L280), CONVERT(O280 * recipe07DayScale, "kg", L280))), roundTo)</f>
        <v>3.25</v>
      </c>
      <c r="R280" s="11">
        <f>recipe07TotScale * IF(L280 = "", Q280 * M280, IF(ISNA(CONVERT(Q280, L280, "kg")), CONVERT(Q280, L280, "l") * IF(N280 &lt;&gt; 0, M280 / N280, 0), CONVERT(Q280, L280, "kg")))</f>
        <v>0</v>
      </c>
      <c r="S280" s="11">
        <f>recipe07TotScale * IF(R280 = 0, IF(L280 = "", Q280 * N280, IF(ISNA(CONVERT(Q280, L280, "l")), CONVERT(Q280, L280, "kg") * IF(M280 &lt;&gt; 0, N280 / M280, 0), CONVERT(Q280, L280, "l"))), 0)</f>
        <v>4.8056985539062499E-2</v>
      </c>
      <c r="T280" s="11">
        <f>recipe07TotScale * IF(AND(R280 = 0, S280 = 0, J280 = "", L280 = ""), Q280, 0)</f>
        <v>0</v>
      </c>
      <c r="V280" s="8" t="b">
        <f>INDEX(itemPrepMethods, MATCH(K280, itemNames, 0))="chop"</f>
        <v>0</v>
      </c>
      <c r="W280" s="21" t="str">
        <f>IF(V280, Q280, "")</f>
        <v/>
      </c>
      <c r="X280" s="22" t="str">
        <f>IF(V280, IF(L280 = "", "", L280), "")</f>
        <v/>
      </c>
      <c r="Y280" s="22" t="str">
        <f>IF(V280, K280, "")</f>
        <v/>
      </c>
      <c r="Z280" s="23"/>
      <c r="AA280" s="8" t="b">
        <f>INDEX(itemPrepMethods, MATCH(K280, itemNames, 0))="soak"</f>
        <v>0</v>
      </c>
      <c r="AB280" s="22" t="str">
        <f>IF(AA280, Q280, "")</f>
        <v/>
      </c>
      <c r="AC280" s="22" t="str">
        <f>IF(AA280, IF(L280 = "", "", L280), "")</f>
        <v/>
      </c>
      <c r="AD280" s="22" t="str">
        <f>IF(AA280, K280, "")</f>
        <v/>
      </c>
    </row>
    <row r="281" spans="1:30" x14ac:dyDescent="0.25">
      <c r="A281" s="129"/>
      <c r="B281" s="129"/>
      <c r="C281" s="129"/>
      <c r="D281" s="129"/>
      <c r="I281" s="11"/>
      <c r="W281" s="30"/>
      <c r="X281" s="30"/>
      <c r="Y281" s="30"/>
      <c r="Z281" s="30"/>
      <c r="AA281" s="30"/>
      <c r="AB281" s="30"/>
      <c r="AC281" s="30"/>
      <c r="AD281" s="30"/>
    </row>
    <row r="282" spans="1:30" x14ac:dyDescent="0.25">
      <c r="A282" s="129" t="s">
        <v>240</v>
      </c>
      <c r="B282" s="129"/>
      <c r="C282" s="129"/>
      <c r="D282" s="129"/>
      <c r="I282" s="11"/>
      <c r="W282" s="30"/>
      <c r="X282" s="30"/>
      <c r="Y282" s="30"/>
      <c r="Z282" s="30"/>
      <c r="AA282" s="30"/>
      <c r="AB282" s="30"/>
      <c r="AC282" s="30"/>
      <c r="AD282" s="30"/>
    </row>
    <row r="283" spans="1:30" x14ac:dyDescent="0.25">
      <c r="A283" s="5" t="s">
        <v>21</v>
      </c>
      <c r="D283" s="5" t="str">
        <f>_xlfn.CONCAT(K283, U283)</f>
        <v>miso broth</v>
      </c>
      <c r="I283" s="11"/>
      <c r="U283" s="10" t="s">
        <v>238</v>
      </c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x14ac:dyDescent="0.25">
      <c r="A284" s="5" t="s">
        <v>21</v>
      </c>
      <c r="D284" s="5" t="str">
        <f>_xlfn.CONCAT(K284, U284)</f>
        <v>soaked wakame</v>
      </c>
      <c r="I284" s="11"/>
      <c r="U284" s="10" t="s">
        <v>239</v>
      </c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5.75" x14ac:dyDescent="0.25">
      <c r="A285" s="130" t="s">
        <v>514</v>
      </c>
      <c r="B285" s="130"/>
      <c r="C285" s="130"/>
      <c r="D285" s="130"/>
      <c r="E285" s="6" t="s">
        <v>110</v>
      </c>
      <c r="F285" s="41"/>
      <c r="G285" s="41"/>
      <c r="H285" s="11"/>
    </row>
    <row r="286" spans="1:30" ht="24" x14ac:dyDescent="0.2">
      <c r="A286" s="130" t="s">
        <v>242</v>
      </c>
      <c r="B286" s="130"/>
      <c r="C286" s="130"/>
      <c r="D286" s="130"/>
      <c r="E286" s="6" t="s">
        <v>39</v>
      </c>
      <c r="F286" s="37">
        <v>10</v>
      </c>
      <c r="G286" s="11"/>
      <c r="H286" s="11"/>
      <c r="I286" s="33" t="s">
        <v>355</v>
      </c>
      <c r="J286" s="34" t="s">
        <v>356</v>
      </c>
      <c r="K286" s="34" t="s">
        <v>17</v>
      </c>
      <c r="L286" s="35" t="s">
        <v>359</v>
      </c>
      <c r="M286" s="33" t="s">
        <v>115</v>
      </c>
      <c r="N286" s="33" t="s">
        <v>116</v>
      </c>
      <c r="O286" s="33" t="s">
        <v>357</v>
      </c>
      <c r="P286" s="33" t="s">
        <v>358</v>
      </c>
      <c r="Q286" s="34" t="s">
        <v>286</v>
      </c>
      <c r="R286" s="33" t="s">
        <v>287</v>
      </c>
      <c r="S286" s="33" t="s">
        <v>288</v>
      </c>
      <c r="T286" s="33" t="s">
        <v>289</v>
      </c>
      <c r="U286" s="34" t="s">
        <v>22</v>
      </c>
      <c r="V286" s="34" t="s">
        <v>169</v>
      </c>
      <c r="W286" s="36" t="s">
        <v>286</v>
      </c>
      <c r="X286" s="34" t="s">
        <v>167</v>
      </c>
      <c r="Y286" s="34" t="s">
        <v>168</v>
      </c>
      <c r="Z286" s="34" t="s">
        <v>263</v>
      </c>
      <c r="AA286" s="34" t="s">
        <v>170</v>
      </c>
      <c r="AB286" s="36" t="s">
        <v>286</v>
      </c>
      <c r="AC286" s="34" t="s">
        <v>171</v>
      </c>
      <c r="AD286" s="34" t="s">
        <v>172</v>
      </c>
    </row>
    <row r="287" spans="1:30" ht="13.5" thickBot="1" x14ac:dyDescent="0.3">
      <c r="A287" s="131" t="str">
        <f>_xlfn.CONCAT(F287," servings")</f>
        <v>10 servings</v>
      </c>
      <c r="B287" s="131"/>
      <c r="C287" s="131"/>
      <c r="D287" s="131"/>
      <c r="E287" s="29" t="s">
        <v>281</v>
      </c>
      <c r="F287" s="37">
        <f>wkdyRegLunch</f>
        <v>10</v>
      </c>
      <c r="G287" s="11"/>
      <c r="H287" s="11"/>
    </row>
    <row r="288" spans="1:30" s="41" customFormat="1" ht="15.75" thickBot="1" x14ac:dyDescent="0.3">
      <c r="A288" s="129"/>
      <c r="B288" s="129"/>
      <c r="C288" s="129"/>
      <c r="D288" s="129"/>
      <c r="E288" s="29" t="s">
        <v>284</v>
      </c>
      <c r="F288" s="14">
        <f>F287/F286</f>
        <v>1</v>
      </c>
      <c r="G288" s="15" t="s">
        <v>308</v>
      </c>
      <c r="H288" s="11"/>
      <c r="I288" s="9"/>
      <c r="L288" s="10"/>
      <c r="M288" s="11"/>
      <c r="N288" s="11"/>
      <c r="O288" s="11"/>
      <c r="P288" s="11"/>
      <c r="Q288" s="11"/>
      <c r="R288" s="11"/>
      <c r="S288" s="11"/>
      <c r="T288" s="11"/>
      <c r="W288" s="12"/>
      <c r="Z288" s="13"/>
    </row>
    <row r="289" spans="1:30" ht="15.75" x14ac:dyDescent="0.25">
      <c r="A289" s="134" t="s">
        <v>243</v>
      </c>
      <c r="B289" s="134"/>
      <c r="C289" s="134"/>
      <c r="D289" s="134"/>
      <c r="E289" s="30"/>
      <c r="F289" s="30"/>
      <c r="G289" s="30"/>
      <c r="H289" s="11"/>
      <c r="W289" s="130" t="s">
        <v>521</v>
      </c>
      <c r="X289" s="130"/>
      <c r="Y289" s="130"/>
      <c r="Z289" s="130"/>
      <c r="AB289" s="130" t="s">
        <v>522</v>
      </c>
      <c r="AC289" s="130"/>
      <c r="AD289" s="130"/>
    </row>
    <row r="290" spans="1:30" ht="16.5" thickBot="1" x14ac:dyDescent="0.3">
      <c r="A290" s="129"/>
      <c r="B290" s="129"/>
      <c r="C290" s="129"/>
      <c r="D290" s="129"/>
      <c r="E290" s="29" t="s">
        <v>273</v>
      </c>
      <c r="F290" s="37">
        <f>wkdyRegLunch</f>
        <v>10</v>
      </c>
      <c r="G290" s="30"/>
      <c r="I290" s="11"/>
      <c r="W290" s="130" t="str">
        <f>A285</f>
        <v>WEDNESDAY LUNCH</v>
      </c>
      <c r="X290" s="130"/>
      <c r="Y290" s="130"/>
      <c r="Z290" s="130"/>
      <c r="AA290" s="41"/>
      <c r="AB290" s="130" t="str">
        <f>A285</f>
        <v>WEDNESDAY LUNCH</v>
      </c>
      <c r="AC290" s="130"/>
      <c r="AD290" s="130"/>
    </row>
    <row r="291" spans="1:30" ht="16.5" thickBot="1" x14ac:dyDescent="0.3">
      <c r="A291" s="129" t="s">
        <v>260</v>
      </c>
      <c r="B291" s="129"/>
      <c r="C291" s="129"/>
      <c r="D291" s="129"/>
      <c r="E291" s="29" t="s">
        <v>285</v>
      </c>
      <c r="F291" s="14">
        <f>F290/F287</f>
        <v>1</v>
      </c>
      <c r="G291" s="15" t="s">
        <v>309</v>
      </c>
      <c r="H291" s="11"/>
      <c r="W291" s="130" t="str">
        <f>A286</f>
        <v>SHEPHERDESS PIE</v>
      </c>
      <c r="X291" s="130"/>
      <c r="Y291" s="130"/>
      <c r="Z291" s="130"/>
      <c r="AA291" s="41"/>
      <c r="AB291" s="130" t="str">
        <f>A286</f>
        <v>SHEPHERDESS PIE</v>
      </c>
      <c r="AC291" s="130"/>
      <c r="AD291" s="130"/>
    </row>
    <row r="292" spans="1:30" x14ac:dyDescent="0.25">
      <c r="A292" s="5" t="s">
        <v>21</v>
      </c>
      <c r="B292" s="16">
        <f t="shared" ref="B292" si="228">Q292</f>
        <v>2</v>
      </c>
      <c r="C292" s="4" t="str">
        <f t="shared" ref="C292" si="229">IF(L292="","",L292)</f>
        <v>cup</v>
      </c>
      <c r="D292" s="5" t="str">
        <f>_xlfn.CONCAT(K292, U292)</f>
        <v>dried brown lentils</v>
      </c>
      <c r="I292" s="18">
        <v>2</v>
      </c>
      <c r="J292" s="19" t="s">
        <v>16</v>
      </c>
      <c r="K292" s="19" t="s">
        <v>244</v>
      </c>
      <c r="L292" s="20" t="s">
        <v>16</v>
      </c>
      <c r="M292" s="11">
        <f t="shared" ref="M292" si="230">INDEX(itemGPerQty, MATCH(K292, itemNames, 0))</f>
        <v>1.02</v>
      </c>
      <c r="N292" s="11">
        <f t="shared" ref="N292" si="231">INDEX(itemMlPerQty, MATCH(K292, itemNames, 0))</f>
        <v>1.2</v>
      </c>
      <c r="O292" s="11">
        <f t="shared" ref="O292" si="232">IF(J292 = "", I292 * M292, IF(ISNA(CONVERT(I292, J292, "kg")), CONVERT(I292, J292, "l") * IF(N292 &lt;&gt; 0, M292 / N292, 0), CONVERT(I292, J292, "kg")))</f>
        <v>0.40220000205000001</v>
      </c>
      <c r="P292" s="11">
        <f t="shared" ref="P292" si="233">IF(J292 = "", I292 * N292, IF(ISNA(CONVERT(I292, J292, "l")), CONVERT(I292, J292, "kg") * IF(M292 &lt;&gt; 0, N292 / M292, 0), CONVERT(I292, J292, "l")))</f>
        <v>0.47317647299999999</v>
      </c>
      <c r="Q292" s="11">
        <f>MROUND(IF(L292 = "", IF(J292 = "", I292, IF(M292 &lt;&gt; 0, O292 / M292, P292 / N292)) * recipe12DayScale, IF(ISNA(CONVERT(O292, "kg", L292)), CONVERT(P292 * recipe12DayScale, "l", L292), CONVERT(O292 * recipe12DayScale, "kg", L292))), roundTo)</f>
        <v>2</v>
      </c>
      <c r="R292" s="11">
        <f>recipe12TotScale * IF(L292 = "", Q292 * M292, IF(ISNA(CONVERT(Q292, L292, "kg")), CONVERT(Q292, L292, "l") * IF(N292 &lt;&gt; 0, M292 / N292, 0), CONVERT(Q292, L292, "kg")))</f>
        <v>0.40220000205000001</v>
      </c>
      <c r="S292" s="11">
        <f>recipe12TotScale * IF(R292 = 0, IF(L292 = "", Q292 * N292, IF(ISNA(CONVERT(Q292, L292, "l")), CONVERT(Q292, L292, "kg") * IF(M292 &lt;&gt; 0, N292 / M292, 0), CONVERT(Q292, L292, "l"))), 0)</f>
        <v>0</v>
      </c>
      <c r="T292" s="11">
        <f>recipe12TotScale * IF(AND(R292 = 0, S292 = 0, J292 = "", L292 = ""), Q292, 0)</f>
        <v>0</v>
      </c>
      <c r="V292" s="8" t="b">
        <f>INDEX(itemPrepMethods, MATCH(K292, itemNames, 0))="chop"</f>
        <v>0</v>
      </c>
      <c r="W292" s="21" t="str">
        <f>IF(V292, Q292, "")</f>
        <v/>
      </c>
      <c r="X292" s="22" t="str">
        <f>IF(V292, IF(L292 = "", "", L292), "")</f>
        <v/>
      </c>
      <c r="Y292" s="22" t="str">
        <f>IF(V292, K292, "")</f>
        <v/>
      </c>
      <c r="Z292" s="23"/>
      <c r="AA292" s="8" t="b">
        <f>INDEX(itemPrepMethods, MATCH(K292, itemNames, 0))="soak"</f>
        <v>0</v>
      </c>
      <c r="AB292" s="22" t="str">
        <f>IF(AA292, Q292, "")</f>
        <v/>
      </c>
      <c r="AC292" s="22" t="str">
        <f>IF(AA292, IF(L292 = "", "", L292), "")</f>
        <v/>
      </c>
      <c r="AD292" s="121" t="s">
        <v>523</v>
      </c>
    </row>
    <row r="293" spans="1:30" x14ac:dyDescent="0.25">
      <c r="A293" s="5" t="s">
        <v>21</v>
      </c>
      <c r="B293" s="16">
        <f t="shared" ref="B293" si="234">Q293</f>
        <v>2.75</v>
      </c>
      <c r="C293" s="4" t="str">
        <f t="shared" ref="C293" si="235">IF(L293="","",L293)</f>
        <v>lt</v>
      </c>
      <c r="D293" s="5" t="str">
        <f>_xlfn.CONCAT(K293, U293)</f>
        <v>chopped potatoes</v>
      </c>
      <c r="I293" s="18">
        <v>8</v>
      </c>
      <c r="J293" s="19"/>
      <c r="K293" s="19" t="s">
        <v>4</v>
      </c>
      <c r="L293" s="20" t="s">
        <v>542</v>
      </c>
      <c r="M293" s="11">
        <f t="shared" ref="M293" si="236">INDEX(itemGPerQty, MATCH(K293, itemNames, 0))</f>
        <v>0.22500000000000001</v>
      </c>
      <c r="N293" s="11">
        <f t="shared" ref="N293" si="237">INDEX(itemMlPerQty, MATCH(K293, itemNames, 0))</f>
        <v>0.33750000000000002</v>
      </c>
      <c r="O293" s="11">
        <f t="shared" ref="O293" si="238">IF(J293 = "", I293 * M293, IF(ISNA(CONVERT(I293, J293, "kg")), CONVERT(I293, J293, "l") * IF(N293 &lt;&gt; 0, M293 / N293, 0), CONVERT(I293, J293, "kg")))</f>
        <v>1.8</v>
      </c>
      <c r="P293" s="11">
        <f t="shared" ref="P293" si="239">IF(J293 = "", I293 * N293, IF(ISNA(CONVERT(I293, J293, "l")), CONVERT(I293, J293, "kg") * IF(M293 &lt;&gt; 0, N293 / M293, 0), CONVERT(I293, J293, "l")))</f>
        <v>2.7</v>
      </c>
      <c r="Q293" s="11">
        <f>MROUND(IF(L293 = "", IF(J293 = "", I293, IF(M293 &lt;&gt; 0, O293 / M293, P293 / N293)) * recipe12DayScale, IF(ISNA(CONVERT(O293, "kg", L293)), CONVERT(P293 * recipe12DayScale, "l", L293), CONVERT(O293 * recipe12DayScale, "kg", L293))), roundTo)</f>
        <v>2.75</v>
      </c>
      <c r="R293" s="11">
        <f>recipe12TotScale * IF(L293 = "", Q293 * M293, IF(ISNA(CONVERT(Q293, L293, "kg")), CONVERT(Q293, L293, "l") * IF(N293 &lt;&gt; 0, M293 / N293, 0), CONVERT(Q293, L293, "kg")))</f>
        <v>1.8333333333333333</v>
      </c>
      <c r="S293" s="11">
        <f>recipe12TotScale * IF(R293 = 0, IF(L293 = "", Q293 * N293, IF(ISNA(CONVERT(Q293, L293, "l")), CONVERT(Q293, L293, "kg") * IF(M293 &lt;&gt; 0, N293 / M293, 0), CONVERT(Q293, L293, "l"))), 0)</f>
        <v>0</v>
      </c>
      <c r="T293" s="11">
        <f>recipe12TotScale * IF(AND(R293 = 0, S293 = 0, J293 = "", L293 = ""), Q293, 0)</f>
        <v>0</v>
      </c>
      <c r="V293" s="8" t="b">
        <f>INDEX(itemPrepMethods, MATCH(K293, itemNames, 0))="chop"</f>
        <v>1</v>
      </c>
      <c r="W293" s="21">
        <f>IF(V293, Q293, "")</f>
        <v>2.75</v>
      </c>
      <c r="X293" s="22" t="str">
        <f>IF(V293, IF(L293 = "", "", L293), "")</f>
        <v>lt</v>
      </c>
      <c r="Y293" s="22" t="str">
        <f>IF(V293, K293, "")</f>
        <v>chopped potatoes</v>
      </c>
      <c r="Z293" s="23"/>
      <c r="AA293" s="8" t="b">
        <f>INDEX(itemPrepMethods, MATCH(K293, itemNames, 0))="soak"</f>
        <v>0</v>
      </c>
      <c r="AB293" s="22" t="str">
        <f>IF(AA293, Q293, "")</f>
        <v/>
      </c>
      <c r="AC293" s="22" t="str">
        <f>IF(AA293, IF(L293 = "", "", L293), "")</f>
        <v/>
      </c>
      <c r="AD293" s="22" t="str">
        <f>IF(AA293, K293, "")</f>
        <v/>
      </c>
    </row>
    <row r="294" spans="1:30" x14ac:dyDescent="0.25">
      <c r="A294" s="129"/>
      <c r="B294" s="129"/>
      <c r="C294" s="129"/>
      <c r="D294" s="129"/>
      <c r="I294" s="11"/>
      <c r="W294" s="21"/>
      <c r="X294" s="22"/>
      <c r="Y294" s="22"/>
      <c r="Z294" s="23"/>
      <c r="AA294" s="30"/>
      <c r="AB294" s="21"/>
      <c r="AC294" s="21"/>
      <c r="AD294" s="21"/>
    </row>
    <row r="295" spans="1:30" x14ac:dyDescent="0.25">
      <c r="A295" s="129" t="s">
        <v>245</v>
      </c>
      <c r="B295" s="129"/>
      <c r="C295" s="129"/>
      <c r="D295" s="129"/>
      <c r="E295" s="7"/>
      <c r="F295" s="24"/>
      <c r="G295" s="24"/>
      <c r="H295" s="11"/>
      <c r="W295" s="21"/>
      <c r="X295" s="22"/>
      <c r="Y295" s="22"/>
      <c r="Z295" s="23"/>
      <c r="AA295" s="30"/>
      <c r="AB295" s="21"/>
      <c r="AC295" s="21"/>
      <c r="AD295" s="21"/>
    </row>
    <row r="296" spans="1:30" x14ac:dyDescent="0.25">
      <c r="A296" s="5" t="s">
        <v>21</v>
      </c>
      <c r="B296" s="16">
        <f t="shared" ref="B296:B297" si="240">Q296</f>
        <v>3.5</v>
      </c>
      <c r="C296" s="4" t="str">
        <f t="shared" ref="C296:C297" si="241">IF(L296="","",L296)</f>
        <v>cup</v>
      </c>
      <c r="D296" s="5" t="str">
        <f>_xlfn.CONCAT(K296, U296)</f>
        <v>diced carrots</v>
      </c>
      <c r="I296" s="18">
        <v>4</v>
      </c>
      <c r="J296" s="19"/>
      <c r="K296" s="19" t="s">
        <v>71</v>
      </c>
      <c r="L296" s="20" t="s">
        <v>16</v>
      </c>
      <c r="M296" s="11">
        <f t="shared" ref="M296:M297" si="242">INDEX(itemGPerQty, MATCH(K296, itemNames, 0))</f>
        <v>0.1265</v>
      </c>
      <c r="N296" s="11">
        <f t="shared" ref="N296:N297" si="243">INDEX(itemMlPerQty, MATCH(K296, itemNames, 0))</f>
        <v>0.2</v>
      </c>
      <c r="O296" s="11">
        <f t="shared" ref="O296:O297" si="244">IF(J296 = "", I296 * M296, IF(ISNA(CONVERT(I296, J296, "kg")), CONVERT(I296, J296, "l") * IF(N296 &lt;&gt; 0, M296 / N296, 0), CONVERT(I296, J296, "kg")))</f>
        <v>0.50600000000000001</v>
      </c>
      <c r="P296" s="11">
        <f t="shared" ref="P296:P297" si="245">IF(J296 = "", I296 * N296, IF(ISNA(CONVERT(I296, J296, "l")), CONVERT(I296, J296, "kg") * IF(M296 &lt;&gt; 0, N296 / M296, 0), CONVERT(I296, J296, "l")))</f>
        <v>0.8</v>
      </c>
      <c r="Q296" s="11">
        <f>MROUND(IF(L296 = "", IF(J296 = "", I296, IF(M296 &lt;&gt; 0, O296 / M296, P296 / N296)) * recipe12DayScale, IF(ISNA(CONVERT(O296, "kg", L296)), CONVERT(P296 * recipe12DayScale, "l", L296), CONVERT(O296 * recipe12DayScale, "kg", L296))), roundTo)</f>
        <v>3.5</v>
      </c>
      <c r="R296" s="11">
        <f>recipe12TotScale * IF(L296 = "", Q296 * M296, IF(ISNA(CONVERT(Q296, L296, "kg")), CONVERT(Q296, L296, "l") * IF(N296 &lt;&gt; 0, M296 / N296, 0), CONVERT(Q296, L296, "kg")))</f>
        <v>0.52374720855187495</v>
      </c>
      <c r="S296" s="11">
        <f>recipe12TotScale * IF(R296 = 0, IF(L296 = "", Q296 * N296, IF(ISNA(CONVERT(Q296, L296, "l")), CONVERT(Q296, L296, "kg") * IF(M296 &lt;&gt; 0, N296 / M296, 0), CONVERT(Q296, L296, "l"))), 0)</f>
        <v>0</v>
      </c>
      <c r="T296" s="11">
        <f>recipe12TotScale * IF(AND(R296 = 0, S296 = 0, J296 = "", L296 = ""), Q296, 0)</f>
        <v>0</v>
      </c>
      <c r="V296" s="8" t="b">
        <f>INDEX(itemPrepMethods, MATCH(K296, itemNames, 0))="chop"</f>
        <v>1</v>
      </c>
      <c r="W296" s="21">
        <f>IF(V296, Q296, "")</f>
        <v>3.5</v>
      </c>
      <c r="X296" s="22" t="str">
        <f>IF(V296, IF(L296 = "", "", L296), "")</f>
        <v>cup</v>
      </c>
      <c r="Y296" s="22" t="str">
        <f>IF(V296, K296, "")</f>
        <v>diced carrots</v>
      </c>
      <c r="Z296" s="23"/>
      <c r="AA296" s="8" t="b">
        <f>INDEX(itemPrepMethods, MATCH(K296, itemNames, 0))="soak"</f>
        <v>0</v>
      </c>
      <c r="AB296" s="22" t="str">
        <f>IF(AA296, Q296, "")</f>
        <v/>
      </c>
      <c r="AC296" s="22" t="str">
        <f>IF(AA296, IF(L296 = "", "", L296), "")</f>
        <v/>
      </c>
      <c r="AD296" s="22" t="str">
        <f>IF(AA296, K296, "")</f>
        <v/>
      </c>
    </row>
    <row r="297" spans="1:30" x14ac:dyDescent="0.25">
      <c r="A297" s="5" t="s">
        <v>21</v>
      </c>
      <c r="B297" s="16">
        <f t="shared" si="240"/>
        <v>1.75</v>
      </c>
      <c r="C297" s="4" t="str">
        <f t="shared" si="241"/>
        <v>cup</v>
      </c>
      <c r="D297" s="5" t="str">
        <f>_xlfn.CONCAT(K297, U297)</f>
        <v>diced celery stalks</v>
      </c>
      <c r="I297" s="18">
        <v>4</v>
      </c>
      <c r="J297" s="19"/>
      <c r="K297" s="19" t="s">
        <v>72</v>
      </c>
      <c r="L297" s="20" t="s">
        <v>16</v>
      </c>
      <c r="M297" s="11">
        <f t="shared" si="242"/>
        <v>5.4666666666666669E-2</v>
      </c>
      <c r="N297" s="11">
        <f t="shared" si="243"/>
        <v>0.11</v>
      </c>
      <c r="O297" s="11">
        <f t="shared" si="244"/>
        <v>0.21866666666666668</v>
      </c>
      <c r="P297" s="11">
        <f t="shared" si="245"/>
        <v>0.44</v>
      </c>
      <c r="Q297" s="11">
        <f>MROUND(IF(L297 = "", IF(J297 = "", I297, IF(M297 &lt;&gt; 0, O297 / M297, P297 / N297)) * recipe12DayScale, IF(ISNA(CONVERT(O297, "kg", L297)), CONVERT(P297 * recipe12DayScale, "l", L297), CONVERT(O297 * recipe12DayScale, "kg", L297))), roundTo)</f>
        <v>1.75</v>
      </c>
      <c r="R297" s="11">
        <f>recipe12TotScale * IF(L297 = "", Q297 * M297, IF(ISNA(CONVERT(Q297, L297, "kg")), CONVERT(Q297, L297, "l") * IF(N297 &lt;&gt; 0, M297 / N297, 0), CONVERT(Q297, L297, "kg")))</f>
        <v>0.20576007234999999</v>
      </c>
      <c r="S297" s="11">
        <f>recipe12TotScale * IF(R297 = 0, IF(L297 = "", Q297 * N297, IF(ISNA(CONVERT(Q297, L297, "l")), CONVERT(Q297, L297, "kg") * IF(M297 &lt;&gt; 0, N297 / M297, 0), CONVERT(Q297, L297, "l"))), 0)</f>
        <v>0</v>
      </c>
      <c r="T297" s="11">
        <f>recipe12TotScale * IF(AND(R297 = 0, S297 = 0, J297 = "", L297 = ""), Q297, 0)</f>
        <v>0</v>
      </c>
      <c r="V297" s="8" t="b">
        <f>INDEX(itemPrepMethods, MATCH(K297, itemNames, 0))="chop"</f>
        <v>1</v>
      </c>
      <c r="W297" s="21">
        <f>IF(V297, Q297, "")</f>
        <v>1.75</v>
      </c>
      <c r="X297" s="22" t="str">
        <f>IF(V297, IF(L297 = "", "", L297), "")</f>
        <v>cup</v>
      </c>
      <c r="Y297" s="22" t="str">
        <f>IF(V297, K297, "")</f>
        <v>diced celery stalks</v>
      </c>
      <c r="Z297" s="23"/>
      <c r="AA297" s="8" t="b">
        <f>INDEX(itemPrepMethods, MATCH(K297, itemNames, 0))="soak"</f>
        <v>0</v>
      </c>
      <c r="AB297" s="22" t="str">
        <f>IF(AA297, Q297, "")</f>
        <v/>
      </c>
      <c r="AC297" s="22" t="str">
        <f>IF(AA297, IF(L297 = "", "", L297), "")</f>
        <v/>
      </c>
      <c r="AD297" s="22" t="str">
        <f>IF(AA297, K297, "")</f>
        <v/>
      </c>
    </row>
    <row r="298" spans="1:30" x14ac:dyDescent="0.25">
      <c r="A298" s="5" t="s">
        <v>21</v>
      </c>
      <c r="B298" s="16">
        <f t="shared" ref="B298" si="246">Q298</f>
        <v>1</v>
      </c>
      <c r="C298" s="4" t="str">
        <f t="shared" ref="C298" si="247">IF(L298="","",L298)</f>
        <v>tbs</v>
      </c>
      <c r="D298" s="5" t="str">
        <f>_xlfn.CONCAT(K298, U298)</f>
        <v>dried sage</v>
      </c>
      <c r="I298" s="18">
        <v>1</v>
      </c>
      <c r="J298" s="19" t="s">
        <v>15</v>
      </c>
      <c r="K298" s="19" t="s">
        <v>246</v>
      </c>
      <c r="L298" s="20" t="s">
        <v>15</v>
      </c>
      <c r="M298" s="11">
        <f t="shared" ref="M298" si="248">INDEX(itemGPerQty, MATCH(K298, itemNames, 0))</f>
        <v>3.0000000000000001E-3</v>
      </c>
      <c r="N298" s="11">
        <f t="shared" ref="N298" si="249">INDEX(itemMlPerQty, MATCH(K298, itemNames, 0))</f>
        <v>2.2180100000000001E-2</v>
      </c>
      <c r="O298" s="11">
        <f t="shared" ref="O298" si="250">IF(J298 = "", I298 * M298, IF(ISNA(CONVERT(I298, J298, "kg")), CONVERT(I298, J298, "l") * IF(N298 &lt;&gt; 0, M298 / N298, 0), CONVERT(I298, J298, "kg")))</f>
        <v>2.0000042535313184E-3</v>
      </c>
      <c r="P298" s="11">
        <f t="shared" ref="P298" si="251">IF(J298 = "", I298 * N298, IF(ISNA(CONVERT(I298, J298, "l")), CONVERT(I298, J298, "kg") * IF(M298 &lt;&gt; 0, N298 / M298, 0), CONVERT(I298, J298, "l")))</f>
        <v>1.478676478125E-2</v>
      </c>
      <c r="Q298" s="11">
        <f>MROUND(IF(L298 = "", IF(J298 = "", I298, IF(M298 &lt;&gt; 0, O298 / M298, P298 / N298)) * recipe12DayScale, IF(ISNA(CONVERT(O298, "kg", L298)), CONVERT(P298 * recipe12DayScale, "l", L298), CONVERT(O298 * recipe12DayScale, "kg", L298))), roundTo)</f>
        <v>1</v>
      </c>
      <c r="R298" s="11">
        <f>recipe12TotScale * IF(L298 = "", Q298 * M298, IF(ISNA(CONVERT(Q298, L298, "kg")), CONVERT(Q298, L298, "l") * IF(N298 &lt;&gt; 0, M298 / N298, 0), CONVERT(Q298, L298, "kg")))</f>
        <v>2.0000042535313184E-3</v>
      </c>
      <c r="S298" s="11">
        <f>recipe12TotScale * IF(R298 = 0, IF(L298 = "", Q298 * N298, IF(ISNA(CONVERT(Q298, L298, "l")), CONVERT(Q298, L298, "kg") * IF(M298 &lt;&gt; 0, N298 / M298, 0), CONVERT(Q298, L298, "l"))), 0)</f>
        <v>0</v>
      </c>
      <c r="T298" s="11">
        <f>recipe12TotScale * IF(AND(R298 = 0, S298 = 0, J298 = "", L298 = ""), Q298, 0)</f>
        <v>0</v>
      </c>
      <c r="V298" s="8" t="b">
        <f>INDEX(itemPrepMethods, MATCH(K298, itemNames, 0))="chop"</f>
        <v>0</v>
      </c>
      <c r="W298" s="21" t="str">
        <f>IF(V298, Q298, "")</f>
        <v/>
      </c>
      <c r="X298" s="22" t="str">
        <f>IF(V298, IF(L298 = "", "", L298), "")</f>
        <v/>
      </c>
      <c r="Y298" s="22" t="str">
        <f>IF(V298, K298, "")</f>
        <v/>
      </c>
      <c r="Z298" s="23"/>
      <c r="AA298" s="8" t="b">
        <f>INDEX(itemPrepMethods, MATCH(K298, itemNames, 0))="soak"</f>
        <v>0</v>
      </c>
      <c r="AB298" s="22" t="str">
        <f>IF(AA298, Q298, "")</f>
        <v/>
      </c>
      <c r="AC298" s="22" t="str">
        <f>IF(AA298, IF(L298 = "", "", L298), "")</f>
        <v/>
      </c>
      <c r="AD298" s="22" t="str">
        <f>IF(AA298, K298, "")</f>
        <v/>
      </c>
    </row>
    <row r="299" spans="1:30" x14ac:dyDescent="0.25">
      <c r="A299" s="129"/>
      <c r="B299" s="129"/>
      <c r="C299" s="129"/>
      <c r="D299" s="129"/>
      <c r="I299" s="11"/>
      <c r="W299" s="21"/>
      <c r="X299" s="22"/>
      <c r="Y299" s="22"/>
      <c r="Z299" s="23"/>
      <c r="AA299" s="30"/>
      <c r="AB299" s="21"/>
      <c r="AC299" s="21"/>
      <c r="AD299" s="21"/>
    </row>
    <row r="300" spans="1:30" x14ac:dyDescent="0.25">
      <c r="A300" s="129" t="s">
        <v>250</v>
      </c>
      <c r="B300" s="129"/>
      <c r="C300" s="129"/>
      <c r="D300" s="129"/>
      <c r="E300" s="7"/>
      <c r="F300" s="24"/>
      <c r="G300" s="24"/>
      <c r="H300" s="11"/>
      <c r="W300" s="21"/>
      <c r="X300" s="22"/>
      <c r="Y300" s="22"/>
      <c r="Z300" s="23"/>
      <c r="AA300" s="30"/>
      <c r="AB300" s="21"/>
      <c r="AC300" s="21"/>
      <c r="AD300" s="21"/>
    </row>
    <row r="301" spans="1:30" x14ac:dyDescent="0.25">
      <c r="A301" s="5" t="s">
        <v>21</v>
      </c>
      <c r="B301" s="16">
        <f t="shared" ref="B301" si="252">Q301</f>
        <v>4</v>
      </c>
      <c r="C301" s="4" t="str">
        <f t="shared" ref="C301" si="253">IF(L301="","",L301)</f>
        <v>cup</v>
      </c>
      <c r="D301" s="28" t="str">
        <f>_xlfn.CONCAT(K301, U301)</f>
        <v>tinned pasta sauce</v>
      </c>
      <c r="I301" s="18">
        <v>4</v>
      </c>
      <c r="J301" s="19" t="s">
        <v>16</v>
      </c>
      <c r="K301" s="19" t="s">
        <v>370</v>
      </c>
      <c r="L301" s="20" t="s">
        <v>16</v>
      </c>
      <c r="M301" s="11">
        <f t="shared" ref="M301" si="254">INDEX(itemGPerQty, MATCH(K301, itemNames, 0))</f>
        <v>0</v>
      </c>
      <c r="N301" s="11">
        <f t="shared" ref="N301" si="255">INDEX(itemMlPerQty, MATCH(K301, itemNames, 0))</f>
        <v>0</v>
      </c>
      <c r="O301" s="11">
        <f t="shared" ref="O301" si="256">IF(J301 = "", I301 * M301, IF(ISNA(CONVERT(I301, J301, "kg")), CONVERT(I301, J301, "l") * IF(N301 &lt;&gt; 0, M301 / N301, 0), CONVERT(I301, J301, "kg")))</f>
        <v>0</v>
      </c>
      <c r="P301" s="11">
        <f t="shared" ref="P301" si="257">IF(J301 = "", I301 * N301, IF(ISNA(CONVERT(I301, J301, "l")), CONVERT(I301, J301, "kg") * IF(M301 &lt;&gt; 0, N301 / M301, 0), CONVERT(I301, J301, "l")))</f>
        <v>0.94635294599999997</v>
      </c>
      <c r="Q301" s="11">
        <f>MROUND(IF(L301 = "", IF(J301 = "", I301, IF(M301 &lt;&gt; 0, O301 / M301, P301 / N301)) * recipe12DayScale, IF(ISNA(CONVERT(O301, "kg", L301)), CONVERT(P301 * recipe12DayScale, "l", L301), CONVERT(O301 * recipe12DayScale, "kg", L301))), roundTo)</f>
        <v>4</v>
      </c>
      <c r="R301" s="11">
        <f>recipe12TotScale * IF(L301 = "", Q301 * M301, IF(ISNA(CONVERT(Q301, L301, "kg")), CONVERT(Q301, L301, "l") * IF(N301 &lt;&gt; 0, M301 / N301, 0), CONVERT(Q301, L301, "kg")))</f>
        <v>0</v>
      </c>
      <c r="S301" s="11">
        <f>recipe12TotScale * IF(R301 = 0, IF(L301 = "", Q301 * N301, IF(ISNA(CONVERT(Q301, L301, "l")), CONVERT(Q301, L301, "kg") * IF(M301 &lt;&gt; 0, N301 / M301, 0), CONVERT(Q301, L301, "l"))), 0)</f>
        <v>0.94635294599999997</v>
      </c>
      <c r="T301" s="11">
        <f>recipe12TotScale * IF(AND(R301 = 0, S301 = 0, J301 = "", L301 = ""), Q301, 0)</f>
        <v>0</v>
      </c>
      <c r="V301" s="8" t="b">
        <f>INDEX(itemPrepMethods, MATCH(K301, itemNames, 0))="chop"</f>
        <v>0</v>
      </c>
      <c r="W301" s="21" t="str">
        <f>IF(V301, Q301, "")</f>
        <v/>
      </c>
      <c r="X301" s="22" t="str">
        <f>IF(V301, IF(L301 = "", "", L301), "")</f>
        <v/>
      </c>
      <c r="Y301" s="22" t="str">
        <f>IF(V301, K301, "")</f>
        <v/>
      </c>
      <c r="Z301" s="23"/>
      <c r="AA301" s="8" t="b">
        <f>INDEX(itemPrepMethods, MATCH(K301, itemNames, 0))="soak"</f>
        <v>0</v>
      </c>
      <c r="AB301" s="22" t="str">
        <f>IF(AA301, Q301, "")</f>
        <v/>
      </c>
      <c r="AC301" s="22" t="str">
        <f>IF(AA301, IF(L301 = "", "", L301), "")</f>
        <v/>
      </c>
      <c r="AD301" s="22" t="str">
        <f>IF(AA301, K301, "")</f>
        <v/>
      </c>
    </row>
    <row r="302" spans="1:30" x14ac:dyDescent="0.25">
      <c r="A302" s="129"/>
      <c r="B302" s="129"/>
      <c r="C302" s="129"/>
      <c r="D302" s="129"/>
      <c r="I302" s="11"/>
      <c r="W302" s="21"/>
      <c r="X302" s="22"/>
      <c r="Y302" s="22"/>
      <c r="Z302" s="23"/>
      <c r="AA302" s="30"/>
      <c r="AB302" s="21"/>
      <c r="AC302" s="21"/>
      <c r="AD302" s="21"/>
    </row>
    <row r="303" spans="1:30" x14ac:dyDescent="0.25">
      <c r="A303" s="129" t="s">
        <v>247</v>
      </c>
      <c r="B303" s="129"/>
      <c r="C303" s="129"/>
      <c r="D303" s="129"/>
      <c r="E303" s="7"/>
      <c r="F303" s="24"/>
      <c r="G303" s="24"/>
      <c r="H303" s="11"/>
      <c r="W303" s="21"/>
      <c r="X303" s="22"/>
      <c r="Y303" s="22"/>
      <c r="Z303" s="23"/>
      <c r="AA303" s="30"/>
      <c r="AB303" s="21"/>
      <c r="AC303" s="21"/>
      <c r="AD303" s="21"/>
    </row>
    <row r="304" spans="1:30" x14ac:dyDescent="0.25">
      <c r="A304" s="129"/>
      <c r="B304" s="129"/>
      <c r="C304" s="129"/>
      <c r="D304" s="129"/>
      <c r="I304" s="11"/>
      <c r="W304" s="21"/>
      <c r="X304" s="22"/>
      <c r="Y304" s="22"/>
      <c r="Z304" s="23"/>
      <c r="AA304" s="30"/>
      <c r="AB304" s="21"/>
      <c r="AC304" s="21"/>
      <c r="AD304" s="21"/>
    </row>
    <row r="305" spans="1:30" x14ac:dyDescent="0.25">
      <c r="A305" s="134" t="s">
        <v>248</v>
      </c>
      <c r="B305" s="134"/>
      <c r="C305" s="134"/>
      <c r="D305" s="134"/>
      <c r="E305" s="7"/>
      <c r="F305" s="24"/>
      <c r="G305" s="24"/>
      <c r="H305" s="11"/>
      <c r="W305" s="21"/>
      <c r="X305" s="22"/>
      <c r="Y305" s="22"/>
      <c r="Z305" s="23"/>
      <c r="AA305" s="30"/>
      <c r="AB305" s="21"/>
      <c r="AC305" s="21"/>
      <c r="AD305" s="21"/>
    </row>
    <row r="306" spans="1:30" x14ac:dyDescent="0.25">
      <c r="A306" s="129"/>
      <c r="B306" s="129"/>
      <c r="C306" s="129"/>
      <c r="D306" s="129"/>
      <c r="I306" s="11"/>
      <c r="W306" s="21"/>
      <c r="X306" s="22"/>
      <c r="Y306" s="22"/>
      <c r="Z306" s="23"/>
      <c r="AA306" s="30"/>
      <c r="AB306" s="21"/>
      <c r="AC306" s="21"/>
      <c r="AD306" s="21"/>
    </row>
    <row r="307" spans="1:30" x14ac:dyDescent="0.25">
      <c r="A307" s="129" t="s">
        <v>249</v>
      </c>
      <c r="B307" s="129"/>
      <c r="C307" s="129"/>
      <c r="D307" s="129"/>
      <c r="E307" s="7"/>
      <c r="F307" s="24"/>
      <c r="G307" s="24"/>
      <c r="H307" s="11"/>
      <c r="W307" s="21"/>
      <c r="X307" s="22"/>
      <c r="Y307" s="22"/>
      <c r="Z307" s="23"/>
      <c r="AA307" s="30"/>
      <c r="AB307" s="21"/>
      <c r="AC307" s="21"/>
      <c r="AD307" s="21"/>
    </row>
    <row r="308" spans="1:30" x14ac:dyDescent="0.25">
      <c r="A308" s="129"/>
      <c r="B308" s="129"/>
      <c r="C308" s="129"/>
      <c r="D308" s="129"/>
      <c r="I308" s="11"/>
      <c r="W308" s="21"/>
      <c r="X308" s="22"/>
      <c r="Y308" s="22"/>
      <c r="Z308" s="23"/>
      <c r="AA308" s="30"/>
      <c r="AB308" s="21"/>
      <c r="AC308" s="21"/>
      <c r="AD308" s="21"/>
    </row>
    <row r="309" spans="1:30" x14ac:dyDescent="0.25">
      <c r="A309" s="129" t="s">
        <v>77</v>
      </c>
      <c r="B309" s="129"/>
      <c r="C309" s="129"/>
      <c r="D309" s="129"/>
      <c r="E309" s="7"/>
      <c r="F309" s="24"/>
      <c r="G309" s="24"/>
      <c r="H309" s="11"/>
      <c r="W309" s="21"/>
      <c r="X309" s="22"/>
      <c r="Y309" s="22"/>
      <c r="Z309" s="23"/>
      <c r="AA309" s="30"/>
      <c r="AB309" s="21"/>
      <c r="AC309" s="21"/>
      <c r="AD309" s="21"/>
    </row>
    <row r="310" spans="1:30" x14ac:dyDescent="0.25">
      <c r="A310" s="5" t="s">
        <v>21</v>
      </c>
      <c r="B310" s="16">
        <f t="shared" ref="B310" si="258">Q310</f>
        <v>2</v>
      </c>
      <c r="C310" s="4" t="str">
        <f t="shared" ref="C310" si="259">IF(L310="","",L310)</f>
        <v>tbs</v>
      </c>
      <c r="D310" s="28" t="str">
        <f>_xlfn.CONCAT(K310, U310)</f>
        <v>sweet chili sauce</v>
      </c>
      <c r="I310" s="18">
        <v>2</v>
      </c>
      <c r="J310" s="19" t="s">
        <v>15</v>
      </c>
      <c r="K310" s="19" t="s">
        <v>251</v>
      </c>
      <c r="L310" s="20" t="s">
        <v>15</v>
      </c>
      <c r="M310" s="11">
        <f t="shared" ref="M310" si="260">INDEX(itemGPerQty, MATCH(K310, itemNames, 0))</f>
        <v>0</v>
      </c>
      <c r="N310" s="11">
        <f t="shared" ref="N310" si="261">INDEX(itemMlPerQty, MATCH(K310, itemNames, 0))</f>
        <v>0</v>
      </c>
      <c r="O310" s="11">
        <f t="shared" ref="O310" si="262">IF(J310 = "", I310 * M310, IF(ISNA(CONVERT(I310, J310, "kg")), CONVERT(I310, J310, "l") * IF(N310 &lt;&gt; 0, M310 / N310, 0), CONVERT(I310, J310, "kg")))</f>
        <v>0</v>
      </c>
      <c r="P310" s="11">
        <f t="shared" ref="P310" si="263">IF(J310 = "", I310 * N310, IF(ISNA(CONVERT(I310, J310, "l")), CONVERT(I310, J310, "kg") * IF(M310 &lt;&gt; 0, N310 / M310, 0), CONVERT(I310, J310, "l")))</f>
        <v>2.9573529562499999E-2</v>
      </c>
      <c r="Q310" s="11">
        <f>MROUND(IF(L310 = "", IF(J310 = "", I310, IF(M310 &lt;&gt; 0, O310 / M310, P310 / N310)) * recipe12DayScale, IF(ISNA(CONVERT(O310, "kg", L310)), CONVERT(P310 * recipe12DayScale, "l", L310), CONVERT(O310 * recipe12DayScale, "kg", L310))), roundTo)</f>
        <v>2</v>
      </c>
      <c r="R310" s="11">
        <f>recipe12TotScale * IF(L310 = "", Q310 * M310, IF(ISNA(CONVERT(Q310, L310, "kg")), CONVERT(Q310, L310, "l") * IF(N310 &lt;&gt; 0, M310 / N310, 0), CONVERT(Q310, L310, "kg")))</f>
        <v>0</v>
      </c>
      <c r="S310" s="11">
        <f>recipe12TotScale * IF(R310 = 0, IF(L310 = "", Q310 * N310, IF(ISNA(CONVERT(Q310, L310, "l")), CONVERT(Q310, L310, "kg") * IF(M310 &lt;&gt; 0, N310 / M310, 0), CONVERT(Q310, L310, "l"))), 0)</f>
        <v>2.9573529562499999E-2</v>
      </c>
      <c r="T310" s="11">
        <f>recipe12TotScale * IF(AND(R310 = 0, S310 = 0, J310 = "", L310 = ""), Q310, 0)</f>
        <v>0</v>
      </c>
      <c r="V310" s="8" t="b">
        <f>INDEX(itemPrepMethods, MATCH(K310, itemNames, 0))="chop"</f>
        <v>0</v>
      </c>
      <c r="W310" s="21" t="str">
        <f>IF(V310, Q310, "")</f>
        <v/>
      </c>
      <c r="X310" s="22" t="str">
        <f>IF(V310, IF(L310 = "", "", L310), "")</f>
        <v/>
      </c>
      <c r="Y310" s="22" t="str">
        <f>IF(V310, K310, "")</f>
        <v/>
      </c>
      <c r="Z310" s="23"/>
      <c r="AA310" s="8" t="b">
        <f>INDEX(itemPrepMethods, MATCH(K310, itemNames, 0))="soak"</f>
        <v>0</v>
      </c>
      <c r="AB310" s="22" t="str">
        <f>IF(AA310, Q310, "")</f>
        <v/>
      </c>
      <c r="AC310" s="22" t="str">
        <f>IF(AA310, IF(L310 = "", "", L310), "")</f>
        <v/>
      </c>
      <c r="AD310" s="22" t="str">
        <f>IF(AA310, K310, "")</f>
        <v/>
      </c>
    </row>
    <row r="311" spans="1:30" x14ac:dyDescent="0.25">
      <c r="A311" s="5" t="s">
        <v>21</v>
      </c>
      <c r="B311" s="16">
        <f t="shared" ref="B311:B312" si="264">Q311</f>
        <v>2</v>
      </c>
      <c r="C311" s="4" t="str">
        <f t="shared" ref="C311:C312" si="265">IF(L311="","",L311)</f>
        <v>tsp</v>
      </c>
      <c r="D311" s="5" t="str">
        <f>_xlfn.CONCAT(K311, U311)</f>
        <v>dijon mustard</v>
      </c>
      <c r="I311" s="18">
        <v>2</v>
      </c>
      <c r="J311" s="19" t="s">
        <v>13</v>
      </c>
      <c r="K311" s="19" t="s">
        <v>50</v>
      </c>
      <c r="L311" s="20" t="s">
        <v>13</v>
      </c>
      <c r="M311" s="11">
        <f t="shared" ref="M311:M312" si="266">INDEX(itemGPerQty, MATCH(K311, itemNames, 0))</f>
        <v>0</v>
      </c>
      <c r="N311" s="11">
        <f t="shared" ref="N311:N312" si="267">INDEX(itemMlPerQty, MATCH(K311, itemNames, 0))</f>
        <v>0</v>
      </c>
      <c r="O311" s="11">
        <f t="shared" ref="O311:O312" si="268">IF(J311 = "", I311 * M311, IF(ISNA(CONVERT(I311, J311, "kg")), CONVERT(I311, J311, "l") * IF(N311 &lt;&gt; 0, M311 / N311, 0), CONVERT(I311, J311, "kg")))</f>
        <v>0</v>
      </c>
      <c r="P311" s="11">
        <f t="shared" ref="P311:P312" si="269">IF(J311 = "", I311 * N311, IF(ISNA(CONVERT(I311, J311, "l")), CONVERT(I311, J311, "kg") * IF(M311 &lt;&gt; 0, N311 / M311, 0), CONVERT(I311, J311, "l")))</f>
        <v>9.8578431874999997E-3</v>
      </c>
      <c r="Q311" s="11">
        <f>MROUND(IF(L311 = "", IF(J311 = "", I311, IF(M311 &lt;&gt; 0, O311 / M311, P311 / N311)) * recipe12DayScale, IF(ISNA(CONVERT(O311, "kg", L311)), CONVERT(P311 * recipe12DayScale, "l", L311), CONVERT(O311 * recipe12DayScale, "kg", L311))), roundTo)</f>
        <v>2</v>
      </c>
      <c r="R311" s="11">
        <f>recipe12TotScale * IF(L311 = "", Q311 * M311, IF(ISNA(CONVERT(Q311, L311, "kg")), CONVERT(Q311, L311, "l") * IF(N311 &lt;&gt; 0, M311 / N311, 0), CONVERT(Q311, L311, "kg")))</f>
        <v>0</v>
      </c>
      <c r="S311" s="11">
        <f>recipe12TotScale * IF(R311 = 0, IF(L311 = "", Q311 * N311, IF(ISNA(CONVERT(Q311, L311, "l")), CONVERT(Q311, L311, "kg") * IF(M311 &lt;&gt; 0, N311 / M311, 0), CONVERT(Q311, L311, "l"))), 0)</f>
        <v>9.8578431874999997E-3</v>
      </c>
      <c r="T311" s="11">
        <f>recipe12TotScale * IF(AND(R311 = 0, S311 = 0, J311 = "", L311 = ""), Q311, 0)</f>
        <v>0</v>
      </c>
      <c r="V311" s="8" t="b">
        <f>INDEX(itemPrepMethods, MATCH(K311, itemNames, 0))="chop"</f>
        <v>0</v>
      </c>
      <c r="W311" s="21" t="str">
        <f>IF(V311, Q311, "")</f>
        <v/>
      </c>
      <c r="X311" s="22" t="str">
        <f>IF(V311, IF(L311 = "", "", L311), "")</f>
        <v/>
      </c>
      <c r="Y311" s="22" t="str">
        <f>IF(V311, K311, "")</f>
        <v/>
      </c>
      <c r="Z311" s="23"/>
      <c r="AA311" s="8" t="b">
        <f>INDEX(itemPrepMethods, MATCH(K311, itemNames, 0))="soak"</f>
        <v>0</v>
      </c>
      <c r="AB311" s="22" t="str">
        <f>IF(AA311, Q311, "")</f>
        <v/>
      </c>
      <c r="AC311" s="22" t="str">
        <f>IF(AA311, IF(L311 = "", "", L311), "")</f>
        <v/>
      </c>
      <c r="AD311" s="22" t="str">
        <f>IF(AA311, K311, "")</f>
        <v/>
      </c>
    </row>
    <row r="312" spans="1:30" x14ac:dyDescent="0.25">
      <c r="A312" s="5" t="s">
        <v>21</v>
      </c>
      <c r="B312" s="16">
        <f t="shared" si="264"/>
        <v>2</v>
      </c>
      <c r="C312" s="4" t="str">
        <f t="shared" si="265"/>
        <v>tsp</v>
      </c>
      <c r="D312" s="5" t="str">
        <f>_xlfn.CONCAT(K312, U312)</f>
        <v>ground turmeric</v>
      </c>
      <c r="I312" s="18">
        <v>2</v>
      </c>
      <c r="J312" s="19" t="s">
        <v>13</v>
      </c>
      <c r="K312" s="19" t="s">
        <v>266</v>
      </c>
      <c r="L312" s="20" t="s">
        <v>13</v>
      </c>
      <c r="M312" s="11">
        <f t="shared" si="266"/>
        <v>1.4E-2</v>
      </c>
      <c r="N312" s="11">
        <f t="shared" si="267"/>
        <v>2.2180100000000001E-2</v>
      </c>
      <c r="O312" s="11">
        <f t="shared" si="268"/>
        <v>6.2222354554307691E-3</v>
      </c>
      <c r="P312" s="11">
        <f t="shared" si="269"/>
        <v>9.8578431874999997E-3</v>
      </c>
      <c r="Q312" s="11">
        <f>MROUND(IF(L312 = "", IF(J312 = "", I312, IF(M312 &lt;&gt; 0, O312 / M312, P312 / N312)) * recipe12DayScale, IF(ISNA(CONVERT(O312, "kg", L312)), CONVERT(P312 * recipe12DayScale, "l", L312), CONVERT(O312 * recipe12DayScale, "kg", L312))), roundTo)</f>
        <v>2</v>
      </c>
      <c r="R312" s="11">
        <f>recipe12TotScale * IF(L312 = "", Q312 * M312, IF(ISNA(CONVERT(Q312, L312, "kg")), CONVERT(Q312, L312, "l") * IF(N312 &lt;&gt; 0, M312 / N312, 0), CONVERT(Q312, L312, "kg")))</f>
        <v>6.2222354554307691E-3</v>
      </c>
      <c r="S312" s="11">
        <f>recipe12TotScale * IF(R312 = 0, IF(L312 = "", Q312 * N312, IF(ISNA(CONVERT(Q312, L312, "l")), CONVERT(Q312, L312, "kg") * IF(M312 &lt;&gt; 0, N312 / M312, 0), CONVERT(Q312, L312, "l"))), 0)</f>
        <v>0</v>
      </c>
      <c r="T312" s="11">
        <f>recipe12TotScale * IF(AND(R312 = 0, S312 = 0, J312 = "", L312 = ""), Q312, 0)</f>
        <v>0</v>
      </c>
      <c r="V312" s="8" t="b">
        <f>INDEX(itemPrepMethods, MATCH(K312, itemNames, 0))="chop"</f>
        <v>0</v>
      </c>
      <c r="W312" s="21" t="str">
        <f>IF(V312, Q312, "")</f>
        <v/>
      </c>
      <c r="X312" s="22" t="str">
        <f>IF(V312, IF(L312 = "", "", L312), "")</f>
        <v/>
      </c>
      <c r="Y312" s="22" t="str">
        <f>IF(V312, K312, "")</f>
        <v/>
      </c>
      <c r="Z312" s="23"/>
      <c r="AA312" s="8" t="b">
        <f>INDEX(itemPrepMethods, MATCH(K312, itemNames, 0))="soak"</f>
        <v>0</v>
      </c>
      <c r="AB312" s="22" t="str">
        <f>IF(AA312, Q312, "")</f>
        <v/>
      </c>
      <c r="AC312" s="22" t="str">
        <f>IF(AA312, IF(L312 = "", "", L312), "")</f>
        <v/>
      </c>
      <c r="AD312" s="22" t="str">
        <f>IF(AA312, K312, "")</f>
        <v/>
      </c>
    </row>
    <row r="313" spans="1:30" x14ac:dyDescent="0.25">
      <c r="A313" s="5" t="s">
        <v>21</v>
      </c>
      <c r="B313" s="16">
        <f t="shared" ref="B313" si="270">Q313</f>
        <v>2</v>
      </c>
      <c r="C313" s="4" t="str">
        <f t="shared" ref="C313" si="271">IF(L313="","",L313)</f>
        <v>tsp</v>
      </c>
      <c r="D313" s="5" t="str">
        <f>_xlfn.CONCAT(K313, U313)</f>
        <v>salt</v>
      </c>
      <c r="I313" s="18">
        <v>2</v>
      </c>
      <c r="J313" s="19" t="s">
        <v>13</v>
      </c>
      <c r="K313" s="19" t="s">
        <v>11</v>
      </c>
      <c r="L313" s="20" t="s">
        <v>13</v>
      </c>
      <c r="M313" s="11">
        <f t="shared" ref="M313" si="272">INDEX(itemGPerQty, MATCH(K313, itemNames, 0))</f>
        <v>2.5000000000000001E-2</v>
      </c>
      <c r="N313" s="11">
        <f t="shared" ref="N313" si="273">INDEX(itemMlPerQty, MATCH(K313, itemNames, 0))</f>
        <v>2.2180100000000001E-2</v>
      </c>
      <c r="O313" s="11">
        <f t="shared" ref="O313" si="274">IF(J313 = "", I313 * M313, IF(ISNA(CONVERT(I313, J313, "kg")), CONVERT(I313, J313, "l") * IF(N313 &lt;&gt; 0, M313 / N313, 0), CONVERT(I313, J313, "kg")))</f>
        <v>1.111113474184066E-2</v>
      </c>
      <c r="P313" s="11">
        <f t="shared" ref="P313" si="275">IF(J313 = "", I313 * N313, IF(ISNA(CONVERT(I313, J313, "l")), CONVERT(I313, J313, "kg") * IF(M313 &lt;&gt; 0, N313 / M313, 0), CONVERT(I313, J313, "l")))</f>
        <v>9.8578431874999997E-3</v>
      </c>
      <c r="Q313" s="11">
        <f>MROUND(IF(L313 = "", IF(J313 = "", I313, IF(M313 &lt;&gt; 0, O313 / M313, P313 / N313)) * recipe12DayScale, IF(ISNA(CONVERT(O313, "kg", L313)), CONVERT(P313 * recipe12DayScale, "l", L313), CONVERT(O313 * recipe12DayScale, "kg", L313))), roundTo)</f>
        <v>2</v>
      </c>
      <c r="R313" s="11">
        <f>recipe12TotScale * IF(L313 = "", Q313 * M313, IF(ISNA(CONVERT(Q313, L313, "kg")), CONVERT(Q313, L313, "l") * IF(N313 &lt;&gt; 0, M313 / N313, 0), CONVERT(Q313, L313, "kg")))</f>
        <v>1.111113474184066E-2</v>
      </c>
      <c r="S313" s="11">
        <f>recipe12TotScale * IF(R313 = 0, IF(L313 = "", Q313 * N313, IF(ISNA(CONVERT(Q313, L313, "l")), CONVERT(Q313, L313, "kg") * IF(M313 &lt;&gt; 0, N313 / M313, 0), CONVERT(Q313, L313, "l"))), 0)</f>
        <v>0</v>
      </c>
      <c r="T313" s="11">
        <f>recipe12TotScale * IF(AND(R313 = 0, S313 = 0, J313 = "", L313 = ""), Q313, 0)</f>
        <v>0</v>
      </c>
      <c r="V313" s="8" t="b">
        <f>INDEX(itemPrepMethods, MATCH(K313, itemNames, 0))="chop"</f>
        <v>0</v>
      </c>
      <c r="W313" s="21" t="str">
        <f>IF(V313, Q313, "")</f>
        <v/>
      </c>
      <c r="X313" s="22" t="str">
        <f>IF(V313, IF(L313 = "", "", L313), "")</f>
        <v/>
      </c>
      <c r="Y313" s="22" t="str">
        <f>IF(V313, K313, "")</f>
        <v/>
      </c>
      <c r="Z313" s="23"/>
      <c r="AA313" s="8" t="b">
        <f>INDEX(itemPrepMethods, MATCH(K313, itemNames, 0))="soak"</f>
        <v>0</v>
      </c>
      <c r="AB313" s="22" t="str">
        <f>IF(AA313, Q313, "")</f>
        <v/>
      </c>
      <c r="AC313" s="22" t="str">
        <f>IF(AA313, IF(L313 = "", "", L313), "")</f>
        <v/>
      </c>
      <c r="AD313" s="22" t="str">
        <f>IF(AA313, K313, "")</f>
        <v/>
      </c>
    </row>
    <row r="314" spans="1:30" x14ac:dyDescent="0.25">
      <c r="A314" s="5" t="s">
        <v>21</v>
      </c>
      <c r="B314" s="16">
        <f t="shared" ref="B314" si="276">Q314</f>
        <v>2</v>
      </c>
      <c r="C314" s="4" t="str">
        <f t="shared" ref="C314" si="277">IF(L314="","",L314)</f>
        <v>cup</v>
      </c>
      <c r="D314" s="5" t="str">
        <f>_xlfn.CONCAT(K314, U314)</f>
        <v>soymilk</v>
      </c>
      <c r="I314" s="18">
        <v>2</v>
      </c>
      <c r="J314" s="19" t="s">
        <v>16</v>
      </c>
      <c r="K314" s="19" t="s">
        <v>252</v>
      </c>
      <c r="L314" s="20" t="s">
        <v>16</v>
      </c>
      <c r="M314" s="11">
        <f t="shared" ref="M314" si="278">INDEX(itemGPerQty, MATCH(K314, itemNames, 0))</f>
        <v>0</v>
      </c>
      <c r="N314" s="11">
        <f t="shared" ref="N314" si="279">INDEX(itemMlPerQty, MATCH(K314, itemNames, 0))</f>
        <v>0</v>
      </c>
      <c r="O314" s="11">
        <f t="shared" ref="O314" si="280">IF(J314 = "", I314 * M314, IF(ISNA(CONVERT(I314, J314, "kg")), CONVERT(I314, J314, "l") * IF(N314 &lt;&gt; 0, M314 / N314, 0), CONVERT(I314, J314, "kg")))</f>
        <v>0</v>
      </c>
      <c r="P314" s="11">
        <f t="shared" ref="P314" si="281">IF(J314 = "", I314 * N314, IF(ISNA(CONVERT(I314, J314, "l")), CONVERT(I314, J314, "kg") * IF(M314 &lt;&gt; 0, N314 / M314, 0), CONVERT(I314, J314, "l")))</f>
        <v>0.47317647299999999</v>
      </c>
      <c r="Q314" s="11">
        <f>MROUND(IF(L314 = "", IF(J314 = "", I314, IF(M314 &lt;&gt; 0, O314 / M314, P314 / N314)) * recipe12DayScale, IF(ISNA(CONVERT(O314, "kg", L314)), CONVERT(P314 * recipe12DayScale, "l", L314), CONVERT(O314 * recipe12DayScale, "kg", L314))), roundTo)</f>
        <v>2</v>
      </c>
      <c r="R314" s="11">
        <f>recipe12TotScale * IF(L314 = "", Q314 * M314, IF(ISNA(CONVERT(Q314, L314, "kg")), CONVERT(Q314, L314, "l") * IF(N314 &lt;&gt; 0, M314 / N314, 0), CONVERT(Q314, L314, "kg")))</f>
        <v>0</v>
      </c>
      <c r="S314" s="11">
        <f>recipe12TotScale * IF(R314 = 0, IF(L314 = "", Q314 * N314, IF(ISNA(CONVERT(Q314, L314, "l")), CONVERT(Q314, L314, "kg") * IF(M314 &lt;&gt; 0, N314 / M314, 0), CONVERT(Q314, L314, "l"))), 0)</f>
        <v>0.47317647299999999</v>
      </c>
      <c r="T314" s="11">
        <f>recipe12TotScale * IF(AND(R314 = 0, S314 = 0, J314 = "", L314 = ""), Q314, 0)</f>
        <v>0</v>
      </c>
      <c r="V314" s="8" t="b">
        <f>INDEX(itemPrepMethods, MATCH(K314, itemNames, 0))="chop"</f>
        <v>0</v>
      </c>
      <c r="W314" s="21" t="str">
        <f>IF(V314, Q314, "")</f>
        <v/>
      </c>
      <c r="X314" s="22" t="str">
        <f>IF(V314, IF(L314 = "", "", L314), "")</f>
        <v/>
      </c>
      <c r="Y314" s="22" t="str">
        <f>IF(V314, K314, "")</f>
        <v/>
      </c>
      <c r="Z314" s="23"/>
      <c r="AA314" s="8" t="b">
        <f>INDEX(itemPrepMethods, MATCH(K314, itemNames, 0))="soak"</f>
        <v>0</v>
      </c>
      <c r="AB314" s="22" t="str">
        <f>IF(AA314, Q314, "")</f>
        <v/>
      </c>
      <c r="AC314" s="22" t="str">
        <f>IF(AA314, IF(L314 = "", "", L314), "")</f>
        <v/>
      </c>
      <c r="AD314" s="22" t="str">
        <f>IF(AA314, K314, "")</f>
        <v/>
      </c>
    </row>
    <row r="315" spans="1:30" x14ac:dyDescent="0.25">
      <c r="A315" s="129"/>
      <c r="B315" s="129"/>
      <c r="C315" s="129"/>
      <c r="D315" s="129"/>
      <c r="I315" s="11"/>
      <c r="W315" s="30"/>
      <c r="X315" s="30"/>
      <c r="Y315" s="30"/>
      <c r="Z315" s="30"/>
      <c r="AA315" s="30"/>
      <c r="AB315" s="30"/>
      <c r="AC315" s="30"/>
      <c r="AD315" s="30"/>
    </row>
    <row r="316" spans="1:30" x14ac:dyDescent="0.25">
      <c r="A316" s="129" t="s">
        <v>253</v>
      </c>
      <c r="B316" s="129"/>
      <c r="C316" s="129"/>
      <c r="D316" s="129"/>
      <c r="E316" s="7"/>
      <c r="F316" s="24"/>
      <c r="G316" s="24"/>
      <c r="H316" s="11"/>
      <c r="W316" s="30"/>
      <c r="X316" s="30"/>
      <c r="Y316" s="30"/>
      <c r="Z316" s="30"/>
      <c r="AA316" s="30"/>
      <c r="AB316" s="30"/>
      <c r="AC316" s="30"/>
      <c r="AD316" s="30"/>
    </row>
    <row r="317" spans="1:30" x14ac:dyDescent="0.25">
      <c r="A317" s="129"/>
      <c r="B317" s="129"/>
      <c r="C317" s="129"/>
      <c r="D317" s="129"/>
      <c r="I317" s="11"/>
      <c r="W317" s="30"/>
      <c r="X317" s="30"/>
      <c r="Y317" s="30"/>
      <c r="Z317" s="30"/>
      <c r="AA317" s="30"/>
      <c r="AB317" s="30"/>
      <c r="AC317" s="30"/>
      <c r="AD317" s="30"/>
    </row>
    <row r="318" spans="1:30" x14ac:dyDescent="0.25">
      <c r="A318" s="129" t="s">
        <v>254</v>
      </c>
      <c r="B318" s="129"/>
      <c r="C318" s="129"/>
      <c r="D318" s="129"/>
      <c r="E318" s="7"/>
      <c r="F318" s="24"/>
      <c r="G318" s="24"/>
      <c r="H318" s="11"/>
    </row>
    <row r="319" spans="1:30" ht="15.75" x14ac:dyDescent="0.25">
      <c r="A319" s="130" t="s">
        <v>515</v>
      </c>
      <c r="B319" s="130"/>
      <c r="C319" s="130"/>
      <c r="D319" s="130"/>
      <c r="E319" s="7" t="s">
        <v>107</v>
      </c>
      <c r="F319" s="39" t="s">
        <v>120</v>
      </c>
      <c r="G319" s="39"/>
    </row>
    <row r="320" spans="1:30" ht="24" x14ac:dyDescent="0.2">
      <c r="A320" s="130" t="s">
        <v>28</v>
      </c>
      <c r="B320" s="130"/>
      <c r="C320" s="130"/>
      <c r="D320" s="130"/>
      <c r="E320" s="6" t="s">
        <v>39</v>
      </c>
      <c r="F320" s="37">
        <v>15</v>
      </c>
      <c r="G320" s="11"/>
      <c r="I320" s="33" t="s">
        <v>355</v>
      </c>
      <c r="J320" s="34" t="s">
        <v>356</v>
      </c>
      <c r="K320" s="34" t="s">
        <v>17</v>
      </c>
      <c r="L320" s="35" t="s">
        <v>359</v>
      </c>
      <c r="M320" s="33" t="s">
        <v>115</v>
      </c>
      <c r="N320" s="33" t="s">
        <v>116</v>
      </c>
      <c r="O320" s="33" t="s">
        <v>357</v>
      </c>
      <c r="P320" s="33" t="s">
        <v>358</v>
      </c>
      <c r="Q320" s="34" t="s">
        <v>286</v>
      </c>
      <c r="R320" s="33" t="s">
        <v>287</v>
      </c>
      <c r="S320" s="33" t="s">
        <v>288</v>
      </c>
      <c r="T320" s="33" t="s">
        <v>289</v>
      </c>
      <c r="U320" s="34" t="s">
        <v>22</v>
      </c>
      <c r="V320" s="34" t="s">
        <v>169</v>
      </c>
      <c r="W320" s="36" t="s">
        <v>286</v>
      </c>
      <c r="X320" s="34" t="s">
        <v>167</v>
      </c>
      <c r="Y320" s="34" t="s">
        <v>168</v>
      </c>
      <c r="Z320" s="34" t="s">
        <v>263</v>
      </c>
      <c r="AA320" s="34" t="s">
        <v>170</v>
      </c>
      <c r="AB320" s="36" t="s">
        <v>286</v>
      </c>
      <c r="AC320" s="34" t="s">
        <v>171</v>
      </c>
      <c r="AD320" s="34" t="s">
        <v>172</v>
      </c>
    </row>
    <row r="321" spans="1:30" ht="13.5" thickBot="1" x14ac:dyDescent="0.3">
      <c r="A321" s="131" t="str">
        <f>_xlfn.CONCAT(F321," servings")</f>
        <v>10 servings</v>
      </c>
      <c r="B321" s="131"/>
      <c r="C321" s="131"/>
      <c r="D321" s="131"/>
      <c r="E321" s="29" t="s">
        <v>281</v>
      </c>
      <c r="F321" s="37">
        <f>wkdyRegDinner</f>
        <v>10</v>
      </c>
      <c r="G321" s="11"/>
      <c r="I321" s="26"/>
      <c r="J321" s="6"/>
      <c r="K321" s="6"/>
      <c r="L321" s="27"/>
      <c r="M321" s="26"/>
      <c r="N321" s="26"/>
      <c r="O321" s="26"/>
      <c r="P321" s="26"/>
      <c r="Q321" s="6"/>
      <c r="R321" s="26"/>
      <c r="S321" s="26"/>
      <c r="T321" s="26"/>
      <c r="U321" s="6"/>
    </row>
    <row r="322" spans="1:30" s="41" customFormat="1" ht="15.75" thickBot="1" x14ac:dyDescent="0.3">
      <c r="A322" s="129"/>
      <c r="B322" s="129"/>
      <c r="C322" s="129"/>
      <c r="D322" s="129"/>
      <c r="E322" s="29" t="s">
        <v>284</v>
      </c>
      <c r="F322" s="14">
        <f>F321/F320</f>
        <v>0.66666666666666663</v>
      </c>
      <c r="G322" s="15" t="s">
        <v>310</v>
      </c>
      <c r="I322" s="26"/>
      <c r="J322" s="39"/>
      <c r="K322" s="39"/>
      <c r="L322" s="27"/>
      <c r="M322" s="26"/>
      <c r="N322" s="26"/>
      <c r="O322" s="26"/>
      <c r="P322" s="26"/>
      <c r="Q322" s="39"/>
      <c r="R322" s="26"/>
      <c r="S322" s="26"/>
      <c r="T322" s="26"/>
      <c r="U322" s="39"/>
      <c r="W322" s="12"/>
      <c r="Z322" s="13"/>
    </row>
    <row r="323" spans="1:30" ht="15.75" x14ac:dyDescent="0.25">
      <c r="A323" s="129" t="s">
        <v>133</v>
      </c>
      <c r="B323" s="129"/>
      <c r="C323" s="129"/>
      <c r="D323" s="129"/>
      <c r="E323" s="30"/>
      <c r="F323" s="30"/>
      <c r="G323" s="30"/>
      <c r="I323" s="11"/>
      <c r="W323" s="130" t="s">
        <v>521</v>
      </c>
      <c r="X323" s="130"/>
      <c r="Y323" s="130"/>
      <c r="Z323" s="130"/>
      <c r="AB323" s="130" t="s">
        <v>522</v>
      </c>
      <c r="AC323" s="130"/>
      <c r="AD323" s="130"/>
    </row>
    <row r="324" spans="1:30" ht="16.5" thickBot="1" x14ac:dyDescent="0.3">
      <c r="A324" s="129"/>
      <c r="B324" s="129"/>
      <c r="C324" s="129"/>
      <c r="D324" s="129"/>
      <c r="E324" s="29" t="s">
        <v>273</v>
      </c>
      <c r="F324" s="37">
        <f>wkdyRegDinner</f>
        <v>10</v>
      </c>
      <c r="G324" s="30"/>
      <c r="I324" s="11"/>
      <c r="W324" s="130" t="str">
        <f>A319</f>
        <v>WEDNESDAY DINNER</v>
      </c>
      <c r="X324" s="130"/>
      <c r="Y324" s="130"/>
      <c r="Z324" s="130"/>
      <c r="AA324" s="41"/>
      <c r="AB324" s="130" t="str">
        <f>A319</f>
        <v>WEDNESDAY DINNER</v>
      </c>
      <c r="AC324" s="130"/>
      <c r="AD324" s="130"/>
    </row>
    <row r="325" spans="1:30" ht="16.5" thickBot="1" x14ac:dyDescent="0.3">
      <c r="A325" s="129" t="s">
        <v>255</v>
      </c>
      <c r="B325" s="129"/>
      <c r="C325" s="129"/>
      <c r="D325" s="129"/>
      <c r="E325" s="29" t="s">
        <v>285</v>
      </c>
      <c r="F325" s="14">
        <f>F324/F321</f>
        <v>1</v>
      </c>
      <c r="G325" s="15" t="s">
        <v>311</v>
      </c>
      <c r="I325" s="11"/>
      <c r="W325" s="130" t="str">
        <f>A320</f>
        <v>CURRIED KUMARA AND CARROT SOUP</v>
      </c>
      <c r="X325" s="130"/>
      <c r="Y325" s="130"/>
      <c r="Z325" s="130"/>
      <c r="AA325" s="41"/>
      <c r="AB325" s="130" t="str">
        <f>A320</f>
        <v>CURRIED KUMARA AND CARROT SOUP</v>
      </c>
      <c r="AC325" s="130"/>
      <c r="AD325" s="130"/>
    </row>
    <row r="326" spans="1:30" x14ac:dyDescent="0.25">
      <c r="A326" s="5" t="s">
        <v>21</v>
      </c>
      <c r="B326" s="16">
        <f>Q326</f>
        <v>6</v>
      </c>
      <c r="C326" s="4" t="str">
        <f>IF(L326="","",L326)</f>
        <v/>
      </c>
      <c r="D326" s="5" t="str">
        <f>_xlfn.CONCAT(K326, U326)</f>
        <v>garlic cloves. Remove from oil once cooked</v>
      </c>
      <c r="I326" s="25">
        <v>9</v>
      </c>
      <c r="J326" s="19"/>
      <c r="K326" s="19" t="s">
        <v>8</v>
      </c>
      <c r="L326" s="20"/>
      <c r="M326" s="11">
        <f>INDEX(itemGPerQty, MATCH(K326, itemNames, 0))</f>
        <v>0</v>
      </c>
      <c r="N326" s="11">
        <f>INDEX(itemMlPerQty, MATCH(K326, itemNames, 0))</f>
        <v>0</v>
      </c>
      <c r="O326" s="11">
        <f>IF(J326 = "", I326 * M326, IF(ISNA(CONVERT(I326, J326, "kg")), CONVERT(I326, J326, "l") * IF(N326 &lt;&gt; 0, M326 / N326, 0), CONVERT(I326, J326, "kg")))</f>
        <v>0</v>
      </c>
      <c r="P326" s="11">
        <f>IF(J326 = "", I326 * N326, IF(ISNA(CONVERT(I326, J326, "l")), CONVERT(I326, J326, "kg") * IF(M326 &lt;&gt; 0, N326 / M326, 0), CONVERT(I326, J326, "l")))</f>
        <v>0</v>
      </c>
      <c r="Q326" s="11">
        <f>MROUND(IF(L326 = "", IF(J326 = "", I326, IF(M326 &lt;&gt; 0, O326 / M326, P326 / N326)) * recipe09DayScale, IF(ISNA(CONVERT(O326, "kg", L326)), CONVERT(P326 * recipe09DayScale, "l", L326), CONVERT(O326 * recipe09DayScale, "kg", L326))), roundTo)</f>
        <v>6</v>
      </c>
      <c r="R326" s="11">
        <f>recipe09TotScale * IF(L326 = "", Q326 * M326, IF(ISNA(CONVERT(Q326, L326, "kg")), CONVERT(Q326, L326, "l") * IF(N326 &lt;&gt; 0, M326 / N326, 0), CONVERT(Q326, L326, "kg")))</f>
        <v>0</v>
      </c>
      <c r="S326" s="11">
        <f>recipe09TotScale * IF(R326 = 0, IF(L326 = "", Q326 * N326, IF(ISNA(CONVERT(Q326, L326, "l")), CONVERT(Q326, L326, "kg") * IF(M326 &lt;&gt; 0, N326 / M326, 0), CONVERT(Q326, L326, "l"))), 0)</f>
        <v>0</v>
      </c>
      <c r="T326" s="11">
        <f>recipe09TotScale * IF(AND(R326 = 0, S326 = 0, J326 = "", L326 = ""), Q326, 0)</f>
        <v>6</v>
      </c>
      <c r="U326" s="8" t="s">
        <v>200</v>
      </c>
      <c r="V326" s="8" t="b">
        <f>INDEX(itemPrepMethods, MATCH(K326, itemNames, 0))="chop"</f>
        <v>0</v>
      </c>
      <c r="W326" s="21" t="str">
        <f>IF(V326, Q326, "")</f>
        <v/>
      </c>
      <c r="X326" s="22" t="str">
        <f>IF(V326, IF(L326 = "", "", L326), "")</f>
        <v/>
      </c>
      <c r="Y326" s="22" t="str">
        <f>IF(V326, K326, "")</f>
        <v/>
      </c>
      <c r="Z326" s="23"/>
      <c r="AA326" s="8" t="b">
        <f>INDEX(itemPrepMethods, MATCH(K326, itemNames, 0))="soak"</f>
        <v>0</v>
      </c>
      <c r="AB326" s="22" t="str">
        <f>IF(AA326, Q326, "")</f>
        <v/>
      </c>
      <c r="AC326" s="22" t="str">
        <f>IF(AA326, IF(L326 = "", "", L326), "")</f>
        <v/>
      </c>
      <c r="AD326" s="22" t="str">
        <f>IF(AA326, K326, "")</f>
        <v/>
      </c>
    </row>
    <row r="327" spans="1:30" x14ac:dyDescent="0.25">
      <c r="A327" s="129"/>
      <c r="B327" s="129"/>
      <c r="C327" s="129"/>
      <c r="D327" s="129"/>
      <c r="E327" s="6"/>
      <c r="F327" s="11"/>
      <c r="G327" s="11"/>
      <c r="I327" s="11"/>
      <c r="W327" s="21"/>
      <c r="X327" s="22"/>
      <c r="Y327" s="22"/>
      <c r="Z327" s="23"/>
      <c r="AA327" s="30"/>
      <c r="AB327" s="21"/>
      <c r="AC327" s="21"/>
      <c r="AD327" s="21"/>
    </row>
    <row r="328" spans="1:30" x14ac:dyDescent="0.25">
      <c r="A328" s="129" t="s">
        <v>256</v>
      </c>
      <c r="B328" s="129"/>
      <c r="C328" s="129"/>
      <c r="D328" s="129"/>
      <c r="I328" s="11"/>
      <c r="W328" s="21"/>
      <c r="X328" s="22"/>
      <c r="Y328" s="22"/>
      <c r="Z328" s="23"/>
      <c r="AA328" s="30"/>
      <c r="AB328" s="21"/>
      <c r="AC328" s="21"/>
      <c r="AD328" s="21"/>
    </row>
    <row r="329" spans="1:30" x14ac:dyDescent="0.25">
      <c r="A329" s="5" t="s">
        <v>21</v>
      </c>
      <c r="B329" s="16">
        <f t="shared" ref="B329:B333" si="282">Q329</f>
        <v>5.25</v>
      </c>
      <c r="C329" s="4" t="str">
        <f t="shared" ref="C329:C336" si="283">IF(L329="","",L329)</f>
        <v>tbs</v>
      </c>
      <c r="D329" s="5" t="str">
        <f t="shared" ref="D329:D336" si="284">_xlfn.CONCAT(K329, U329)</f>
        <v>oil</v>
      </c>
      <c r="I329" s="25">
        <v>8</v>
      </c>
      <c r="J329" s="19" t="s">
        <v>15</v>
      </c>
      <c r="K329" s="19" t="s">
        <v>32</v>
      </c>
      <c r="L329" s="20" t="s">
        <v>15</v>
      </c>
      <c r="M329" s="11">
        <f t="shared" ref="M329:M336" si="285">INDEX(itemGPerQty, MATCH(K329, itemNames, 0))</f>
        <v>0</v>
      </c>
      <c r="N329" s="11">
        <f t="shared" ref="N329:N336" si="286">INDEX(itemMlPerQty, MATCH(K329, itemNames, 0))</f>
        <v>0</v>
      </c>
      <c r="O329" s="11">
        <f t="shared" ref="O329:O336" si="287">IF(J329 = "", I329 * M329, IF(ISNA(CONVERT(I329, J329, "kg")), CONVERT(I329, J329, "l") * IF(N329 &lt;&gt; 0, M329 / N329, 0), CONVERT(I329, J329, "kg")))</f>
        <v>0</v>
      </c>
      <c r="P329" s="11">
        <f t="shared" ref="P329:P336" si="288">IF(J329 = "", I329 * N329, IF(ISNA(CONVERT(I329, J329, "l")), CONVERT(I329, J329, "kg") * IF(M329 &lt;&gt; 0, N329 / M329, 0), CONVERT(I329, J329, "l")))</f>
        <v>0.11829411825</v>
      </c>
      <c r="Q329" s="11">
        <f t="shared" ref="Q329:Q336" si="289">MROUND(IF(L329 = "", IF(J329 = "", I329, IF(M329 &lt;&gt; 0, O329 / M329, P329 / N329)) * recipe09DayScale, IF(ISNA(CONVERT(O329, "kg", L329)), CONVERT(P329 * recipe09DayScale, "l", L329), CONVERT(O329 * recipe09DayScale, "kg", L329))), roundTo)</f>
        <v>5.25</v>
      </c>
      <c r="R329" s="11">
        <f t="shared" ref="R329:R336" si="290">recipe09TotScale * IF(L329 = "", Q329 * M329, IF(ISNA(CONVERT(Q329, L329, "kg")), CONVERT(Q329, L329, "l") * IF(N329 &lt;&gt; 0, M329 / N329, 0), CONVERT(Q329, L329, "kg")))</f>
        <v>0</v>
      </c>
      <c r="S329" s="11">
        <f t="shared" ref="S329:S336" si="291">recipe09TotScale * IF(R329 = 0, IF(L329 = "", Q329 * N329, IF(ISNA(CONVERT(Q329, L329, "l")), CONVERT(Q329, L329, "kg") * IF(M329 &lt;&gt; 0, N329 / M329, 0), CONVERT(Q329, L329, "l"))), 0)</f>
        <v>7.7630515101562492E-2</v>
      </c>
      <c r="T329" s="11">
        <f t="shared" ref="T329:T336" si="292">recipe09TotScale * IF(AND(R329 = 0, S329 = 0, J329 = "", L329 = ""), Q329, 0)</f>
        <v>0</v>
      </c>
      <c r="V329" s="8" t="b">
        <f t="shared" ref="V329:V336" si="293">INDEX(itemPrepMethods, MATCH(K329, itemNames, 0))="chop"</f>
        <v>0</v>
      </c>
      <c r="W329" s="21" t="str">
        <f t="shared" ref="W329:W336" si="294">IF(V329, Q329, "")</f>
        <v/>
      </c>
      <c r="X329" s="22" t="str">
        <f t="shared" ref="X329:X336" si="295">IF(V329, IF(L329 = "", "", L329), "")</f>
        <v/>
      </c>
      <c r="Y329" s="22" t="str">
        <f t="shared" ref="Y329:Y336" si="296">IF(V329, K329, "")</f>
        <v/>
      </c>
      <c r="Z329" s="23"/>
      <c r="AA329" s="8" t="b">
        <f t="shared" ref="AA329:AA336" si="297">INDEX(itemPrepMethods, MATCH(K329, itemNames, 0))="soak"</f>
        <v>0</v>
      </c>
      <c r="AB329" s="22" t="str">
        <f t="shared" ref="AB329:AB336" si="298">IF(AA329, Q329, "")</f>
        <v/>
      </c>
      <c r="AC329" s="22" t="str">
        <f t="shared" ref="AC329:AC336" si="299">IF(AA329, IF(L329 = "", "", L329), "")</f>
        <v/>
      </c>
      <c r="AD329" s="22" t="str">
        <f t="shared" ref="AD329:AD336" si="300">IF(AA329, K329, "")</f>
        <v/>
      </c>
    </row>
    <row r="330" spans="1:30" x14ac:dyDescent="0.25">
      <c r="A330" s="5" t="s">
        <v>21</v>
      </c>
      <c r="B330" s="16">
        <f t="shared" si="282"/>
        <v>4</v>
      </c>
      <c r="C330" s="4" t="str">
        <f t="shared" si="283"/>
        <v>tbs</v>
      </c>
      <c r="D330" s="5" t="str">
        <f t="shared" si="284"/>
        <v>minced fresh ginger</v>
      </c>
      <c r="I330" s="25">
        <v>6</v>
      </c>
      <c r="J330" s="19" t="s">
        <v>15</v>
      </c>
      <c r="K330" s="19" t="s">
        <v>188</v>
      </c>
      <c r="L330" s="20" t="s">
        <v>15</v>
      </c>
      <c r="M330" s="11">
        <f t="shared" si="285"/>
        <v>2.4E-2</v>
      </c>
      <c r="N330" s="11">
        <f t="shared" si="286"/>
        <v>3.4501958300000003E-2</v>
      </c>
      <c r="O330" s="11">
        <f t="shared" si="287"/>
        <v>6.1715167295301021E-2</v>
      </c>
      <c r="P330" s="11">
        <f t="shared" si="288"/>
        <v>8.872058868749999E-2</v>
      </c>
      <c r="Q330" s="11">
        <f t="shared" si="289"/>
        <v>4</v>
      </c>
      <c r="R330" s="11">
        <f t="shared" si="290"/>
        <v>4.1143444863534016E-2</v>
      </c>
      <c r="S330" s="11">
        <f t="shared" si="291"/>
        <v>0</v>
      </c>
      <c r="T330" s="11">
        <f t="shared" si="292"/>
        <v>0</v>
      </c>
      <c r="V330" s="8" t="b">
        <f t="shared" si="293"/>
        <v>1</v>
      </c>
      <c r="W330" s="21">
        <f t="shared" si="294"/>
        <v>4</v>
      </c>
      <c r="X330" s="22" t="str">
        <f t="shared" si="295"/>
        <v>tbs</v>
      </c>
      <c r="Y330" s="22" t="str">
        <f t="shared" si="296"/>
        <v>minced fresh ginger</v>
      </c>
      <c r="Z330" s="23"/>
      <c r="AA330" s="8" t="b">
        <f t="shared" si="297"/>
        <v>0</v>
      </c>
      <c r="AB330" s="22" t="str">
        <f t="shared" si="298"/>
        <v/>
      </c>
      <c r="AC330" s="22" t="str">
        <f t="shared" si="299"/>
        <v/>
      </c>
      <c r="AD330" s="22" t="str">
        <f t="shared" si="300"/>
        <v/>
      </c>
    </row>
    <row r="331" spans="1:30" x14ac:dyDescent="0.25">
      <c r="A331" s="5" t="s">
        <v>21</v>
      </c>
      <c r="B331" s="16">
        <f t="shared" si="282"/>
        <v>6.25</v>
      </c>
      <c r="C331" s="4" t="str">
        <f t="shared" si="283"/>
        <v>cup</v>
      </c>
      <c r="D331" s="5" t="str">
        <f t="shared" si="284"/>
        <v>chopped celery stalks</v>
      </c>
      <c r="I331" s="25">
        <v>11</v>
      </c>
      <c r="J331" s="19"/>
      <c r="K331" s="19" t="s">
        <v>122</v>
      </c>
      <c r="L331" s="20" t="s">
        <v>16</v>
      </c>
      <c r="M331" s="11">
        <f t="shared" si="285"/>
        <v>0.1045</v>
      </c>
      <c r="N331" s="11">
        <f t="shared" si="286"/>
        <v>0.2</v>
      </c>
      <c r="O331" s="11">
        <f t="shared" si="287"/>
        <v>1.1495</v>
      </c>
      <c r="P331" s="11">
        <f t="shared" si="288"/>
        <v>2.2000000000000002</v>
      </c>
      <c r="Q331" s="11">
        <f t="shared" si="289"/>
        <v>6.25</v>
      </c>
      <c r="R331" s="11">
        <f t="shared" si="290"/>
        <v>0.77260845982031245</v>
      </c>
      <c r="S331" s="11">
        <f t="shared" si="291"/>
        <v>0</v>
      </c>
      <c r="T331" s="11">
        <f t="shared" si="292"/>
        <v>0</v>
      </c>
      <c r="V331" s="8" t="b">
        <f t="shared" si="293"/>
        <v>1</v>
      </c>
      <c r="W331" s="21">
        <f t="shared" si="294"/>
        <v>6.25</v>
      </c>
      <c r="X331" s="22" t="str">
        <f t="shared" si="295"/>
        <v>cup</v>
      </c>
      <c r="Y331" s="22" t="str">
        <f t="shared" si="296"/>
        <v>chopped celery stalks</v>
      </c>
      <c r="Z331" s="23"/>
      <c r="AA331" s="8" t="b">
        <f t="shared" si="297"/>
        <v>0</v>
      </c>
      <c r="AB331" s="22" t="str">
        <f t="shared" si="298"/>
        <v/>
      </c>
      <c r="AC331" s="22" t="str">
        <f t="shared" si="299"/>
        <v/>
      </c>
      <c r="AD331" s="22" t="str">
        <f t="shared" si="300"/>
        <v/>
      </c>
    </row>
    <row r="332" spans="1:30" x14ac:dyDescent="0.25">
      <c r="A332" s="5" t="s">
        <v>21</v>
      </c>
      <c r="B332" s="16">
        <f t="shared" si="282"/>
        <v>0.75</v>
      </c>
      <c r="C332" s="4" t="str">
        <f t="shared" si="283"/>
        <v>tbs</v>
      </c>
      <c r="D332" s="5" t="str">
        <f t="shared" si="284"/>
        <v>curry powder</v>
      </c>
      <c r="I332" s="25">
        <v>1</v>
      </c>
      <c r="J332" s="19" t="s">
        <v>15</v>
      </c>
      <c r="K332" s="19" t="s">
        <v>9</v>
      </c>
      <c r="L332" s="20" t="s">
        <v>15</v>
      </c>
      <c r="M332" s="11">
        <f t="shared" si="285"/>
        <v>1.2E-2</v>
      </c>
      <c r="N332" s="11">
        <f t="shared" si="286"/>
        <v>2.2180100000000001E-2</v>
      </c>
      <c r="O332" s="11">
        <f t="shared" si="287"/>
        <v>8.0000170141252738E-3</v>
      </c>
      <c r="P332" s="11">
        <f t="shared" si="288"/>
        <v>1.478676478125E-2</v>
      </c>
      <c r="Q332" s="11">
        <f t="shared" si="289"/>
        <v>0.75</v>
      </c>
      <c r="R332" s="11">
        <f t="shared" si="290"/>
        <v>6.0000127605939558E-3</v>
      </c>
      <c r="S332" s="11">
        <f t="shared" si="291"/>
        <v>0</v>
      </c>
      <c r="T332" s="11">
        <f t="shared" si="292"/>
        <v>0</v>
      </c>
      <c r="V332" s="8" t="b">
        <f t="shared" si="293"/>
        <v>0</v>
      </c>
      <c r="W332" s="21" t="str">
        <f t="shared" si="294"/>
        <v/>
      </c>
      <c r="X332" s="22" t="str">
        <f t="shared" si="295"/>
        <v/>
      </c>
      <c r="Y332" s="22" t="str">
        <f t="shared" si="296"/>
        <v/>
      </c>
      <c r="Z332" s="23"/>
      <c r="AA332" s="8" t="b">
        <f t="shared" si="297"/>
        <v>0</v>
      </c>
      <c r="AB332" s="22" t="str">
        <f t="shared" si="298"/>
        <v/>
      </c>
      <c r="AC332" s="22" t="str">
        <f t="shared" si="299"/>
        <v/>
      </c>
      <c r="AD332" s="22" t="str">
        <f t="shared" si="300"/>
        <v/>
      </c>
    </row>
    <row r="333" spans="1:30" x14ac:dyDescent="0.25">
      <c r="A333" s="5" t="s">
        <v>21</v>
      </c>
      <c r="B333" s="16">
        <f t="shared" si="282"/>
        <v>1.25</v>
      </c>
      <c r="C333" s="4" t="str">
        <f t="shared" si="283"/>
        <v>tbs</v>
      </c>
      <c r="D333" s="5" t="str">
        <f t="shared" si="284"/>
        <v>ground cumin</v>
      </c>
      <c r="I333" s="25">
        <v>2</v>
      </c>
      <c r="J333" s="19" t="s">
        <v>15</v>
      </c>
      <c r="K333" s="19" t="s">
        <v>14</v>
      </c>
      <c r="L333" s="20" t="s">
        <v>15</v>
      </c>
      <c r="M333" s="11">
        <f t="shared" si="285"/>
        <v>1.0999999999999999E-2</v>
      </c>
      <c r="N333" s="11">
        <f t="shared" si="286"/>
        <v>2.2180100000000001E-2</v>
      </c>
      <c r="O333" s="11">
        <f t="shared" si="287"/>
        <v>1.4666697859229668E-2</v>
      </c>
      <c r="P333" s="11">
        <f t="shared" si="288"/>
        <v>2.9573529562499999E-2</v>
      </c>
      <c r="Q333" s="11">
        <f t="shared" si="289"/>
        <v>1.25</v>
      </c>
      <c r="R333" s="11">
        <f t="shared" si="290"/>
        <v>9.166686162018543E-3</v>
      </c>
      <c r="S333" s="11">
        <f t="shared" si="291"/>
        <v>0</v>
      </c>
      <c r="T333" s="11">
        <f t="shared" si="292"/>
        <v>0</v>
      </c>
      <c r="V333" s="8" t="b">
        <f t="shared" si="293"/>
        <v>0</v>
      </c>
      <c r="W333" s="21" t="str">
        <f t="shared" si="294"/>
        <v/>
      </c>
      <c r="X333" s="22" t="str">
        <f t="shared" si="295"/>
        <v/>
      </c>
      <c r="Y333" s="22" t="str">
        <f t="shared" si="296"/>
        <v/>
      </c>
      <c r="Z333" s="23"/>
      <c r="AA333" s="8" t="b">
        <f t="shared" si="297"/>
        <v>0</v>
      </c>
      <c r="AB333" s="22" t="str">
        <f t="shared" si="298"/>
        <v/>
      </c>
      <c r="AC333" s="22" t="str">
        <f t="shared" si="299"/>
        <v/>
      </c>
      <c r="AD333" s="22" t="str">
        <f t="shared" si="300"/>
        <v/>
      </c>
    </row>
    <row r="334" spans="1:30" x14ac:dyDescent="0.25">
      <c r="A334" s="5" t="s">
        <v>21</v>
      </c>
      <c r="B334" s="16">
        <f t="shared" ref="B334" si="301">Q334</f>
        <v>1.25</v>
      </c>
      <c r="C334" s="4" t="str">
        <f t="shared" si="283"/>
        <v>tbs</v>
      </c>
      <c r="D334" s="5" t="str">
        <f t="shared" si="284"/>
        <v>ground coriander</v>
      </c>
      <c r="I334" s="25">
        <v>2</v>
      </c>
      <c r="J334" s="19" t="s">
        <v>15</v>
      </c>
      <c r="K334" s="19" t="s">
        <v>525</v>
      </c>
      <c r="L334" s="20" t="s">
        <v>15</v>
      </c>
      <c r="M334" s="11">
        <f t="shared" si="285"/>
        <v>1.0999999999999999E-2</v>
      </c>
      <c r="N334" s="11">
        <f t="shared" si="286"/>
        <v>2.2180100000000001E-2</v>
      </c>
      <c r="O334" s="11">
        <f t="shared" si="287"/>
        <v>1.4666697859229668E-2</v>
      </c>
      <c r="P334" s="11">
        <f t="shared" si="288"/>
        <v>2.9573529562499999E-2</v>
      </c>
      <c r="Q334" s="11">
        <f t="shared" si="289"/>
        <v>1.25</v>
      </c>
      <c r="R334" s="11">
        <f t="shared" si="290"/>
        <v>9.166686162018543E-3</v>
      </c>
      <c r="S334" s="11">
        <f t="shared" si="291"/>
        <v>0</v>
      </c>
      <c r="T334" s="11">
        <f t="shared" si="292"/>
        <v>0</v>
      </c>
      <c r="V334" s="8" t="b">
        <f t="shared" si="293"/>
        <v>0</v>
      </c>
      <c r="W334" s="21" t="str">
        <f t="shared" si="294"/>
        <v/>
      </c>
      <c r="X334" s="22" t="str">
        <f t="shared" si="295"/>
        <v/>
      </c>
      <c r="Y334" s="22" t="str">
        <f t="shared" si="296"/>
        <v/>
      </c>
      <c r="Z334" s="23"/>
      <c r="AA334" s="8" t="b">
        <f t="shared" si="297"/>
        <v>0</v>
      </c>
      <c r="AB334" s="22" t="str">
        <f t="shared" si="298"/>
        <v/>
      </c>
      <c r="AC334" s="22" t="str">
        <f t="shared" si="299"/>
        <v/>
      </c>
      <c r="AD334" s="22" t="str">
        <f t="shared" si="300"/>
        <v/>
      </c>
    </row>
    <row r="335" spans="1:30" x14ac:dyDescent="0.25">
      <c r="A335" s="5" t="s">
        <v>21</v>
      </c>
      <c r="B335" s="16">
        <f t="shared" ref="B335:B336" si="302">Q335</f>
        <v>2.75</v>
      </c>
      <c r="C335" s="4" t="str">
        <f t="shared" si="283"/>
        <v>tbs</v>
      </c>
      <c r="D335" s="5" t="str">
        <f t="shared" si="284"/>
        <v>ground turmeric</v>
      </c>
      <c r="I335" s="25">
        <v>4</v>
      </c>
      <c r="J335" s="19" t="s">
        <v>15</v>
      </c>
      <c r="K335" s="19" t="s">
        <v>266</v>
      </c>
      <c r="L335" s="20" t="s">
        <v>15</v>
      </c>
      <c r="M335" s="11">
        <f t="shared" si="285"/>
        <v>1.4E-2</v>
      </c>
      <c r="N335" s="11">
        <f t="shared" si="286"/>
        <v>2.2180100000000001E-2</v>
      </c>
      <c r="O335" s="11">
        <f t="shared" si="287"/>
        <v>3.7333412732584614E-2</v>
      </c>
      <c r="P335" s="11">
        <f t="shared" si="288"/>
        <v>5.9147059124999998E-2</v>
      </c>
      <c r="Q335" s="11">
        <f t="shared" si="289"/>
        <v>2.75</v>
      </c>
      <c r="R335" s="11">
        <f t="shared" si="290"/>
        <v>2.5666721253651922E-2</v>
      </c>
      <c r="S335" s="11">
        <f t="shared" si="291"/>
        <v>0</v>
      </c>
      <c r="T335" s="11">
        <f t="shared" si="292"/>
        <v>0</v>
      </c>
      <c r="V335" s="8" t="b">
        <f t="shared" si="293"/>
        <v>0</v>
      </c>
      <c r="W335" s="21" t="str">
        <f t="shared" si="294"/>
        <v/>
      </c>
      <c r="X335" s="22" t="str">
        <f t="shared" si="295"/>
        <v/>
      </c>
      <c r="Y335" s="22" t="str">
        <f t="shared" si="296"/>
        <v/>
      </c>
      <c r="Z335" s="23"/>
      <c r="AA335" s="8" t="b">
        <f t="shared" si="297"/>
        <v>0</v>
      </c>
      <c r="AB335" s="22" t="str">
        <f t="shared" si="298"/>
        <v/>
      </c>
      <c r="AC335" s="22" t="str">
        <f t="shared" si="299"/>
        <v/>
      </c>
      <c r="AD335" s="22" t="str">
        <f t="shared" si="300"/>
        <v/>
      </c>
    </row>
    <row r="336" spans="1:30" x14ac:dyDescent="0.25">
      <c r="A336" s="5" t="s">
        <v>21</v>
      </c>
      <c r="B336" s="16">
        <f t="shared" si="302"/>
        <v>0.5</v>
      </c>
      <c r="C336" s="4" t="str">
        <f t="shared" si="283"/>
        <v>tbs</v>
      </c>
      <c r="D336" s="5" t="str">
        <f t="shared" si="284"/>
        <v>cinnamon</v>
      </c>
      <c r="I336" s="25">
        <v>0.8</v>
      </c>
      <c r="J336" s="19" t="s">
        <v>15</v>
      </c>
      <c r="K336" s="19" t="s">
        <v>76</v>
      </c>
      <c r="L336" s="20" t="s">
        <v>15</v>
      </c>
      <c r="M336" s="11">
        <f t="shared" si="285"/>
        <v>1.0999999999999999E-2</v>
      </c>
      <c r="N336" s="11">
        <f t="shared" si="286"/>
        <v>2.2180100000000001E-2</v>
      </c>
      <c r="O336" s="11">
        <f t="shared" si="287"/>
        <v>5.8666791436918679E-3</v>
      </c>
      <c r="P336" s="11">
        <f t="shared" si="288"/>
        <v>1.1829411825E-2</v>
      </c>
      <c r="Q336" s="11">
        <f t="shared" si="289"/>
        <v>0.5</v>
      </c>
      <c r="R336" s="11">
        <f t="shared" si="290"/>
        <v>3.6666744648074169E-3</v>
      </c>
      <c r="S336" s="11">
        <f t="shared" si="291"/>
        <v>0</v>
      </c>
      <c r="T336" s="11">
        <f t="shared" si="292"/>
        <v>0</v>
      </c>
      <c r="V336" s="8" t="b">
        <f t="shared" si="293"/>
        <v>0</v>
      </c>
      <c r="W336" s="21" t="str">
        <f t="shared" si="294"/>
        <v/>
      </c>
      <c r="X336" s="22" t="str">
        <f t="shared" si="295"/>
        <v/>
      </c>
      <c r="Y336" s="22" t="str">
        <f t="shared" si="296"/>
        <v/>
      </c>
      <c r="Z336" s="23"/>
      <c r="AA336" s="8" t="b">
        <f t="shared" si="297"/>
        <v>0</v>
      </c>
      <c r="AB336" s="22" t="str">
        <f t="shared" si="298"/>
        <v/>
      </c>
      <c r="AC336" s="22" t="str">
        <f t="shared" si="299"/>
        <v/>
      </c>
      <c r="AD336" s="22" t="str">
        <f t="shared" si="300"/>
        <v/>
      </c>
    </row>
    <row r="337" spans="1:30" x14ac:dyDescent="0.25">
      <c r="A337" s="129"/>
      <c r="B337" s="129"/>
      <c r="C337" s="129"/>
      <c r="D337" s="129"/>
      <c r="I337" s="26"/>
      <c r="J337" s="24"/>
      <c r="K337" s="24"/>
      <c r="L337" s="24"/>
      <c r="M337" s="24"/>
      <c r="N337" s="24"/>
      <c r="O337" s="24"/>
      <c r="P337" s="24"/>
      <c r="W337" s="21"/>
      <c r="X337" s="22"/>
      <c r="Y337" s="22"/>
      <c r="Z337" s="23"/>
      <c r="AA337" s="30"/>
      <c r="AB337" s="21"/>
      <c r="AC337" s="21"/>
      <c r="AD337" s="21"/>
    </row>
    <row r="338" spans="1:30" x14ac:dyDescent="0.25">
      <c r="A338" s="129" t="s">
        <v>123</v>
      </c>
      <c r="B338" s="129"/>
      <c r="C338" s="129"/>
      <c r="D338" s="129"/>
      <c r="I338" s="11"/>
      <c r="L338" s="8"/>
      <c r="M338" s="8"/>
      <c r="N338" s="8"/>
      <c r="W338" s="21"/>
      <c r="X338" s="22"/>
      <c r="Y338" s="22"/>
      <c r="Z338" s="23"/>
      <c r="AA338" s="30"/>
      <c r="AB338" s="21"/>
      <c r="AC338" s="21"/>
      <c r="AD338" s="21"/>
    </row>
    <row r="339" spans="1:30" x14ac:dyDescent="0.25">
      <c r="A339" s="5" t="s">
        <v>21</v>
      </c>
      <c r="B339" s="16">
        <f t="shared" ref="B339:B341" si="303">Q339</f>
        <v>6</v>
      </c>
      <c r="C339" s="4" t="str">
        <f>IF(L339="","",L339)</f>
        <v>cup</v>
      </c>
      <c r="D339" s="5" t="str">
        <f>_xlfn.CONCAT(K339, U339)</f>
        <v>vegetable stock. This soup is thick so DON'T ADD TOO MUCH</v>
      </c>
      <c r="I339" s="25">
        <v>9</v>
      </c>
      <c r="J339" s="19" t="s">
        <v>16</v>
      </c>
      <c r="K339" s="19" t="s">
        <v>40</v>
      </c>
      <c r="L339" s="20" t="s">
        <v>16</v>
      </c>
      <c r="M339" s="11">
        <f>INDEX(itemGPerQty, MATCH(K339, itemNames, 0))</f>
        <v>0</v>
      </c>
      <c r="N339" s="11">
        <f>INDEX(itemMlPerQty, MATCH(K339, itemNames, 0))</f>
        <v>0</v>
      </c>
      <c r="O339" s="11">
        <f t="shared" ref="O339:O342" si="304">IF(J339 = "", I339 * M339, IF(ISNA(CONVERT(I339, J339, "kg")), CONVERT(I339, J339, "l") * IF(N339 &lt;&gt; 0, M339 / N339, 0), CONVERT(I339, J339, "kg")))</f>
        <v>0</v>
      </c>
      <c r="P339" s="11">
        <f t="shared" ref="P339:P342" si="305">IF(J339 = "", I339 * N339, IF(ISNA(CONVERT(I339, J339, "l")), CONVERT(I339, J339, "kg") * IF(M339 &lt;&gt; 0, N339 / M339, 0), CONVERT(I339, J339, "l")))</f>
        <v>2.1292941284999998</v>
      </c>
      <c r="Q339" s="11">
        <f>MROUND(IF(L339 = "", IF(J339 = "", I339, IF(M339 &lt;&gt; 0, O339 / M339, P339 / N339)) * recipe09DayScale, IF(ISNA(CONVERT(O339, "kg", L339)), CONVERT(P339 * recipe09DayScale, "l", L339), CONVERT(O339 * recipe09DayScale, "kg", L339))), roundTo)</f>
        <v>6</v>
      </c>
      <c r="R339" s="11">
        <f>recipe09TotScale * IF(L339 = "", Q339 * M339, IF(ISNA(CONVERT(Q339, L339, "kg")), CONVERT(Q339, L339, "l") * IF(N339 &lt;&gt; 0, M339 / N339, 0), CONVERT(Q339, L339, "kg")))</f>
        <v>0</v>
      </c>
      <c r="S339" s="11">
        <f>recipe09TotScale * IF(R339 = 0, IF(L339 = "", Q339 * N339, IF(ISNA(CONVERT(Q339, L339, "l")), CONVERT(Q339, L339, "kg") * IF(M339 &lt;&gt; 0, N339 / M339, 0), CONVERT(Q339, L339, "l"))), 0)</f>
        <v>1.4195294189999998</v>
      </c>
      <c r="T339" s="11">
        <f>recipe09TotScale * IF(AND(R339 = 0, S339 = 0, J339 = "", L339 = ""), Q339, 0)</f>
        <v>0</v>
      </c>
      <c r="U339" s="8" t="s">
        <v>257</v>
      </c>
      <c r="V339" s="8" t="b">
        <f>INDEX(itemPrepMethods, MATCH(K339, itemNames, 0))="chop"</f>
        <v>0</v>
      </c>
      <c r="W339" s="21" t="str">
        <f>IF(V339, Q339, "")</f>
        <v/>
      </c>
      <c r="X339" s="22" t="str">
        <f>IF(V339, IF(L339 = "", "", L339), "")</f>
        <v/>
      </c>
      <c r="Y339" s="22" t="str">
        <f>IF(V339, K339, "")</f>
        <v/>
      </c>
      <c r="Z339" s="23"/>
      <c r="AA339" s="8" t="b">
        <f>INDEX(itemPrepMethods, MATCH(K339, itemNames, 0))="soak"</f>
        <v>0</v>
      </c>
      <c r="AB339" s="22" t="str">
        <f>IF(AA339, Q339, "")</f>
        <v/>
      </c>
      <c r="AC339" s="22" t="str">
        <f>IF(AA339, IF(L339 = "", "", L339), "")</f>
        <v/>
      </c>
      <c r="AD339" s="22" t="str">
        <f>IF(AA339, K339, "")</f>
        <v/>
      </c>
    </row>
    <row r="340" spans="1:30" x14ac:dyDescent="0.25">
      <c r="A340" s="5" t="s">
        <v>21</v>
      </c>
      <c r="B340" s="16">
        <f t="shared" si="303"/>
        <v>4.5</v>
      </c>
      <c r="C340" s="4" t="str">
        <f>IF(L340="","",L340)</f>
        <v>cup</v>
      </c>
      <c r="D340" s="5" t="str">
        <f>_xlfn.CONCAT(K340, U340)</f>
        <v>chopped carrots</v>
      </c>
      <c r="I340" s="25">
        <v>8</v>
      </c>
      <c r="J340" s="19"/>
      <c r="K340" s="19" t="s">
        <v>5</v>
      </c>
      <c r="L340" s="20" t="s">
        <v>16</v>
      </c>
      <c r="M340" s="11">
        <f>INDEX(itemGPerQty, MATCH(K340, itemNames, 0))</f>
        <v>0.14833333333333334</v>
      </c>
      <c r="N340" s="11">
        <f>INDEX(itemMlPerQty, MATCH(K340, itemNames, 0))</f>
        <v>0.19999999999999998</v>
      </c>
      <c r="O340" s="11">
        <f t="shared" si="304"/>
        <v>1.1866666666666668</v>
      </c>
      <c r="P340" s="11">
        <f t="shared" si="305"/>
        <v>1.5999999999999999</v>
      </c>
      <c r="Q340" s="11">
        <f>MROUND(IF(L340 = "", IF(J340 = "", I340, IF(M340 &lt;&gt; 0, O340 / M340, P340 / N340)) * recipe09DayScale, IF(ISNA(CONVERT(O340, "kg", L340)), CONVERT(P340 * recipe09DayScale, "l", L340), CONVERT(O340 * recipe09DayScale, "kg", L340))), roundTo)</f>
        <v>4.5</v>
      </c>
      <c r="R340" s="11">
        <f>recipe09TotScale * IF(L340 = "", Q340 * M340, IF(ISNA(CONVERT(Q340, L340, "kg")), CONVERT(Q340, L340, "l") * IF(N340 &lt;&gt; 0, M340 / N340, 0), CONVERT(Q340, L340, "kg")))</f>
        <v>0.78961323931875005</v>
      </c>
      <c r="S340" s="11">
        <f>recipe09TotScale * IF(R340 = 0, IF(L340 = "", Q340 * N340, IF(ISNA(CONVERT(Q340, L340, "l")), CONVERT(Q340, L340, "kg") * IF(M340 &lt;&gt; 0, N340 / M340, 0), CONVERT(Q340, L340, "l"))), 0)</f>
        <v>0</v>
      </c>
      <c r="T340" s="11">
        <f>recipe09TotScale * IF(AND(R340 = 0, S340 = 0, J340 = "", L340 = ""), Q340, 0)</f>
        <v>0</v>
      </c>
      <c r="V340" s="8" t="b">
        <f>INDEX(itemPrepMethods, MATCH(K340, itemNames, 0))="chop"</f>
        <v>1</v>
      </c>
      <c r="W340" s="21">
        <f>IF(V340, Q340, "")</f>
        <v>4.5</v>
      </c>
      <c r="X340" s="22" t="str">
        <f>IF(V340, IF(L340 = "", "", L340), "")</f>
        <v>cup</v>
      </c>
      <c r="Y340" s="22" t="str">
        <f>IF(V340, K340, "")</f>
        <v>chopped carrots</v>
      </c>
      <c r="Z340" s="23"/>
      <c r="AA340" s="8" t="b">
        <f>INDEX(itemPrepMethods, MATCH(K340, itemNames, 0))="soak"</f>
        <v>0</v>
      </c>
      <c r="AB340" s="22" t="str">
        <f>IF(AA340, Q340, "")</f>
        <v/>
      </c>
      <c r="AC340" s="22" t="str">
        <f>IF(AA340, IF(L340 = "", "", L340), "")</f>
        <v/>
      </c>
      <c r="AD340" s="22" t="str">
        <f>IF(AA340, K340, "")</f>
        <v/>
      </c>
    </row>
    <row r="341" spans="1:30" x14ac:dyDescent="0.25">
      <c r="A341" s="5" t="s">
        <v>21</v>
      </c>
      <c r="B341" s="16">
        <f t="shared" si="303"/>
        <v>8</v>
      </c>
      <c r="C341" s="4" t="str">
        <f>IF(L341="","",L341)</f>
        <v>cup</v>
      </c>
      <c r="D341" s="5" t="str">
        <f>_xlfn.CONCAT(K341, U341)</f>
        <v>chopped kumara</v>
      </c>
      <c r="I341" s="25">
        <v>5</v>
      </c>
      <c r="J341" s="19"/>
      <c r="K341" s="19" t="s">
        <v>124</v>
      </c>
      <c r="L341" s="20" t="s">
        <v>16</v>
      </c>
      <c r="M341" s="11">
        <f>INDEX(itemGPerQty, MATCH(K341, itemNames, 0))</f>
        <v>0.30149999999999999</v>
      </c>
      <c r="N341" s="11">
        <f>INDEX(itemMlPerQty, MATCH(K341, itemNames, 0))</f>
        <v>0.57499999999999996</v>
      </c>
      <c r="O341" s="11">
        <f t="shared" si="304"/>
        <v>1.5074999999999998</v>
      </c>
      <c r="P341" s="11">
        <f t="shared" si="305"/>
        <v>2.875</v>
      </c>
      <c r="Q341" s="11">
        <f>MROUND(IF(L341 = "", IF(J341 = "", I341, IF(M341 &lt;&gt; 0, O341 / M341, P341 / N341)) * recipe09DayScale, IF(ISNA(CONVERT(O341, "kg", L341)), CONVERT(P341 * recipe09DayScale, "l", L341), CONVERT(O341 * recipe09DayScale, "kg", L341))), roundTo)</f>
        <v>8</v>
      </c>
      <c r="R341" s="11">
        <f>recipe09TotScale * IF(L341 = "", Q341 * M341, IF(ISNA(CONVERT(Q341, L341, "kg")), CONVERT(Q341, L341, "l") * IF(N341 &lt;&gt; 0, M341 / N341, 0), CONVERT(Q341, L341, "kg")))</f>
        <v>0.9924362198921739</v>
      </c>
      <c r="S341" s="11">
        <f>recipe09TotScale * IF(R341 = 0, IF(L341 = "", Q341 * N341, IF(ISNA(CONVERT(Q341, L341, "l")), CONVERT(Q341, L341, "kg") * IF(M341 &lt;&gt; 0, N341 / M341, 0), CONVERT(Q341, L341, "l"))), 0)</f>
        <v>0</v>
      </c>
      <c r="T341" s="11">
        <f>recipe09TotScale * IF(AND(R341 = 0, S341 = 0, J341 = "", L341 = ""), Q341, 0)</f>
        <v>0</v>
      </c>
      <c r="V341" s="8" t="b">
        <f>INDEX(itemPrepMethods, MATCH(K341, itemNames, 0))="chop"</f>
        <v>1</v>
      </c>
      <c r="W341" s="21">
        <f>IF(V341, Q341, "")</f>
        <v>8</v>
      </c>
      <c r="X341" s="22" t="str">
        <f>IF(V341, IF(L341 = "", "", L341), "")</f>
        <v>cup</v>
      </c>
      <c r="Y341" s="22" t="str">
        <f>IF(V341, K341, "")</f>
        <v>chopped kumara</v>
      </c>
      <c r="Z341" s="23"/>
      <c r="AA341" s="8" t="b">
        <f>INDEX(itemPrepMethods, MATCH(K341, itemNames, 0))="soak"</f>
        <v>0</v>
      </c>
      <c r="AB341" s="22" t="str">
        <f>IF(AA341, Q341, "")</f>
        <v/>
      </c>
      <c r="AC341" s="22" t="str">
        <f>IF(AA341, IF(L341 = "", "", L341), "")</f>
        <v/>
      </c>
      <c r="AD341" s="22" t="str">
        <f>IF(AA341, K341, "")</f>
        <v/>
      </c>
    </row>
    <row r="342" spans="1:30" x14ac:dyDescent="0.25">
      <c r="A342" s="5" t="s">
        <v>21</v>
      </c>
      <c r="B342" s="16">
        <f t="shared" ref="B342:B347" si="306">Q342</f>
        <v>2</v>
      </c>
      <c r="C342" s="4" t="str">
        <f>IF(L342="","",L342)</f>
        <v/>
      </c>
      <c r="D342" s="5" t="str">
        <f>_xlfn.CONCAT(K342, U342)</f>
        <v>tinned black beans, drained and rinsed</v>
      </c>
      <c r="I342" s="25">
        <v>3</v>
      </c>
      <c r="J342" s="19"/>
      <c r="K342" s="19" t="s">
        <v>364</v>
      </c>
      <c r="L342" s="20"/>
      <c r="M342" s="11">
        <f>INDEX(itemGPerQty, MATCH(K342, itemNames, 0))</f>
        <v>0</v>
      </c>
      <c r="N342" s="11">
        <f>INDEX(itemMlPerQty, MATCH(K342, itemNames, 0))</f>
        <v>0</v>
      </c>
      <c r="O342" s="11">
        <f t="shared" si="304"/>
        <v>0</v>
      </c>
      <c r="P342" s="11">
        <f t="shared" si="305"/>
        <v>0</v>
      </c>
      <c r="Q342" s="11">
        <f>MROUND(IF(L342 = "", IF(J342 = "", I342, IF(M342 &lt;&gt; 0, O342 / M342, P342 / N342)) * recipe09DayScale, IF(ISNA(CONVERT(O342, "kg", L342)), CONVERT(P342 * recipe09DayScale, "l", L342), CONVERT(O342 * recipe09DayScale, "kg", L342))), roundTo)</f>
        <v>2</v>
      </c>
      <c r="R342" s="11">
        <f>recipe09TotScale * IF(L342 = "", Q342 * M342, IF(ISNA(CONVERT(Q342, L342, "kg")), CONVERT(Q342, L342, "l") * IF(N342 &lt;&gt; 0, M342 / N342, 0), CONVERT(Q342, L342, "kg")))</f>
        <v>0</v>
      </c>
      <c r="S342" s="11">
        <f>recipe09TotScale * IF(R342 = 0, IF(L342 = "", Q342 * N342, IF(ISNA(CONVERT(Q342, L342, "l")), CONVERT(Q342, L342, "kg") * IF(M342 &lt;&gt; 0, N342 / M342, 0), CONVERT(Q342, L342, "l"))), 0)</f>
        <v>0</v>
      </c>
      <c r="T342" s="11">
        <f>recipe09TotScale * IF(AND(R342 = 0, S342 = 0, J342 = "", L342 = ""), Q342, 0)</f>
        <v>2</v>
      </c>
      <c r="U342" s="8" t="s">
        <v>261</v>
      </c>
      <c r="V342" s="8" t="b">
        <f>INDEX(itemPrepMethods, MATCH(K342, itemNames, 0))="chop"</f>
        <v>0</v>
      </c>
      <c r="W342" s="21" t="str">
        <f>IF(V342, Q342, "")</f>
        <v/>
      </c>
      <c r="X342" s="22" t="str">
        <f>IF(V342, IF(L342 = "", "", L342), "")</f>
        <v/>
      </c>
      <c r="Y342" s="22" t="str">
        <f>IF(V342, K342, "")</f>
        <v/>
      </c>
      <c r="Z342" s="23"/>
      <c r="AA342" s="8" t="b">
        <f>INDEX(itemPrepMethods, MATCH(K342, itemNames, 0))="soak"</f>
        <v>0</v>
      </c>
      <c r="AB342" s="22" t="str">
        <f>IF(AA342, Q342, "")</f>
        <v/>
      </c>
      <c r="AC342" s="22" t="str">
        <f>IF(AA342, IF(L342 = "", "", L342), "")</f>
        <v/>
      </c>
      <c r="AD342" s="22" t="str">
        <f>IF(AA342, K342, "")</f>
        <v/>
      </c>
    </row>
    <row r="343" spans="1:30" x14ac:dyDescent="0.25">
      <c r="A343" s="129"/>
      <c r="B343" s="129"/>
      <c r="C343" s="129"/>
      <c r="D343" s="129"/>
      <c r="I343" s="26"/>
      <c r="J343" s="24"/>
      <c r="K343" s="24"/>
      <c r="L343" s="24"/>
      <c r="M343" s="24"/>
      <c r="N343" s="24"/>
      <c r="O343" s="24"/>
      <c r="P343" s="24"/>
      <c r="W343" s="21"/>
      <c r="X343" s="22"/>
      <c r="Y343" s="22"/>
      <c r="Z343" s="23"/>
      <c r="AA343" s="30"/>
      <c r="AB343" s="21"/>
      <c r="AC343" s="21"/>
      <c r="AD343" s="21"/>
    </row>
    <row r="344" spans="1:30" x14ac:dyDescent="0.25">
      <c r="A344" s="129" t="s">
        <v>125</v>
      </c>
      <c r="B344" s="129"/>
      <c r="C344" s="129"/>
      <c r="D344" s="129"/>
      <c r="I344" s="11"/>
      <c r="L344" s="8"/>
      <c r="M344" s="8"/>
      <c r="N344" s="8"/>
      <c r="W344" s="21"/>
      <c r="X344" s="22"/>
      <c r="Y344" s="22"/>
      <c r="Z344" s="23"/>
      <c r="AA344" s="30"/>
      <c r="AB344" s="21"/>
      <c r="AC344" s="21"/>
      <c r="AD344" s="21"/>
    </row>
    <row r="345" spans="1:30" x14ac:dyDescent="0.25">
      <c r="A345" s="129"/>
      <c r="B345" s="129"/>
      <c r="C345" s="129"/>
      <c r="D345" s="129"/>
      <c r="I345" s="26"/>
      <c r="J345" s="24"/>
      <c r="K345" s="24"/>
      <c r="L345" s="24"/>
      <c r="M345" s="24"/>
      <c r="N345" s="24"/>
      <c r="O345" s="24"/>
      <c r="P345" s="24"/>
      <c r="W345" s="21"/>
      <c r="X345" s="22"/>
      <c r="Y345" s="22"/>
      <c r="Z345" s="23"/>
      <c r="AA345" s="30"/>
      <c r="AB345" s="21"/>
      <c r="AC345" s="21"/>
      <c r="AD345" s="21"/>
    </row>
    <row r="346" spans="1:30" x14ac:dyDescent="0.25">
      <c r="A346" s="129" t="s">
        <v>126</v>
      </c>
      <c r="B346" s="129"/>
      <c r="C346" s="129"/>
      <c r="D346" s="129"/>
      <c r="I346" s="11"/>
      <c r="L346" s="8"/>
      <c r="M346" s="8"/>
      <c r="N346" s="8"/>
      <c r="W346" s="21"/>
      <c r="X346" s="22"/>
      <c r="Y346" s="22"/>
      <c r="Z346" s="23"/>
      <c r="AA346" s="30"/>
      <c r="AB346" s="21"/>
      <c r="AC346" s="21"/>
      <c r="AD346" s="21"/>
    </row>
    <row r="347" spans="1:30" x14ac:dyDescent="0.25">
      <c r="A347" s="5" t="s">
        <v>21</v>
      </c>
      <c r="B347" s="16">
        <f t="shared" si="306"/>
        <v>1</v>
      </c>
      <c r="C347" s="4" t="str">
        <f>IF(L347="","",L347)</f>
        <v/>
      </c>
      <c r="D347" s="5" t="str">
        <f>_xlfn.CONCAT(K347, U347)</f>
        <v>tinned coconut cream</v>
      </c>
      <c r="I347" s="25">
        <v>1.5</v>
      </c>
      <c r="J347" s="19"/>
      <c r="K347" s="19" t="s">
        <v>367</v>
      </c>
      <c r="L347" s="20"/>
      <c r="M347" s="11">
        <f>INDEX(itemGPerQty, MATCH(K347, itemNames, 0))</f>
        <v>0</v>
      </c>
      <c r="N347" s="11">
        <f>INDEX(itemMlPerQty, MATCH(K347, itemNames, 0))</f>
        <v>0</v>
      </c>
      <c r="O347" s="11">
        <f t="shared" ref="O347:O348" si="307">IF(J347 = "", I347 * M347, IF(ISNA(CONVERT(I347, J347, "kg")), CONVERT(I347, J347, "l") * IF(N347 &lt;&gt; 0, M347 / N347, 0), CONVERT(I347, J347, "kg")))</f>
        <v>0</v>
      </c>
      <c r="P347" s="11">
        <f t="shared" ref="P347:P348" si="308">IF(J347 = "", I347 * N347, IF(ISNA(CONVERT(I347, J347, "l")), CONVERT(I347, J347, "kg") * IF(M347 &lt;&gt; 0, N347 / M347, 0), CONVERT(I347, J347, "l")))</f>
        <v>0</v>
      </c>
      <c r="Q347" s="11">
        <f>MROUND(IF(L347 = "", IF(J347 = "", I347, IF(M347 &lt;&gt; 0, O347 / M347, P347 / N347)) * recipe09DayScale, IF(ISNA(CONVERT(O347, "kg", L347)), CONVERT(P347 * recipe09DayScale, "l", L347), CONVERT(O347 * recipe09DayScale, "kg", L347))), roundTo)</f>
        <v>1</v>
      </c>
      <c r="R347" s="11">
        <f>recipe09TotScale * IF(L347 = "", Q347 * M347, IF(ISNA(CONVERT(Q347, L347, "kg")), CONVERT(Q347, L347, "l") * IF(N347 &lt;&gt; 0, M347 / N347, 0), CONVERT(Q347, L347, "kg")))</f>
        <v>0</v>
      </c>
      <c r="S347" s="11">
        <f>recipe09TotScale * IF(R347 = 0, IF(L347 = "", Q347 * N347, IF(ISNA(CONVERT(Q347, L347, "l")), CONVERT(Q347, L347, "kg") * IF(M347 &lt;&gt; 0, N347 / M347, 0), CONVERT(Q347, L347, "l"))), 0)</f>
        <v>0</v>
      </c>
      <c r="T347" s="11">
        <f>recipe09TotScale * IF(AND(R347 = 0, S347 = 0, J347 = "", L347 = ""), Q347, 0)</f>
        <v>1</v>
      </c>
      <c r="V347" s="8" t="b">
        <f>INDEX(itemPrepMethods, MATCH(K347, itemNames, 0))="chop"</f>
        <v>0</v>
      </c>
      <c r="W347" s="21" t="str">
        <f>IF(V347, Q347, "")</f>
        <v/>
      </c>
      <c r="X347" s="22" t="str">
        <f>IF(V347, IF(L347 = "", "", L347), "")</f>
        <v/>
      </c>
      <c r="Y347" s="22" t="str">
        <f>IF(V347, K347, "")</f>
        <v/>
      </c>
      <c r="Z347" s="23"/>
      <c r="AA347" s="8" t="b">
        <f>INDEX(itemPrepMethods, MATCH(K347, itemNames, 0))="soak"</f>
        <v>0</v>
      </c>
      <c r="AB347" s="22" t="str">
        <f>IF(AA347, Q347, "")</f>
        <v/>
      </c>
      <c r="AC347" s="22" t="str">
        <f>IF(AA347, IF(L347 = "", "", L347), "")</f>
        <v/>
      </c>
      <c r="AD347" s="22" t="str">
        <f>IF(AA347, K347, "")</f>
        <v/>
      </c>
    </row>
    <row r="348" spans="1:30" x14ac:dyDescent="0.25">
      <c r="A348" s="5" t="s">
        <v>21</v>
      </c>
      <c r="B348" s="16">
        <f t="shared" ref="B348" si="309">Q348</f>
        <v>1.25</v>
      </c>
      <c r="C348" s="4" t="str">
        <f>IF(L348="","",L348)</f>
        <v/>
      </c>
      <c r="D348" s="28" t="str">
        <f>_xlfn.CONCAT(K348, U348)</f>
        <v>juiced lemons</v>
      </c>
      <c r="I348" s="25">
        <v>2</v>
      </c>
      <c r="J348" s="19"/>
      <c r="K348" s="19" t="s">
        <v>316</v>
      </c>
      <c r="L348" s="20"/>
      <c r="M348" s="11">
        <f>INDEX(itemGPerQty, MATCH(K348, itemNames, 0))</f>
        <v>0</v>
      </c>
      <c r="N348" s="11">
        <f>INDEX(itemMlPerQty, MATCH(K348, itemNames, 0))</f>
        <v>0</v>
      </c>
      <c r="O348" s="11">
        <f t="shared" si="307"/>
        <v>0</v>
      </c>
      <c r="P348" s="11">
        <f t="shared" si="308"/>
        <v>0</v>
      </c>
      <c r="Q348" s="11">
        <f>MROUND(IF(L348 = "", IF(J348 = "", I348, IF(M348 &lt;&gt; 0, O348 / M348, P348 / N348)) * recipe09DayScale, IF(ISNA(CONVERT(O348, "kg", L348)), CONVERT(P348 * recipe09DayScale, "l", L348), CONVERT(O348 * recipe09DayScale, "kg", L348))), roundTo)</f>
        <v>1.25</v>
      </c>
      <c r="R348" s="11">
        <f>recipe09TotScale * IF(L348 = "", Q348 * M348, IF(ISNA(CONVERT(Q348, L348, "kg")), CONVERT(Q348, L348, "l") * IF(N348 &lt;&gt; 0, M348 / N348, 0), CONVERT(Q348, L348, "kg")))</f>
        <v>0</v>
      </c>
      <c r="S348" s="11">
        <f>recipe09TotScale * IF(R348 = 0, IF(L348 = "", Q348 * N348, IF(ISNA(CONVERT(Q348, L348, "l")), CONVERT(Q348, L348, "kg") * IF(M348 &lt;&gt; 0, N348 / M348, 0), CONVERT(Q348, L348, "l"))), 0)</f>
        <v>0</v>
      </c>
      <c r="T348" s="11">
        <f>recipe09TotScale * IF(AND(R348 = 0, S348 = 0, J348 = "", L348 = ""), Q348, 0)</f>
        <v>1.25</v>
      </c>
      <c r="V348" s="8" t="b">
        <f>INDEX(itemPrepMethods, MATCH(K348, itemNames, 0))="chop"</f>
        <v>1</v>
      </c>
      <c r="W348" s="21">
        <f>IF(V348, Q348, "")</f>
        <v>1.25</v>
      </c>
      <c r="X348" s="22" t="str">
        <f>IF(V348, IF(L348 = "", "", L348), "")</f>
        <v/>
      </c>
      <c r="Y348" s="22" t="str">
        <f>IF(V348, K348, "")</f>
        <v>juiced lemons</v>
      </c>
      <c r="Z348" s="23"/>
      <c r="AA348" s="8" t="b">
        <f>INDEX(itemPrepMethods, MATCH(K348, itemNames, 0))="soak"</f>
        <v>0</v>
      </c>
      <c r="AB348" s="22" t="str">
        <f>IF(AA348, Q348, "")</f>
        <v/>
      </c>
      <c r="AC348" s="22" t="str">
        <f>IF(AA348, IF(L348 = "", "", L348), "")</f>
        <v/>
      </c>
      <c r="AD348" s="22" t="str">
        <f>IF(AA348, K348, "")</f>
        <v/>
      </c>
    </row>
    <row r="349" spans="1:30" x14ac:dyDescent="0.25">
      <c r="A349" s="5" t="s">
        <v>21</v>
      </c>
      <c r="B349" s="16"/>
      <c r="C349" s="4" t="str">
        <f>IF(L349="","",L349)</f>
        <v/>
      </c>
      <c r="D349" s="5" t="str">
        <f>_xlfn.CONCAT(K349, U349)</f>
        <v>water, if required</v>
      </c>
      <c r="I349" s="11"/>
      <c r="K349" s="19" t="s">
        <v>33</v>
      </c>
      <c r="L349" s="8"/>
      <c r="M349" s="8"/>
      <c r="N349" s="8"/>
      <c r="O349" s="8"/>
      <c r="P349" s="8"/>
      <c r="U349" s="8" t="s">
        <v>174</v>
      </c>
      <c r="V349" s="8" t="b">
        <f>INDEX(itemPrepMethods, MATCH(K349, itemNames, 0))="chop"</f>
        <v>0</v>
      </c>
      <c r="W349" s="21" t="str">
        <f>IF(V349, Q349, "")</f>
        <v/>
      </c>
      <c r="X349" s="22" t="str">
        <f>IF(V349, IF(L349 = "", "", L349), "")</f>
        <v/>
      </c>
      <c r="Y349" s="22" t="str">
        <f>IF(V349, K349, "")</f>
        <v/>
      </c>
      <c r="Z349" s="23"/>
      <c r="AA349" s="8" t="b">
        <f>INDEX(itemPrepMethods, MATCH(K349, itemNames, 0))="soak"</f>
        <v>0</v>
      </c>
      <c r="AB349" s="22" t="str">
        <f>IF(AA349, Q349, "")</f>
        <v/>
      </c>
      <c r="AC349" s="22" t="str">
        <f>IF(AA349, IF(L349 = "", "", L349), "")</f>
        <v/>
      </c>
      <c r="AD349" s="22" t="str">
        <f>IF(AA349, K349, "")</f>
        <v/>
      </c>
    </row>
    <row r="350" spans="1:30" x14ac:dyDescent="0.25">
      <c r="A350" s="5" t="s">
        <v>21</v>
      </c>
      <c r="B350" s="16"/>
      <c r="C350" s="4" t="str">
        <f>IF(L350="","",L350)</f>
        <v/>
      </c>
      <c r="D350" s="5" t="str">
        <f>_xlfn.CONCAT(K350, U350)</f>
        <v>salt, to taste</v>
      </c>
      <c r="I350" s="11"/>
      <c r="K350" s="19" t="s">
        <v>11</v>
      </c>
      <c r="L350" s="8"/>
      <c r="M350" s="8"/>
      <c r="N350" s="8"/>
      <c r="O350" s="8"/>
      <c r="P350" s="8"/>
      <c r="U350" s="8" t="s">
        <v>173</v>
      </c>
      <c r="V350" s="8" t="b">
        <f>INDEX(itemPrepMethods, MATCH(K350, itemNames, 0))="chop"</f>
        <v>0</v>
      </c>
      <c r="W350" s="21" t="str">
        <f>IF(V350, Q350, "")</f>
        <v/>
      </c>
      <c r="X350" s="22" t="str">
        <f>IF(V350, IF(L350 = "", "", L350), "")</f>
        <v/>
      </c>
      <c r="Y350" s="22" t="str">
        <f>IF(V350, K350, "")</f>
        <v/>
      </c>
      <c r="Z350" s="23"/>
      <c r="AA350" s="8" t="b">
        <f>INDEX(itemPrepMethods, MATCH(K350, itemNames, 0))="soak"</f>
        <v>0</v>
      </c>
      <c r="AB350" s="22" t="str">
        <f>IF(AA350, Q350, "")</f>
        <v/>
      </c>
      <c r="AC350" s="22" t="str">
        <f>IF(AA350, IF(L350 = "", "", L350), "")</f>
        <v/>
      </c>
      <c r="AD350" s="22" t="str">
        <f>IF(AA350, K350, "")</f>
        <v/>
      </c>
    </row>
    <row r="351" spans="1:30" x14ac:dyDescent="0.25">
      <c r="A351" s="5" t="s">
        <v>21</v>
      </c>
      <c r="B351" s="16"/>
      <c r="C351" s="4" t="str">
        <f>IF(L351="","",L351)</f>
        <v/>
      </c>
      <c r="D351" s="5" t="str">
        <f>_xlfn.CONCAT(K351, U351)</f>
        <v>ground black pepper, to taste</v>
      </c>
      <c r="I351" s="11"/>
      <c r="K351" s="19" t="s">
        <v>54</v>
      </c>
      <c r="L351" s="8"/>
      <c r="M351" s="8"/>
      <c r="N351" s="8"/>
      <c r="O351" s="8"/>
      <c r="P351" s="8"/>
      <c r="U351" s="8" t="s">
        <v>173</v>
      </c>
      <c r="V351" s="8" t="b">
        <f>INDEX(itemPrepMethods, MATCH(K351, itemNames, 0))="chop"</f>
        <v>0</v>
      </c>
      <c r="W351" s="21" t="str">
        <f>IF(V351, Q351, "")</f>
        <v/>
      </c>
      <c r="X351" s="22" t="str">
        <f>IF(V351, IF(L351 = "", "", L351), "")</f>
        <v/>
      </c>
      <c r="Y351" s="22" t="str">
        <f>IF(V351, K351, "")</f>
        <v/>
      </c>
      <c r="Z351" s="23"/>
      <c r="AA351" s="8" t="b">
        <f>INDEX(itemPrepMethods, MATCH(K351, itemNames, 0))="soak"</f>
        <v>0</v>
      </c>
      <c r="AB351" s="22" t="str">
        <f>IF(AA351, Q351, "")</f>
        <v/>
      </c>
      <c r="AC351" s="22" t="str">
        <f>IF(AA351, IF(L351 = "", "", L351), "")</f>
        <v/>
      </c>
      <c r="AD351" s="22" t="str">
        <f>IF(AA351, K351, "")</f>
        <v/>
      </c>
    </row>
    <row r="352" spans="1:30" x14ac:dyDescent="0.25">
      <c r="A352" s="129"/>
      <c r="B352" s="129"/>
      <c r="C352" s="129"/>
      <c r="D352" s="129"/>
      <c r="I352" s="26"/>
      <c r="J352" s="24"/>
      <c r="K352" s="24"/>
      <c r="L352" s="24"/>
      <c r="M352" s="24"/>
      <c r="N352" s="24"/>
      <c r="O352" s="24"/>
      <c r="P352" s="24"/>
    </row>
    <row r="353" spans="1:30" x14ac:dyDescent="0.25">
      <c r="A353" s="129" t="s">
        <v>134</v>
      </c>
      <c r="B353" s="129"/>
      <c r="C353" s="129"/>
      <c r="D353" s="129"/>
      <c r="I353" s="11"/>
      <c r="L353" s="8"/>
      <c r="M353" s="8"/>
      <c r="N353" s="8"/>
    </row>
    <row r="354" spans="1:30" ht="15.75" x14ac:dyDescent="0.25">
      <c r="A354" s="130" t="s">
        <v>516</v>
      </c>
      <c r="B354" s="130"/>
      <c r="C354" s="130"/>
      <c r="D354" s="130"/>
      <c r="E354" s="7" t="s">
        <v>102</v>
      </c>
      <c r="F354" s="39" t="s">
        <v>121</v>
      </c>
      <c r="G354" s="39"/>
      <c r="H354" s="11"/>
    </row>
    <row r="355" spans="1:30" ht="24" x14ac:dyDescent="0.2">
      <c r="A355" s="130" t="s">
        <v>25</v>
      </c>
      <c r="B355" s="130"/>
      <c r="C355" s="130"/>
      <c r="D355" s="130"/>
      <c r="E355" s="6" t="s">
        <v>39</v>
      </c>
      <c r="F355" s="37">
        <v>15</v>
      </c>
      <c r="G355" s="11"/>
      <c r="H355" s="11"/>
      <c r="I355" s="33" t="s">
        <v>355</v>
      </c>
      <c r="J355" s="34" t="s">
        <v>356</v>
      </c>
      <c r="K355" s="34" t="s">
        <v>17</v>
      </c>
      <c r="L355" s="35" t="s">
        <v>359</v>
      </c>
      <c r="M355" s="33" t="s">
        <v>115</v>
      </c>
      <c r="N355" s="33" t="s">
        <v>116</v>
      </c>
      <c r="O355" s="33" t="s">
        <v>357</v>
      </c>
      <c r="P355" s="33" t="s">
        <v>358</v>
      </c>
      <c r="Q355" s="34" t="s">
        <v>286</v>
      </c>
      <c r="R355" s="33" t="s">
        <v>287</v>
      </c>
      <c r="S355" s="33" t="s">
        <v>288</v>
      </c>
      <c r="T355" s="33" t="s">
        <v>289</v>
      </c>
      <c r="U355" s="34" t="s">
        <v>22</v>
      </c>
      <c r="V355" s="34" t="s">
        <v>169</v>
      </c>
      <c r="W355" s="36" t="s">
        <v>286</v>
      </c>
      <c r="X355" s="34" t="s">
        <v>167</v>
      </c>
      <c r="Y355" s="34" t="s">
        <v>168</v>
      </c>
      <c r="Z355" s="34" t="s">
        <v>263</v>
      </c>
      <c r="AA355" s="34" t="s">
        <v>170</v>
      </c>
      <c r="AB355" s="36" t="s">
        <v>286</v>
      </c>
      <c r="AC355" s="34" t="s">
        <v>171</v>
      </c>
      <c r="AD355" s="34" t="s">
        <v>172</v>
      </c>
    </row>
    <row r="356" spans="1:30" ht="16.5" thickBot="1" x14ac:dyDescent="0.3">
      <c r="A356" s="131" t="str">
        <f>_xlfn.CONCAT(F356," servings")</f>
        <v>10 servings</v>
      </c>
      <c r="B356" s="131"/>
      <c r="C356" s="131"/>
      <c r="D356" s="131"/>
      <c r="E356" s="29" t="s">
        <v>281</v>
      </c>
      <c r="F356" s="37">
        <f>wkdyRegLunch</f>
        <v>10</v>
      </c>
      <c r="G356" s="11"/>
      <c r="H356" s="11"/>
      <c r="I356" s="26"/>
      <c r="J356" s="6"/>
      <c r="K356" s="6"/>
      <c r="L356" s="27"/>
      <c r="M356" s="26"/>
      <c r="N356" s="26"/>
      <c r="O356" s="26"/>
      <c r="P356" s="26"/>
      <c r="Q356" s="6"/>
      <c r="R356" s="26"/>
      <c r="S356" s="26"/>
      <c r="T356" s="26"/>
      <c r="U356" s="6"/>
      <c r="W356" s="130" t="s">
        <v>521</v>
      </c>
      <c r="X356" s="130"/>
      <c r="Y356" s="130"/>
      <c r="Z356" s="130"/>
      <c r="AB356" s="130" t="s">
        <v>522</v>
      </c>
      <c r="AC356" s="130"/>
      <c r="AD356" s="130"/>
    </row>
    <row r="357" spans="1:30" s="41" customFormat="1" ht="16.5" thickBot="1" x14ac:dyDescent="0.3">
      <c r="A357" s="129"/>
      <c r="B357" s="129"/>
      <c r="C357" s="129"/>
      <c r="D357" s="129"/>
      <c r="E357" s="29" t="s">
        <v>284</v>
      </c>
      <c r="F357" s="14">
        <f>F356/F355</f>
        <v>0.66666666666666663</v>
      </c>
      <c r="G357" s="15" t="s">
        <v>300</v>
      </c>
      <c r="H357" s="11"/>
      <c r="I357" s="26"/>
      <c r="J357" s="39"/>
      <c r="K357" s="39"/>
      <c r="L357" s="27"/>
      <c r="M357" s="26"/>
      <c r="N357" s="26"/>
      <c r="O357" s="26"/>
      <c r="P357" s="26"/>
      <c r="Q357" s="39"/>
      <c r="R357" s="26"/>
      <c r="S357" s="26"/>
      <c r="T357" s="26"/>
      <c r="U357" s="39"/>
      <c r="W357" s="130" t="str">
        <f>A354</f>
        <v>THURSDAY LUNCH</v>
      </c>
      <c r="X357" s="130"/>
      <c r="Y357" s="130"/>
      <c r="Z357" s="130"/>
      <c r="AB357" s="130" t="str">
        <f>A354</f>
        <v>THURSDAY LUNCH</v>
      </c>
      <c r="AC357" s="130"/>
      <c r="AD357" s="130"/>
    </row>
    <row r="358" spans="1:30" ht="15.75" x14ac:dyDescent="0.25">
      <c r="A358" s="129" t="s">
        <v>210</v>
      </c>
      <c r="B358" s="129"/>
      <c r="C358" s="129"/>
      <c r="D358" s="129"/>
      <c r="E358" s="30"/>
      <c r="F358" s="30"/>
      <c r="G358" s="30"/>
      <c r="H358" s="11"/>
      <c r="I358" s="26"/>
      <c r="J358" s="6"/>
      <c r="K358" s="6"/>
      <c r="L358" s="27"/>
      <c r="M358" s="26"/>
      <c r="N358" s="26"/>
      <c r="O358" s="26"/>
      <c r="P358" s="26"/>
      <c r="Q358" s="6"/>
      <c r="R358" s="26"/>
      <c r="S358" s="26"/>
      <c r="T358" s="26"/>
      <c r="U358" s="6"/>
      <c r="W358" s="130" t="str">
        <f>A355</f>
        <v>COURGETTE AND CHICKPEA CURRY</v>
      </c>
      <c r="X358" s="130"/>
      <c r="Y358" s="130"/>
      <c r="Z358" s="130"/>
      <c r="AA358" s="41"/>
      <c r="AB358" s="130" t="str">
        <f>A355</f>
        <v>COURGETTE AND CHICKPEA CURRY</v>
      </c>
      <c r="AC358" s="130"/>
      <c r="AD358" s="130"/>
    </row>
    <row r="359" spans="1:30" ht="15.75" thickBot="1" x14ac:dyDescent="0.3">
      <c r="A359" s="5" t="s">
        <v>21</v>
      </c>
      <c r="B359" s="16">
        <f t="shared" ref="B359:B381" si="310">Q359</f>
        <v>0.25</v>
      </c>
      <c r="C359" s="4" t="str">
        <f>IF(L359="","",L359)</f>
        <v>cup</v>
      </c>
      <c r="D359" s="5" t="str">
        <f>_xlfn.CONCAT(K359, U359)</f>
        <v>oil</v>
      </c>
      <c r="E359" s="29" t="s">
        <v>273</v>
      </c>
      <c r="F359" s="37">
        <f>wkdyRegLunch</f>
        <v>10</v>
      </c>
      <c r="G359" s="30"/>
      <c r="H359" s="17"/>
      <c r="I359" s="18">
        <v>8</v>
      </c>
      <c r="J359" s="19" t="s">
        <v>15</v>
      </c>
      <c r="K359" s="19" t="s">
        <v>32</v>
      </c>
      <c r="L359" s="20" t="s">
        <v>16</v>
      </c>
      <c r="M359" s="11">
        <f>INDEX(itemGPerQty, MATCH(K359, itemNames, 0))</f>
        <v>0</v>
      </c>
      <c r="N359" s="11">
        <f>INDEX(itemMlPerQty, MATCH(K359, itemNames, 0))</f>
        <v>0</v>
      </c>
      <c r="O359" s="11">
        <f t="shared" ref="O359:O363" si="311">IF(J359 = "", I359 * M359, IF(ISNA(CONVERT(I359, J359, "kg")), CONVERT(I359, J359, "l") * IF(N359 &lt;&gt; 0, M359 / N359, 0), CONVERT(I359, J359, "kg")))</f>
        <v>0</v>
      </c>
      <c r="P359" s="11">
        <f t="shared" ref="P359:P363" si="312">IF(J359 = "", I359 * N359, IF(ISNA(CONVERT(I359, J359, "l")), CONVERT(I359, J359, "kg") * IF(M359 &lt;&gt; 0, N359 / M359, 0), CONVERT(I359, J359, "l")))</f>
        <v>0.11829411825</v>
      </c>
      <c r="Q359" s="11">
        <f>MROUND(IF(L359 = "", IF(J359 = "", I359, IF(M359 &lt;&gt; 0, O359 / M359, P359 / N359)) * recipe04DayScale, IF(ISNA(CONVERT(O359, "kg", L359)), CONVERT(P359 * recipe04DayScale, "l", L359), CONVERT(O359 * recipe04DayScale, "kg", L359))), roundTo)</f>
        <v>0.25</v>
      </c>
      <c r="R359" s="11">
        <f>recipe04TotScale * IF(L359 = "", Q359 * M359, IF(ISNA(CONVERT(Q359, L359, "kg")), CONVERT(Q359, L359, "l") * IF(N359 &lt;&gt; 0, M359 / N359, 0), CONVERT(Q359, L359, "kg")))</f>
        <v>0</v>
      </c>
      <c r="S359" s="11">
        <f>recipe04TotScale * IF(R359 = 0, IF(L359 = "", Q359 * N359, IF(ISNA(CONVERT(Q359, L359, "l")), CONVERT(Q359, L359, "kg") * IF(M359 &lt;&gt; 0, N359 / M359, 0), CONVERT(Q359, L359, "l"))), 0)</f>
        <v>5.9147059124999998E-2</v>
      </c>
      <c r="T359" s="11">
        <f>recipe04TotScale * IF(AND(R359 = 0, S359 = 0, J359 = "", L359 = ""), Q359, 0)</f>
        <v>0</v>
      </c>
      <c r="V359" s="8" t="b">
        <f>INDEX(itemPrepMethods, MATCH(K359, itemNames, 0))="chop"</f>
        <v>0</v>
      </c>
      <c r="W359" s="21" t="str">
        <f>IF(V359, Q359, "")</f>
        <v/>
      </c>
      <c r="X359" s="22" t="str">
        <f>IF(V359, IF(L359 = "", "", L359), "")</f>
        <v/>
      </c>
      <c r="Y359" s="22" t="str">
        <f>IF(V359, K359, "")</f>
        <v/>
      </c>
      <c r="Z359" s="23"/>
      <c r="AA359" s="8" t="b">
        <f>INDEX(itemPrepMethods, MATCH(K359, itemNames, 0))="soak"</f>
        <v>0</v>
      </c>
      <c r="AB359" s="22" t="str">
        <f>IF(AA359, Q359, "")</f>
        <v/>
      </c>
      <c r="AC359" s="22" t="str">
        <f>IF(AA359, IF(L359 = "", "", L359), "")</f>
        <v/>
      </c>
      <c r="AD359" s="22" t="str">
        <f>IF(AA359, K359, "")</f>
        <v/>
      </c>
    </row>
    <row r="360" spans="1:30" ht="15.75" thickBot="1" x14ac:dyDescent="0.3">
      <c r="A360" s="5" t="s">
        <v>21</v>
      </c>
      <c r="B360" s="16">
        <f>Q360</f>
        <v>5.25</v>
      </c>
      <c r="C360" s="4" t="str">
        <f>IF(L360="","",L360)</f>
        <v/>
      </c>
      <c r="D360" s="5" t="str">
        <f>_xlfn.CONCAT(K360, U360)</f>
        <v>garlic cloves. Remove from oil once cooked</v>
      </c>
      <c r="E360" s="29" t="s">
        <v>285</v>
      </c>
      <c r="F360" s="14">
        <f>F359/F356</f>
        <v>1</v>
      </c>
      <c r="G360" s="15" t="s">
        <v>301</v>
      </c>
      <c r="I360" s="18">
        <v>8</v>
      </c>
      <c r="J360" s="19"/>
      <c r="K360" s="19" t="s">
        <v>8</v>
      </c>
      <c r="L360" s="20"/>
      <c r="M360" s="11">
        <f>INDEX(itemGPerQty, MATCH(K360, itemNames, 0))</f>
        <v>0</v>
      </c>
      <c r="N360" s="11">
        <f>INDEX(itemMlPerQty, MATCH(K360, itemNames, 0))</f>
        <v>0</v>
      </c>
      <c r="O360" s="11">
        <f>IF(J360 = "", I360 * M360, IF(ISNA(CONVERT(I360, J360, "kg")), CONVERT(I360, J360, "l") * IF(N360 &lt;&gt; 0, M360 / N360, 0), CONVERT(I360, J360, "kg")))</f>
        <v>0</v>
      </c>
      <c r="P360" s="11">
        <f>IF(J360 = "", I360 * N360, IF(ISNA(CONVERT(I360, J360, "l")), CONVERT(I360, J360, "kg") * IF(M360 &lt;&gt; 0, N360 / M360, 0), CONVERT(I360, J360, "l")))</f>
        <v>0</v>
      </c>
      <c r="Q360" s="11">
        <f>MROUND(IF(L360 = "", IF(J360 = "", I360, IF(M360 &lt;&gt; 0, O360 / M360, P360 / N360)) * recipe04DayScale, IF(ISNA(CONVERT(O360, "kg", L360)), CONVERT(P360 * recipe04DayScale, "l", L360), CONVERT(O360 * recipe04DayScale, "kg", L360))), roundTo)</f>
        <v>5.25</v>
      </c>
      <c r="R360" s="11">
        <f>recipe04TotScale * IF(L360 = "", Q360 * M360, IF(ISNA(CONVERT(Q360, L360, "kg")), CONVERT(Q360, L360, "l") * IF(N360 &lt;&gt; 0, M360 / N360, 0), CONVERT(Q360, L360, "kg")))</f>
        <v>0</v>
      </c>
      <c r="S360" s="11">
        <f>recipe04TotScale * IF(R360 = 0, IF(L360 = "", Q360 * N360, IF(ISNA(CONVERT(Q360, L360, "l")), CONVERT(Q360, L360, "kg") * IF(M360 &lt;&gt; 0, N360 / M360, 0), CONVERT(Q360, L360, "l"))), 0)</f>
        <v>0</v>
      </c>
      <c r="T360" s="11">
        <f>recipe04TotScale * IF(AND(R360 = 0, S360 = 0, J360 = "", L360 = ""), Q360, 0)</f>
        <v>5.25</v>
      </c>
      <c r="U360" s="8" t="s">
        <v>200</v>
      </c>
      <c r="V360" s="8" t="b">
        <f>INDEX(itemPrepMethods, MATCH(K360, itemNames, 0))="chop"</f>
        <v>0</v>
      </c>
      <c r="W360" s="21" t="str">
        <f>IF(V360, Q360, "")</f>
        <v/>
      </c>
      <c r="X360" s="22" t="str">
        <f>IF(V360, IF(L360 = "", "", L360), "")</f>
        <v/>
      </c>
      <c r="Y360" s="22" t="str">
        <f>IF(V360, K360, "")</f>
        <v/>
      </c>
      <c r="Z360" s="23"/>
      <c r="AA360" s="8" t="b">
        <f>INDEX(itemPrepMethods, MATCH(K360, itemNames, 0))="soak"</f>
        <v>0</v>
      </c>
      <c r="AB360" s="22" t="str">
        <f>IF(AA360, Q360, "")</f>
        <v/>
      </c>
      <c r="AC360" s="22" t="str">
        <f>IF(AA360, IF(L360 = "", "", L360), "")</f>
        <v/>
      </c>
      <c r="AD360" s="22" t="str">
        <f>IF(AA360, K360, "")</f>
        <v/>
      </c>
    </row>
    <row r="361" spans="1:30" x14ac:dyDescent="0.25">
      <c r="A361" s="5" t="s">
        <v>21</v>
      </c>
      <c r="B361" s="16">
        <f t="shared" si="310"/>
        <v>2.5</v>
      </c>
      <c r="C361" s="4" t="str">
        <f>IF(L361="","",L361)</f>
        <v>cup</v>
      </c>
      <c r="D361" s="5" t="str">
        <f>_xlfn.CONCAT(K361, U361)</f>
        <v>chopped onions</v>
      </c>
      <c r="I361" s="18">
        <v>3</v>
      </c>
      <c r="J361" s="19"/>
      <c r="K361" s="19" t="s">
        <v>6</v>
      </c>
      <c r="L361" s="20" t="s">
        <v>16</v>
      </c>
      <c r="M361" s="11">
        <f>INDEX(itemGPerQty, MATCH(K361, itemNames, 0))</f>
        <v>0.185</v>
      </c>
      <c r="N361" s="11">
        <f>INDEX(itemMlPerQty, MATCH(K361, itemNames, 0))</f>
        <v>0.3</v>
      </c>
      <c r="O361" s="11">
        <f t="shared" si="311"/>
        <v>0.55499999999999994</v>
      </c>
      <c r="P361" s="11">
        <f t="shared" si="312"/>
        <v>0.89999999999999991</v>
      </c>
      <c r="Q361" s="11">
        <f>MROUND(IF(L361 = "", IF(J361 = "", I361, IF(M361 &lt;&gt; 0, O361 / M361, P361 / N361)) * recipe04DayScale, IF(ISNA(CONVERT(O361, "kg", L361)), CONVERT(P361 * recipe04DayScale, "l", L361), CONVERT(O361 * recipe04DayScale, "kg", L361))), roundTo)</f>
        <v>2.5</v>
      </c>
      <c r="R361" s="11">
        <f>recipe04TotScale * IF(L361 = "", Q361 * M361, IF(ISNA(CONVERT(Q361, L361, "kg")), CONVERT(Q361, L361, "l") * IF(N361 &lt;&gt; 0, M361 / N361, 0), CONVERT(Q361, L361, "kg")))</f>
        <v>0.36474019793750001</v>
      </c>
      <c r="S361" s="11">
        <f>recipe04TotScale * IF(R361 = 0, IF(L361 = "", Q361 * N361, IF(ISNA(CONVERT(Q361, L361, "l")), CONVERT(Q361, L361, "kg") * IF(M361 &lt;&gt; 0, N361 / M361, 0), CONVERT(Q361, L361, "l"))), 0)</f>
        <v>0</v>
      </c>
      <c r="T361" s="11">
        <f>recipe04TotScale * IF(AND(R361 = 0, S361 = 0, J361 = "", L361 = ""), Q361, 0)</f>
        <v>0</v>
      </c>
      <c r="V361" s="8" t="b">
        <f>INDEX(itemPrepMethods, MATCH(K361, itemNames, 0))="chop"</f>
        <v>1</v>
      </c>
      <c r="W361" s="21">
        <f>IF(V361, Q361, "")</f>
        <v>2.5</v>
      </c>
      <c r="X361" s="22" t="str">
        <f>IF(V361, IF(L361 = "", "", L361), "")</f>
        <v>cup</v>
      </c>
      <c r="Y361" s="22" t="str">
        <f>IF(V361, K361, "")</f>
        <v>chopped onions</v>
      </c>
      <c r="Z361" s="23"/>
      <c r="AA361" s="8" t="b">
        <f>INDEX(itemPrepMethods, MATCH(K361, itemNames, 0))="soak"</f>
        <v>0</v>
      </c>
      <c r="AB361" s="22" t="str">
        <f>IF(AA361, Q361, "")</f>
        <v/>
      </c>
      <c r="AC361" s="22" t="str">
        <f>IF(AA361, IF(L361 = "", "", L361), "")</f>
        <v/>
      </c>
      <c r="AD361" s="22" t="str">
        <f>IF(AA361, K361, "")</f>
        <v/>
      </c>
    </row>
    <row r="362" spans="1:30" x14ac:dyDescent="0.25">
      <c r="A362" s="5" t="s">
        <v>21</v>
      </c>
      <c r="B362" s="16">
        <f t="shared" si="310"/>
        <v>2</v>
      </c>
      <c r="C362" s="4" t="str">
        <f>IF(L362="","",L362)</f>
        <v>tbs</v>
      </c>
      <c r="D362" s="5" t="str">
        <f>_xlfn.CONCAT(K362, U362)</f>
        <v>minced fresh ginger</v>
      </c>
      <c r="F362" s="6"/>
      <c r="I362" s="18">
        <v>3</v>
      </c>
      <c r="J362" s="19" t="s">
        <v>15</v>
      </c>
      <c r="K362" s="19" t="s">
        <v>188</v>
      </c>
      <c r="L362" s="20" t="s">
        <v>15</v>
      </c>
      <c r="M362" s="11">
        <f>INDEX(itemGPerQty, MATCH(K362, itemNames, 0))</f>
        <v>2.4E-2</v>
      </c>
      <c r="N362" s="11">
        <f>INDEX(itemMlPerQty, MATCH(K362, itemNames, 0))</f>
        <v>3.4501958300000003E-2</v>
      </c>
      <c r="O362" s="11">
        <f t="shared" si="311"/>
        <v>3.0857583647650511E-2</v>
      </c>
      <c r="P362" s="11">
        <f t="shared" si="312"/>
        <v>4.4360294343749995E-2</v>
      </c>
      <c r="Q362" s="11">
        <f>MROUND(IF(L362 = "", IF(J362 = "", I362, IF(M362 &lt;&gt; 0, O362 / M362, P362 / N362)) * recipe04DayScale, IF(ISNA(CONVERT(O362, "kg", L362)), CONVERT(P362 * recipe04DayScale, "l", L362), CONVERT(O362 * recipe04DayScale, "kg", L362))), roundTo)</f>
        <v>2</v>
      </c>
      <c r="R362" s="11">
        <f>recipe04TotScale * IF(L362 = "", Q362 * M362, IF(ISNA(CONVERT(Q362, L362, "kg")), CONVERT(Q362, L362, "l") * IF(N362 &lt;&gt; 0, M362 / N362, 0), CONVERT(Q362, L362, "kg")))</f>
        <v>2.0571722431767008E-2</v>
      </c>
      <c r="S362" s="11">
        <f>recipe04TotScale * IF(R362 = 0, IF(L362 = "", Q362 * N362, IF(ISNA(CONVERT(Q362, L362, "l")), CONVERT(Q362, L362, "kg") * IF(M362 &lt;&gt; 0, N362 / M362, 0), CONVERT(Q362, L362, "l"))), 0)</f>
        <v>0</v>
      </c>
      <c r="T362" s="11">
        <f>recipe04TotScale * IF(AND(R362 = 0, S362 = 0, J362 = "", L362 = ""), Q362, 0)</f>
        <v>0</v>
      </c>
      <c r="V362" s="8" t="b">
        <f>INDEX(itemPrepMethods, MATCH(K362, itemNames, 0))="chop"</f>
        <v>1</v>
      </c>
      <c r="W362" s="21">
        <f>IF(V362, Q362, "")</f>
        <v>2</v>
      </c>
      <c r="X362" s="22" t="str">
        <f>IF(V362, IF(L362 = "", "", L362), "")</f>
        <v>tbs</v>
      </c>
      <c r="Y362" s="22" t="str">
        <f>IF(V362, K362, "")</f>
        <v>minced fresh ginger</v>
      </c>
      <c r="Z362" s="23"/>
      <c r="AA362" s="8" t="b">
        <f>INDEX(itemPrepMethods, MATCH(K362, itemNames, 0))="soak"</f>
        <v>0</v>
      </c>
      <c r="AB362" s="22" t="str">
        <f>IF(AA362, Q362, "")</f>
        <v/>
      </c>
      <c r="AC362" s="22" t="str">
        <f>IF(AA362, IF(L362 = "", "", L362), "")</f>
        <v/>
      </c>
      <c r="AD362" s="22" t="str">
        <f>IF(AA362, K362, "")</f>
        <v/>
      </c>
    </row>
    <row r="363" spans="1:30" x14ac:dyDescent="0.25">
      <c r="A363" s="5" t="s">
        <v>21</v>
      </c>
      <c r="B363" s="16">
        <f t="shared" si="310"/>
        <v>1</v>
      </c>
      <c r="C363" s="4" t="str">
        <f>IF(L363="","",L363)</f>
        <v>tbs</v>
      </c>
      <c r="D363" s="5" t="str">
        <f>_xlfn.CONCAT(K363, U363)</f>
        <v>thai green curry</v>
      </c>
      <c r="F363" s="6"/>
      <c r="I363" s="18">
        <v>1.5</v>
      </c>
      <c r="J363" s="19" t="s">
        <v>15</v>
      </c>
      <c r="K363" s="19" t="s">
        <v>139</v>
      </c>
      <c r="L363" s="20" t="s">
        <v>15</v>
      </c>
      <c r="M363" s="11">
        <f>INDEX(itemGPerQty, MATCH(K363, itemNames, 0))</f>
        <v>0</v>
      </c>
      <c r="N363" s="11">
        <f>INDEX(itemMlPerQty, MATCH(K363, itemNames, 0))</f>
        <v>0</v>
      </c>
      <c r="O363" s="11">
        <f t="shared" si="311"/>
        <v>0</v>
      </c>
      <c r="P363" s="11">
        <f t="shared" si="312"/>
        <v>2.2180147171874998E-2</v>
      </c>
      <c r="Q363" s="11">
        <f>MROUND(IF(L363 = "", IF(J363 = "", I363, IF(M363 &lt;&gt; 0, O363 / M363, P363 / N363)) * recipe04DayScale, IF(ISNA(CONVERT(O363, "kg", L363)), CONVERT(P363 * recipe04DayScale, "l", L363), CONVERT(O363 * recipe04DayScale, "kg", L363))), roundTo)</f>
        <v>1</v>
      </c>
      <c r="R363" s="11">
        <f>recipe04TotScale * IF(L363 = "", Q363 * M363, IF(ISNA(CONVERT(Q363, L363, "kg")), CONVERT(Q363, L363, "l") * IF(N363 &lt;&gt; 0, M363 / N363, 0), CONVERT(Q363, L363, "kg")))</f>
        <v>0</v>
      </c>
      <c r="S363" s="11">
        <f>recipe04TotScale * IF(R363 = 0, IF(L363 = "", Q363 * N363, IF(ISNA(CONVERT(Q363, L363, "l")), CONVERT(Q363, L363, "kg") * IF(M363 &lt;&gt; 0, N363 / M363, 0), CONVERT(Q363, L363, "l"))), 0)</f>
        <v>1.478676478125E-2</v>
      </c>
      <c r="T363" s="11">
        <f>recipe04TotScale * IF(AND(R363 = 0, S363 = 0, J363 = "", L363 = ""), Q363, 0)</f>
        <v>0</v>
      </c>
      <c r="V363" s="8" t="b">
        <f>INDEX(itemPrepMethods, MATCH(K363, itemNames, 0))="chop"</f>
        <v>0</v>
      </c>
      <c r="W363" s="21" t="str">
        <f>IF(V363, Q363, "")</f>
        <v/>
      </c>
      <c r="X363" s="22" t="str">
        <f>IF(V363, IF(L363 = "", "", L363), "")</f>
        <v/>
      </c>
      <c r="Y363" s="22" t="str">
        <f>IF(V363, K363, "")</f>
        <v/>
      </c>
      <c r="Z363" s="23"/>
      <c r="AA363" s="8" t="b">
        <f>INDEX(itemPrepMethods, MATCH(K363, itemNames, 0))="soak"</f>
        <v>0</v>
      </c>
      <c r="AB363" s="22" t="str">
        <f>IF(AA363, Q363, "")</f>
        <v/>
      </c>
      <c r="AC363" s="22" t="str">
        <f>IF(AA363, IF(L363 = "", "", L363), "")</f>
        <v/>
      </c>
      <c r="AD363" s="22" t="str">
        <f>IF(AA363, K363, "")</f>
        <v/>
      </c>
    </row>
    <row r="364" spans="1:30" ht="15.75" x14ac:dyDescent="0.25">
      <c r="A364" s="133"/>
      <c r="B364" s="133"/>
      <c r="C364" s="133"/>
      <c r="D364" s="133"/>
      <c r="E364" s="6"/>
      <c r="F364" s="6"/>
      <c r="G364" s="11"/>
      <c r="H364" s="11"/>
      <c r="I364" s="26"/>
      <c r="J364" s="6"/>
      <c r="K364" s="6"/>
      <c r="L364" s="27"/>
      <c r="M364" s="26"/>
      <c r="N364" s="26"/>
      <c r="O364" s="26"/>
      <c r="P364" s="26"/>
      <c r="Q364" s="6"/>
      <c r="R364" s="26"/>
      <c r="S364" s="26"/>
      <c r="T364" s="26"/>
      <c r="U364" s="6"/>
      <c r="W364" s="21"/>
      <c r="X364" s="21"/>
      <c r="Y364" s="21"/>
      <c r="Z364" s="21"/>
      <c r="AA364" s="30"/>
      <c r="AB364" s="21"/>
      <c r="AC364" s="21"/>
      <c r="AD364" s="21"/>
    </row>
    <row r="365" spans="1:30" x14ac:dyDescent="0.25">
      <c r="A365" s="129" t="s">
        <v>211</v>
      </c>
      <c r="B365" s="129"/>
      <c r="C365" s="129"/>
      <c r="D365" s="129"/>
      <c r="E365" s="6"/>
      <c r="F365" s="6"/>
      <c r="G365" s="11"/>
      <c r="H365" s="11"/>
      <c r="I365" s="26"/>
      <c r="J365" s="6"/>
      <c r="K365" s="6"/>
      <c r="L365" s="27"/>
      <c r="M365" s="26"/>
      <c r="N365" s="26"/>
      <c r="O365" s="26"/>
      <c r="P365" s="26"/>
      <c r="Q365" s="6"/>
      <c r="R365" s="26"/>
      <c r="S365" s="26"/>
      <c r="T365" s="26"/>
      <c r="U365" s="6"/>
      <c r="W365" s="21"/>
      <c r="X365" s="21"/>
      <c r="Y365" s="21"/>
      <c r="Z365" s="21"/>
      <c r="AA365" s="30"/>
      <c r="AB365" s="21"/>
      <c r="AC365" s="21"/>
      <c r="AD365" s="21"/>
    </row>
    <row r="366" spans="1:30" x14ac:dyDescent="0.25">
      <c r="A366" s="5" t="s">
        <v>21</v>
      </c>
      <c r="B366" s="16">
        <f t="shared" si="310"/>
        <v>0.75</v>
      </c>
      <c r="C366" s="4" t="str">
        <f>IF(L366="","",L366)</f>
        <v>cup</v>
      </c>
      <c r="D366" s="5" t="str">
        <f>_xlfn.CONCAT(K366, U366)</f>
        <v>peanut butter</v>
      </c>
      <c r="F366" s="6"/>
      <c r="I366" s="18">
        <v>1</v>
      </c>
      <c r="J366" s="19" t="s">
        <v>16</v>
      </c>
      <c r="K366" s="19" t="s">
        <v>79</v>
      </c>
      <c r="L366" s="20" t="s">
        <v>16</v>
      </c>
      <c r="M366" s="11">
        <f>INDEX(itemGPerQty, MATCH(K366, itemNames, 0))</f>
        <v>0</v>
      </c>
      <c r="N366" s="11">
        <f>INDEX(itemMlPerQty, MATCH(K366, itemNames, 0))</f>
        <v>0</v>
      </c>
      <c r="O366" s="11">
        <f t="shared" ref="O366:O367" si="313">IF(J366 = "", I366 * M366, IF(ISNA(CONVERT(I366, J366, "kg")), CONVERT(I366, J366, "l") * IF(N366 &lt;&gt; 0, M366 / N366, 0), CONVERT(I366, J366, "kg")))</f>
        <v>0</v>
      </c>
      <c r="P366" s="11">
        <f t="shared" ref="P366:P367" si="314">IF(J366 = "", I366 * N366, IF(ISNA(CONVERT(I366, J366, "l")), CONVERT(I366, J366, "kg") * IF(M366 &lt;&gt; 0, N366 / M366, 0), CONVERT(I366, J366, "l")))</f>
        <v>0.23658823649999999</v>
      </c>
      <c r="Q366" s="11">
        <f>MROUND(IF(L366 = "", IF(J366 = "", I366, IF(M366 &lt;&gt; 0, O366 / M366, P366 / N366)) * recipe04DayScale, IF(ISNA(CONVERT(O366, "kg", L366)), CONVERT(P366 * recipe04DayScale, "l", L366), CONVERT(O366 * recipe04DayScale, "kg", L366))), roundTo)</f>
        <v>0.75</v>
      </c>
      <c r="R366" s="11">
        <f>recipe04TotScale * IF(L366 = "", Q366 * M366, IF(ISNA(CONVERT(Q366, L366, "kg")), CONVERT(Q366, L366, "l") * IF(N366 &lt;&gt; 0, M366 / N366, 0), CONVERT(Q366, L366, "kg")))</f>
        <v>0</v>
      </c>
      <c r="S366" s="11">
        <f>recipe04TotScale * IF(R366 = 0, IF(L366 = "", Q366 * N366, IF(ISNA(CONVERT(Q366, L366, "l")), CONVERT(Q366, L366, "kg") * IF(M366 &lt;&gt; 0, N366 / M366, 0), CONVERT(Q366, L366, "l"))), 0)</f>
        <v>0.17744117737499998</v>
      </c>
      <c r="T366" s="11">
        <f>recipe04TotScale * IF(AND(R366 = 0, S366 = 0, J366 = "", L366 = ""), Q366, 0)</f>
        <v>0</v>
      </c>
      <c r="V366" s="8" t="b">
        <f>INDEX(itemPrepMethods, MATCH(K366, itemNames, 0))="chop"</f>
        <v>0</v>
      </c>
      <c r="W366" s="21" t="str">
        <f>IF(V366, Q366, "")</f>
        <v/>
      </c>
      <c r="X366" s="22" t="str">
        <f>IF(V366, IF(L366 = "", "", L366), "")</f>
        <v/>
      </c>
      <c r="Y366" s="22" t="str">
        <f>IF(V366, K366, "")</f>
        <v/>
      </c>
      <c r="Z366" s="23"/>
      <c r="AA366" s="8" t="b">
        <f>INDEX(itemPrepMethods, MATCH(K366, itemNames, 0))="soak"</f>
        <v>0</v>
      </c>
      <c r="AB366" s="22" t="str">
        <f>IF(AA366, Q366, "")</f>
        <v/>
      </c>
      <c r="AC366" s="22" t="str">
        <f>IF(AA366, IF(L366 = "", "", L366), "")</f>
        <v/>
      </c>
      <c r="AD366" s="22" t="str">
        <f>IF(AA366, K366, "")</f>
        <v/>
      </c>
    </row>
    <row r="367" spans="1:30" x14ac:dyDescent="0.25">
      <c r="A367" s="5" t="s">
        <v>21</v>
      </c>
      <c r="B367" s="16">
        <f t="shared" si="310"/>
        <v>0.75</v>
      </c>
      <c r="C367" s="4" t="str">
        <f>IF(L367="","",L367)</f>
        <v>lt</v>
      </c>
      <c r="D367" s="5" t="str">
        <f>_xlfn.CONCAT(K367, U367)</f>
        <v>vegetable stock</v>
      </c>
      <c r="I367" s="18">
        <v>1</v>
      </c>
      <c r="J367" s="19" t="s">
        <v>542</v>
      </c>
      <c r="K367" s="19" t="s">
        <v>40</v>
      </c>
      <c r="L367" s="20" t="s">
        <v>542</v>
      </c>
      <c r="M367" s="11">
        <f>INDEX(itemGPerQty, MATCH(K367, itemNames, 0))</f>
        <v>0</v>
      </c>
      <c r="N367" s="11">
        <f>INDEX(itemMlPerQty, MATCH(K367, itemNames, 0))</f>
        <v>0</v>
      </c>
      <c r="O367" s="11">
        <f t="shared" si="313"/>
        <v>0</v>
      </c>
      <c r="P367" s="11">
        <f t="shared" si="314"/>
        <v>1</v>
      </c>
      <c r="Q367" s="11">
        <f>MROUND(IF(L367 = "", IF(J367 = "", I367, IF(M367 &lt;&gt; 0, O367 / M367, P367 / N367)) * recipe04DayScale, IF(ISNA(CONVERT(O367, "kg", L367)), CONVERT(P367 * recipe04DayScale, "l", L367), CONVERT(O367 * recipe04DayScale, "kg", L367))), roundTo)</f>
        <v>0.75</v>
      </c>
      <c r="R367" s="11">
        <f>recipe04TotScale * IF(L367 = "", Q367 * M367, IF(ISNA(CONVERT(Q367, L367, "kg")), CONVERT(Q367, L367, "l") * IF(N367 &lt;&gt; 0, M367 / N367, 0), CONVERT(Q367, L367, "kg")))</f>
        <v>0</v>
      </c>
      <c r="S367" s="11">
        <f>recipe04TotScale * IF(R367 = 0, IF(L367 = "", Q367 * N367, IF(ISNA(CONVERT(Q367, L367, "l")), CONVERT(Q367, L367, "kg") * IF(M367 &lt;&gt; 0, N367 / M367, 0), CONVERT(Q367, L367, "l"))), 0)</f>
        <v>0.75</v>
      </c>
      <c r="T367" s="11">
        <f>recipe04TotScale * IF(AND(R367 = 0, S367 = 0, J367 = "", L367 = ""), Q367, 0)</f>
        <v>0</v>
      </c>
      <c r="V367" s="8" t="b">
        <f>INDEX(itemPrepMethods, MATCH(K367, itemNames, 0))="chop"</f>
        <v>0</v>
      </c>
      <c r="W367" s="21" t="str">
        <f>IF(V367, Q367, "")</f>
        <v/>
      </c>
      <c r="X367" s="22" t="str">
        <f>IF(V367, IF(L367 = "", "", L367), "")</f>
        <v/>
      </c>
      <c r="Y367" s="22" t="str">
        <f>IF(V367, K367, "")</f>
        <v/>
      </c>
      <c r="Z367" s="23"/>
      <c r="AA367" s="8" t="b">
        <f>INDEX(itemPrepMethods, MATCH(K367, itemNames, 0))="soak"</f>
        <v>0</v>
      </c>
      <c r="AB367" s="22" t="str">
        <f>IF(AA367, Q367, "")</f>
        <v/>
      </c>
      <c r="AC367" s="22" t="str">
        <f>IF(AA367, IF(L367 = "", "", L367), "")</f>
        <v/>
      </c>
      <c r="AD367" s="22" t="str">
        <f>IF(AA367, K367, "")</f>
        <v/>
      </c>
    </row>
    <row r="368" spans="1:30" ht="15.75" x14ac:dyDescent="0.25">
      <c r="A368" s="133"/>
      <c r="B368" s="133"/>
      <c r="C368" s="133"/>
      <c r="D368" s="133"/>
      <c r="E368" s="6"/>
      <c r="F368" s="6"/>
      <c r="G368" s="11"/>
      <c r="H368" s="11"/>
      <c r="I368" s="26"/>
      <c r="J368" s="6"/>
      <c r="K368" s="6"/>
      <c r="L368" s="27"/>
      <c r="M368" s="26"/>
      <c r="N368" s="26"/>
      <c r="O368" s="26"/>
      <c r="P368" s="26"/>
      <c r="Q368" s="6"/>
      <c r="R368" s="26"/>
      <c r="S368" s="26"/>
      <c r="T368" s="26"/>
      <c r="U368" s="6"/>
      <c r="W368" s="21"/>
      <c r="X368" s="21"/>
      <c r="Y368" s="21"/>
      <c r="Z368" s="21"/>
      <c r="AA368" s="30"/>
      <c r="AB368" s="21"/>
      <c r="AC368" s="21"/>
      <c r="AD368" s="21"/>
    </row>
    <row r="369" spans="1:30" x14ac:dyDescent="0.25">
      <c r="A369" s="129" t="s">
        <v>212</v>
      </c>
      <c r="B369" s="129"/>
      <c r="C369" s="129"/>
      <c r="D369" s="129"/>
      <c r="E369" s="6"/>
      <c r="F369" s="6"/>
      <c r="G369" s="11"/>
      <c r="H369" s="11"/>
      <c r="I369" s="26"/>
      <c r="J369" s="6"/>
      <c r="K369" s="6"/>
      <c r="L369" s="27"/>
      <c r="M369" s="26"/>
      <c r="N369" s="26"/>
      <c r="O369" s="26"/>
      <c r="P369" s="26"/>
      <c r="Q369" s="6"/>
      <c r="R369" s="26"/>
      <c r="S369" s="26"/>
      <c r="T369" s="26"/>
      <c r="U369" s="6"/>
      <c r="W369" s="21"/>
      <c r="X369" s="21"/>
      <c r="Y369" s="21"/>
      <c r="Z369" s="21"/>
      <c r="AA369" s="30"/>
      <c r="AB369" s="21"/>
      <c r="AC369" s="21"/>
      <c r="AD369" s="21"/>
    </row>
    <row r="370" spans="1:30" x14ac:dyDescent="0.25">
      <c r="A370" s="5" t="s">
        <v>21</v>
      </c>
      <c r="B370" s="16">
        <f t="shared" si="310"/>
        <v>4.75</v>
      </c>
      <c r="C370" s="4" t="str">
        <f>IF(L370="","",L370)</f>
        <v>cup</v>
      </c>
      <c r="D370" s="5" t="str">
        <f>_xlfn.CONCAT(K370, U370)</f>
        <v>chopped kumara</v>
      </c>
      <c r="I370" s="18">
        <v>3</v>
      </c>
      <c r="J370" s="19"/>
      <c r="K370" s="19" t="s">
        <v>124</v>
      </c>
      <c r="L370" s="20" t="s">
        <v>16</v>
      </c>
      <c r="M370" s="11">
        <f>INDEX(itemGPerQty, MATCH(K370, itemNames, 0))</f>
        <v>0.30149999999999999</v>
      </c>
      <c r="N370" s="11">
        <f>INDEX(itemMlPerQty, MATCH(K370, itemNames, 0))</f>
        <v>0.57499999999999996</v>
      </c>
      <c r="O370" s="11">
        <f t="shared" ref="O370:O371" si="315">IF(J370 = "", I370 * M370, IF(ISNA(CONVERT(I370, J370, "kg")), CONVERT(I370, J370, "l") * IF(N370 &lt;&gt; 0, M370 / N370, 0), CONVERT(I370, J370, "kg")))</f>
        <v>0.90449999999999997</v>
      </c>
      <c r="P370" s="11">
        <f t="shared" ref="P370:P371" si="316">IF(J370 = "", I370 * N370, IF(ISNA(CONVERT(I370, J370, "l")), CONVERT(I370, J370, "kg") * IF(M370 &lt;&gt; 0, N370 / M370, 0), CONVERT(I370, J370, "l")))</f>
        <v>1.7249999999999999</v>
      </c>
      <c r="Q370" s="11">
        <f>MROUND(IF(L370 = "", IF(J370 = "", I370, IF(M370 &lt;&gt; 0, O370 / M370, P370 / N370)) * recipe04DayScale, IF(ISNA(CONVERT(O370, "kg", L370)), CONVERT(P370 * recipe04DayScale, "l", L370), CONVERT(O370 * recipe04DayScale, "kg", L370))), roundTo)</f>
        <v>4.75</v>
      </c>
      <c r="R370" s="11">
        <f>recipe04TotScale * IF(L370 = "", Q370 * M370, IF(ISNA(CONVERT(Q370, L370, "kg")), CONVERT(Q370, L370, "l") * IF(N370 &lt;&gt; 0, M370 / N370, 0), CONVERT(Q370, L370, "kg")))</f>
        <v>0.58925900556097821</v>
      </c>
      <c r="S370" s="11">
        <f>recipe04TotScale * IF(R370 = 0, IF(L370 = "", Q370 * N370, IF(ISNA(CONVERT(Q370, L370, "l")), CONVERT(Q370, L370, "kg") * IF(M370 &lt;&gt; 0, N370 / M370, 0), CONVERT(Q370, L370, "l"))), 0)</f>
        <v>0</v>
      </c>
      <c r="T370" s="11">
        <f>recipe04TotScale * IF(AND(R370 = 0, S370 = 0, J370 = "", L370 = ""), Q370, 0)</f>
        <v>0</v>
      </c>
      <c r="V370" s="8" t="b">
        <f>INDEX(itemPrepMethods, MATCH(K370, itemNames, 0))="chop"</f>
        <v>1</v>
      </c>
      <c r="W370" s="21">
        <f>IF(V370, Q370, "")</f>
        <v>4.75</v>
      </c>
      <c r="X370" s="22" t="str">
        <f>IF(V370, IF(L370 = "", "", L370), "")</f>
        <v>cup</v>
      </c>
      <c r="Y370" s="22" t="str">
        <f>IF(V370, K370, "")</f>
        <v>chopped kumara</v>
      </c>
      <c r="Z370" s="23"/>
      <c r="AA370" s="8" t="b">
        <f>INDEX(itemPrepMethods, MATCH(K370, itemNames, 0))="soak"</f>
        <v>0</v>
      </c>
      <c r="AB370" s="22" t="str">
        <f>IF(AA370, Q370, "")</f>
        <v/>
      </c>
      <c r="AC370" s="22" t="str">
        <f>IF(AA370, IF(L370 = "", "", L370), "")</f>
        <v/>
      </c>
      <c r="AD370" s="22" t="str">
        <f>IF(AA370, K370, "")</f>
        <v/>
      </c>
    </row>
    <row r="371" spans="1:30" x14ac:dyDescent="0.25">
      <c r="A371" s="5" t="s">
        <v>21</v>
      </c>
      <c r="B371" s="16">
        <f t="shared" si="310"/>
        <v>5</v>
      </c>
      <c r="C371" s="4" t="str">
        <f>IF(L371="","",L371)</f>
        <v>cup</v>
      </c>
      <c r="D371" s="5" t="str">
        <f>_xlfn.CONCAT(K371, U371)</f>
        <v>chopped carrots</v>
      </c>
      <c r="I371" s="18">
        <v>9</v>
      </c>
      <c r="J371" s="19"/>
      <c r="K371" s="19" t="s">
        <v>5</v>
      </c>
      <c r="L371" s="20" t="s">
        <v>16</v>
      </c>
      <c r="M371" s="11">
        <f>INDEX(itemGPerQty, MATCH(K371, itemNames, 0))</f>
        <v>0.14833333333333334</v>
      </c>
      <c r="N371" s="11">
        <f>INDEX(itemMlPerQty, MATCH(K371, itemNames, 0))</f>
        <v>0.19999999999999998</v>
      </c>
      <c r="O371" s="11">
        <f t="shared" si="315"/>
        <v>1.3350000000000002</v>
      </c>
      <c r="P371" s="11">
        <f t="shared" si="316"/>
        <v>1.7999999999999998</v>
      </c>
      <c r="Q371" s="11">
        <f>MROUND(IF(L371 = "", IF(J371 = "", I371, IF(M371 &lt;&gt; 0, O371 / M371, P371 / N371)) * recipe04DayScale, IF(ISNA(CONVERT(O371, "kg", L371)), CONVERT(P371 * recipe04DayScale, "l", L371), CONVERT(O371 * recipe04DayScale, "kg", L371))), roundTo)</f>
        <v>5</v>
      </c>
      <c r="R371" s="11">
        <f>recipe04TotScale * IF(L371 = "", Q371 * M371, IF(ISNA(CONVERT(Q371, L371, "kg")), CONVERT(Q371, L371, "l") * IF(N371 &lt;&gt; 0, M371 / N371, 0), CONVERT(Q371, L371, "kg")))</f>
        <v>0.87734804368750019</v>
      </c>
      <c r="S371" s="11">
        <f>recipe04TotScale * IF(R371 = 0, IF(L371 = "", Q371 * N371, IF(ISNA(CONVERT(Q371, L371, "l")), CONVERT(Q371, L371, "kg") * IF(M371 &lt;&gt; 0, N371 / M371, 0), CONVERT(Q371, L371, "l"))), 0)</f>
        <v>0</v>
      </c>
      <c r="T371" s="11">
        <f>recipe04TotScale * IF(AND(R371 = 0, S371 = 0, J371 = "", L371 = ""), Q371, 0)</f>
        <v>0</v>
      </c>
      <c r="V371" s="8" t="b">
        <f>INDEX(itemPrepMethods, MATCH(K371, itemNames, 0))="chop"</f>
        <v>1</v>
      </c>
      <c r="W371" s="21">
        <f>IF(V371, Q371, "")</f>
        <v>5</v>
      </c>
      <c r="X371" s="22" t="str">
        <f>IF(V371, IF(L371 = "", "", L371), "")</f>
        <v>cup</v>
      </c>
      <c r="Y371" s="22" t="str">
        <f>IF(V371, K371, "")</f>
        <v>chopped carrots</v>
      </c>
      <c r="Z371" s="23"/>
      <c r="AA371" s="8" t="b">
        <f>INDEX(itemPrepMethods, MATCH(K371, itemNames, 0))="soak"</f>
        <v>0</v>
      </c>
      <c r="AB371" s="22" t="str">
        <f>IF(AA371, Q371, "")</f>
        <v/>
      </c>
      <c r="AC371" s="22" t="str">
        <f>IF(AA371, IF(L371 = "", "", L371), "")</f>
        <v/>
      </c>
      <c r="AD371" s="22" t="str">
        <f>IF(AA371, K371, "")</f>
        <v/>
      </c>
    </row>
    <row r="372" spans="1:30" ht="15.75" x14ac:dyDescent="0.25">
      <c r="A372" s="133"/>
      <c r="B372" s="133"/>
      <c r="C372" s="133"/>
      <c r="D372" s="133"/>
      <c r="E372" s="6"/>
      <c r="F372" s="6"/>
      <c r="G372" s="11"/>
      <c r="H372" s="11"/>
      <c r="I372" s="26"/>
      <c r="J372" s="6"/>
      <c r="K372" s="6"/>
      <c r="L372" s="27"/>
      <c r="M372" s="26"/>
      <c r="N372" s="26"/>
      <c r="O372" s="26"/>
      <c r="P372" s="26"/>
      <c r="Q372" s="6"/>
      <c r="R372" s="26"/>
      <c r="S372" s="26"/>
      <c r="T372" s="26"/>
      <c r="U372" s="6"/>
      <c r="W372" s="21"/>
      <c r="X372" s="21"/>
      <c r="Y372" s="21"/>
      <c r="Z372" s="21"/>
      <c r="AA372" s="30"/>
      <c r="AB372" s="21"/>
      <c r="AC372" s="21"/>
      <c r="AD372" s="21"/>
    </row>
    <row r="373" spans="1:30" x14ac:dyDescent="0.25">
      <c r="A373" s="129" t="s">
        <v>213</v>
      </c>
      <c r="B373" s="129"/>
      <c r="C373" s="129"/>
      <c r="D373" s="129"/>
      <c r="E373" s="6"/>
      <c r="F373" s="6"/>
      <c r="G373" s="11"/>
      <c r="H373" s="11"/>
      <c r="I373" s="26"/>
      <c r="J373" s="6"/>
      <c r="K373" s="6"/>
      <c r="L373" s="27"/>
      <c r="M373" s="26"/>
      <c r="N373" s="26"/>
      <c r="O373" s="26"/>
      <c r="P373" s="26"/>
      <c r="Q373" s="6"/>
      <c r="R373" s="26"/>
      <c r="S373" s="26"/>
      <c r="T373" s="26"/>
      <c r="U373" s="6"/>
      <c r="W373" s="21"/>
      <c r="X373" s="21"/>
      <c r="Y373" s="21"/>
      <c r="Z373" s="21"/>
      <c r="AA373" s="30"/>
      <c r="AB373" s="21"/>
      <c r="AC373" s="21"/>
      <c r="AD373" s="21"/>
    </row>
    <row r="374" spans="1:30" x14ac:dyDescent="0.25">
      <c r="A374" s="5" t="s">
        <v>21</v>
      </c>
      <c r="B374" s="16">
        <f t="shared" si="310"/>
        <v>1.75</v>
      </c>
      <c r="C374" s="4" t="str">
        <f>IF(L374="","",L374)</f>
        <v>lt</v>
      </c>
      <c r="D374" s="5" t="str">
        <f>_xlfn.CONCAT(K374, U374)</f>
        <v>chopped cauliflowers</v>
      </c>
      <c r="I374" s="18">
        <v>1.2</v>
      </c>
      <c r="J374" s="19"/>
      <c r="K374" s="19" t="s">
        <v>132</v>
      </c>
      <c r="L374" s="20" t="s">
        <v>542</v>
      </c>
      <c r="M374" s="11">
        <f>INDEX(itemGPerQty, MATCH(K374, itemNames, 0))</f>
        <v>0.68899999999999995</v>
      </c>
      <c r="N374" s="11">
        <f>INDEX(itemMlPerQty, MATCH(K374, itemNames, 0))</f>
        <v>2.2000000000000002</v>
      </c>
      <c r="O374" s="11">
        <f t="shared" ref="O374:O377" si="317">IF(J374 = "", I374 * M374, IF(ISNA(CONVERT(I374, J374, "kg")), CONVERT(I374, J374, "l") * IF(N374 &lt;&gt; 0, M374 / N374, 0), CONVERT(I374, J374, "kg")))</f>
        <v>0.82679999999999987</v>
      </c>
      <c r="P374" s="11">
        <f t="shared" ref="P374:P377" si="318">IF(J374 = "", I374 * N374, IF(ISNA(CONVERT(I374, J374, "l")), CONVERT(I374, J374, "kg") * IF(M374 &lt;&gt; 0, N374 / M374, 0), CONVERT(I374, J374, "l")))</f>
        <v>2.64</v>
      </c>
      <c r="Q374" s="11">
        <f>MROUND(IF(L374 = "", IF(J374 = "", I374, IF(M374 &lt;&gt; 0, O374 / M374, P374 / N374)) * recipe04DayScale, IF(ISNA(CONVERT(O374, "kg", L374)), CONVERT(P374 * recipe04DayScale, "l", L374), CONVERT(O374 * recipe04DayScale, "kg", L374))), roundTo)</f>
        <v>1.75</v>
      </c>
      <c r="R374" s="11">
        <f>recipe04TotScale * IF(L374 = "", Q374 * M374, IF(ISNA(CONVERT(Q374, L374, "kg")), CONVERT(Q374, L374, "l") * IF(N374 &lt;&gt; 0, M374 / N374, 0), CONVERT(Q374, L374, "kg")))</f>
        <v>0.54806818181818173</v>
      </c>
      <c r="S374" s="11">
        <f>recipe04TotScale * IF(R374 = 0, IF(L374 = "", Q374 * N374, IF(ISNA(CONVERT(Q374, L374, "l")), CONVERT(Q374, L374, "kg") * IF(M374 &lt;&gt; 0, N374 / M374, 0), CONVERT(Q374, L374, "l"))), 0)</f>
        <v>0</v>
      </c>
      <c r="T374" s="11">
        <f>recipe04TotScale * IF(AND(R374 = 0, S374 = 0, J374 = "", L374 = ""), Q374, 0)</f>
        <v>0</v>
      </c>
      <c r="V374" s="8" t="b">
        <f>INDEX(itemPrepMethods, MATCH(K374, itemNames, 0))="chop"</f>
        <v>1</v>
      </c>
      <c r="W374" s="21">
        <f>IF(V374, Q374, "")</f>
        <v>1.75</v>
      </c>
      <c r="X374" s="22" t="str">
        <f>IF(V374, IF(L374 = "", "", L374), "")</f>
        <v>lt</v>
      </c>
      <c r="Y374" s="22" t="str">
        <f>IF(V374, K374, "")</f>
        <v>chopped cauliflowers</v>
      </c>
      <c r="Z374" s="23"/>
      <c r="AA374" s="8" t="b">
        <f>INDEX(itemPrepMethods, MATCH(K374, itemNames, 0))="soak"</f>
        <v>0</v>
      </c>
      <c r="AB374" s="22" t="str">
        <f>IF(AA374, Q374, "")</f>
        <v/>
      </c>
      <c r="AC374" s="22" t="str">
        <f>IF(AA374, IF(L374 = "", "", L374), "")</f>
        <v/>
      </c>
      <c r="AD374" s="22" t="str">
        <f>IF(AA374, K374, "")</f>
        <v/>
      </c>
    </row>
    <row r="375" spans="1:30" x14ac:dyDescent="0.25">
      <c r="A375" s="5" t="s">
        <v>21</v>
      </c>
      <c r="B375" s="16">
        <f t="shared" si="310"/>
        <v>1.75</v>
      </c>
      <c r="C375" s="4" t="str">
        <f>IF(L375="","",L375)</f>
        <v>lt</v>
      </c>
      <c r="D375" s="5" t="str">
        <f>_xlfn.CONCAT(K375, U375)</f>
        <v>sliced zucchini</v>
      </c>
      <c r="I375" s="18">
        <v>8</v>
      </c>
      <c r="J375" s="19"/>
      <c r="K375" s="19" t="s">
        <v>80</v>
      </c>
      <c r="L375" s="20" t="s">
        <v>542</v>
      </c>
      <c r="M375" s="11">
        <f>INDEX(itemGPerQty, MATCH(K375, itemNames, 0))</f>
        <v>0.16900000000000001</v>
      </c>
      <c r="N375" s="11">
        <f>INDEX(itemMlPerQty, MATCH(K375, itemNames, 0))</f>
        <v>0.35</v>
      </c>
      <c r="O375" s="11">
        <f t="shared" si="317"/>
        <v>1.3520000000000001</v>
      </c>
      <c r="P375" s="11">
        <f t="shared" si="318"/>
        <v>2.8</v>
      </c>
      <c r="Q375" s="11">
        <f>MROUND(IF(L375 = "", IF(J375 = "", I375, IF(M375 &lt;&gt; 0, O375 / M375, P375 / N375)) * recipe04DayScale, IF(ISNA(CONVERT(O375, "kg", L375)), CONVERT(P375 * recipe04DayScale, "l", L375), CONVERT(O375 * recipe04DayScale, "kg", L375))), roundTo)</f>
        <v>1.75</v>
      </c>
      <c r="R375" s="11">
        <f>recipe04TotScale * IF(L375 = "", Q375 * M375, IF(ISNA(CONVERT(Q375, L375, "kg")), CONVERT(Q375, L375, "l") * IF(N375 &lt;&gt; 0, M375 / N375, 0), CONVERT(Q375, L375, "kg")))</f>
        <v>0.84500000000000008</v>
      </c>
      <c r="S375" s="11">
        <f>recipe04TotScale * IF(R375 = 0, IF(L375 = "", Q375 * N375, IF(ISNA(CONVERT(Q375, L375, "l")), CONVERT(Q375, L375, "kg") * IF(M375 &lt;&gt; 0, N375 / M375, 0), CONVERT(Q375, L375, "l"))), 0)</f>
        <v>0</v>
      </c>
      <c r="T375" s="11">
        <f>recipe04TotScale * IF(AND(R375 = 0, S375 = 0, J375 = "", L375 = ""), Q375, 0)</f>
        <v>0</v>
      </c>
      <c r="V375" s="8" t="b">
        <f>INDEX(itemPrepMethods, MATCH(K375, itemNames, 0))="chop"</f>
        <v>1</v>
      </c>
      <c r="W375" s="21">
        <f>IF(V375, Q375, "")</f>
        <v>1.75</v>
      </c>
      <c r="X375" s="22" t="str">
        <f>IF(V375, IF(L375 = "", "", L375), "")</f>
        <v>lt</v>
      </c>
      <c r="Y375" s="22" t="str">
        <f>IF(V375, K375, "")</f>
        <v>sliced zucchini</v>
      </c>
      <c r="Z375" s="23"/>
      <c r="AA375" s="8" t="b">
        <f>INDEX(itemPrepMethods, MATCH(K375, itemNames, 0))="soak"</f>
        <v>0</v>
      </c>
      <c r="AB375" s="22" t="str">
        <f>IF(AA375, Q375, "")</f>
        <v/>
      </c>
      <c r="AC375" s="22" t="str">
        <f>IF(AA375, IF(L375 = "", "", L375), "")</f>
        <v/>
      </c>
      <c r="AD375" s="22" t="str">
        <f>IF(AA375, K375, "")</f>
        <v/>
      </c>
    </row>
    <row r="376" spans="1:30" x14ac:dyDescent="0.25">
      <c r="A376" s="5" t="s">
        <v>21</v>
      </c>
      <c r="B376" s="16">
        <f t="shared" si="310"/>
        <v>6.25</v>
      </c>
      <c r="C376" s="4" t="str">
        <f>IF(L376="","",L376)</f>
        <v>cup</v>
      </c>
      <c r="D376" s="5" t="str">
        <f>_xlfn.CONCAT(K376, U376)</f>
        <v>sliced silverbeet leaves</v>
      </c>
      <c r="I376" s="18">
        <v>11</v>
      </c>
      <c r="J376" s="19"/>
      <c r="K376" s="19" t="s">
        <v>81</v>
      </c>
      <c r="L376" s="20" t="s">
        <v>16</v>
      </c>
      <c r="M376" s="11">
        <f>INDEX(itemGPerQty, MATCH(K376, itemNames, 0))</f>
        <v>3.1E-2</v>
      </c>
      <c r="N376" s="11">
        <f>INDEX(itemMlPerQty, MATCH(K376, itemNames, 0))</f>
        <v>0.2</v>
      </c>
      <c r="O376" s="11">
        <f t="shared" si="317"/>
        <v>0.34099999999999997</v>
      </c>
      <c r="P376" s="11">
        <f t="shared" si="318"/>
        <v>2.2000000000000002</v>
      </c>
      <c r="Q376" s="11">
        <f>MROUND(IF(L376 = "", IF(J376 = "", I376, IF(M376 &lt;&gt; 0, O376 / M376, P376 / N376)) * recipe04DayScale, IF(ISNA(CONVERT(O376, "kg", L376)), CONVERT(P376 * recipe04DayScale, "l", L376), CONVERT(O376 * recipe04DayScale, "kg", L376))), roundTo)</f>
        <v>6.25</v>
      </c>
      <c r="R376" s="11">
        <f>recipe04TotScale * IF(L376 = "", Q376 * M376, IF(ISNA(CONVERT(Q376, L376, "kg")), CONVERT(Q376, L376, "l") * IF(N376 &lt;&gt; 0, M376 / N376, 0), CONVERT(Q376, L376, "kg")))</f>
        <v>0.22919485410937498</v>
      </c>
      <c r="S376" s="11">
        <f>recipe04TotScale * IF(R376 = 0, IF(L376 = "", Q376 * N376, IF(ISNA(CONVERT(Q376, L376, "l")), CONVERT(Q376, L376, "kg") * IF(M376 &lt;&gt; 0, N376 / M376, 0), CONVERT(Q376, L376, "l"))), 0)</f>
        <v>0</v>
      </c>
      <c r="T376" s="11">
        <f>recipe04TotScale * IF(AND(R376 = 0, S376 = 0, J376 = "", L376 = ""), Q376, 0)</f>
        <v>0</v>
      </c>
      <c r="V376" s="8" t="b">
        <f>INDEX(itemPrepMethods, MATCH(K376, itemNames, 0))="chop"</f>
        <v>1</v>
      </c>
      <c r="W376" s="21">
        <f>IF(V376, Q376, "")</f>
        <v>6.25</v>
      </c>
      <c r="X376" s="22" t="str">
        <f>IF(V376, IF(L376 = "", "", L376), "")</f>
        <v>cup</v>
      </c>
      <c r="Y376" s="22" t="str">
        <f>IF(V376, K376, "")</f>
        <v>sliced silverbeet leaves</v>
      </c>
      <c r="Z376" s="23"/>
      <c r="AA376" s="8" t="b">
        <f>INDEX(itemPrepMethods, MATCH(K376, itemNames, 0))="soak"</f>
        <v>0</v>
      </c>
      <c r="AB376" s="22" t="str">
        <f>IF(AA376, Q376, "")</f>
        <v/>
      </c>
      <c r="AC376" s="22" t="str">
        <f>IF(AA376, IF(L376 = "", "", L376), "")</f>
        <v/>
      </c>
      <c r="AD376" s="22" t="str">
        <f>IF(AA376, K376, "")</f>
        <v/>
      </c>
    </row>
    <row r="377" spans="1:30" x14ac:dyDescent="0.25">
      <c r="A377" s="5" t="s">
        <v>21</v>
      </c>
      <c r="B377" s="16">
        <f t="shared" si="310"/>
        <v>0.75</v>
      </c>
      <c r="C377" s="4" t="str">
        <f>IF(L377="","",L377)</f>
        <v>tbs</v>
      </c>
      <c r="D377" s="5" t="str">
        <f>_xlfn.CONCAT(K377, U377)</f>
        <v>salt</v>
      </c>
      <c r="I377" s="18">
        <v>1.1000000000000001</v>
      </c>
      <c r="J377" s="19" t="s">
        <v>15</v>
      </c>
      <c r="K377" s="19" t="s">
        <v>11</v>
      </c>
      <c r="L377" s="20" t="s">
        <v>15</v>
      </c>
      <c r="M377" s="11">
        <f>INDEX(itemGPerQty, MATCH(K377, itemNames, 0))</f>
        <v>2.5000000000000001E-2</v>
      </c>
      <c r="N377" s="11">
        <f>INDEX(itemMlPerQty, MATCH(K377, itemNames, 0))</f>
        <v>2.2180100000000001E-2</v>
      </c>
      <c r="O377" s="11">
        <f t="shared" si="317"/>
        <v>1.8333372324037089E-2</v>
      </c>
      <c r="P377" s="11">
        <f t="shared" si="318"/>
        <v>1.6265441259374999E-2</v>
      </c>
      <c r="Q377" s="11">
        <f>MROUND(IF(L377 = "", IF(J377 = "", I377, IF(M377 &lt;&gt; 0, O377 / M377, P377 / N377)) * recipe04DayScale, IF(ISNA(CONVERT(O377, "kg", L377)), CONVERT(P377 * recipe04DayScale, "l", L377), CONVERT(O377 * recipe04DayScale, "kg", L377))), roundTo)</f>
        <v>0.75</v>
      </c>
      <c r="R377" s="11">
        <f>recipe04TotScale * IF(L377 = "", Q377 * M377, IF(ISNA(CONVERT(Q377, L377, "kg")), CONVERT(Q377, L377, "l") * IF(N377 &lt;&gt; 0, M377 / N377, 0), CONVERT(Q377, L377, "kg")))</f>
        <v>1.2500026584570742E-2</v>
      </c>
      <c r="S377" s="11">
        <f>recipe04TotScale * IF(R377 = 0, IF(L377 = "", Q377 * N377, IF(ISNA(CONVERT(Q377, L377, "l")), CONVERT(Q377, L377, "kg") * IF(M377 &lt;&gt; 0, N377 / M377, 0), CONVERT(Q377, L377, "l"))), 0)</f>
        <v>0</v>
      </c>
      <c r="T377" s="11">
        <f>recipe04TotScale * IF(AND(R377 = 0, S377 = 0, J377 = "", L377 = ""), Q377, 0)</f>
        <v>0</v>
      </c>
      <c r="V377" s="8" t="b">
        <f>INDEX(itemPrepMethods, MATCH(K377, itemNames, 0))="chop"</f>
        <v>0</v>
      </c>
      <c r="W377" s="21" t="str">
        <f>IF(V377, Q377, "")</f>
        <v/>
      </c>
      <c r="X377" s="22" t="str">
        <f>IF(V377, IF(L377 = "", "", L377), "")</f>
        <v/>
      </c>
      <c r="Y377" s="22" t="str">
        <f>IF(V377, K377, "")</f>
        <v/>
      </c>
      <c r="Z377" s="23"/>
      <c r="AA377" s="8" t="b">
        <f>INDEX(itemPrepMethods, MATCH(K377, itemNames, 0))="soak"</f>
        <v>0</v>
      </c>
      <c r="AB377" s="22" t="str">
        <f>IF(AA377, Q377, "")</f>
        <v/>
      </c>
      <c r="AC377" s="22" t="str">
        <f>IF(AA377, IF(L377 = "", "", L377), "")</f>
        <v/>
      </c>
      <c r="AD377" s="22" t="str">
        <f>IF(AA377, K377, "")</f>
        <v/>
      </c>
    </row>
    <row r="378" spans="1:30" ht="15.75" x14ac:dyDescent="0.25">
      <c r="A378" s="133"/>
      <c r="B378" s="133"/>
      <c r="C378" s="133"/>
      <c r="D378" s="133"/>
      <c r="E378" s="6"/>
      <c r="F378" s="6"/>
      <c r="G378" s="11"/>
      <c r="H378" s="11"/>
      <c r="I378" s="26"/>
      <c r="J378" s="6"/>
      <c r="K378" s="6"/>
      <c r="L378" s="27"/>
      <c r="M378" s="26"/>
      <c r="N378" s="26"/>
      <c r="O378" s="26"/>
      <c r="P378" s="26"/>
      <c r="Q378" s="6"/>
      <c r="R378" s="26"/>
      <c r="S378" s="26"/>
      <c r="T378" s="26"/>
      <c r="U378" s="6"/>
      <c r="W378" s="21"/>
      <c r="X378" s="21"/>
      <c r="Y378" s="21"/>
      <c r="Z378" s="21"/>
      <c r="AA378" s="30"/>
      <c r="AB378" s="21"/>
      <c r="AC378" s="21"/>
      <c r="AD378" s="21"/>
    </row>
    <row r="379" spans="1:30" x14ac:dyDescent="0.25">
      <c r="A379" s="129" t="s">
        <v>214</v>
      </c>
      <c r="B379" s="129"/>
      <c r="C379" s="129"/>
      <c r="D379" s="129"/>
      <c r="E379" s="6"/>
      <c r="F379" s="6"/>
      <c r="G379" s="11"/>
      <c r="H379" s="11"/>
      <c r="I379" s="26"/>
      <c r="J379" s="6"/>
      <c r="K379" s="6"/>
      <c r="L379" s="27"/>
      <c r="M379" s="26"/>
      <c r="N379" s="26"/>
      <c r="O379" s="26"/>
      <c r="P379" s="26"/>
      <c r="Q379" s="6"/>
      <c r="R379" s="26"/>
      <c r="S379" s="26"/>
      <c r="T379" s="26"/>
      <c r="U379" s="6"/>
      <c r="W379" s="21"/>
      <c r="X379" s="21"/>
      <c r="Y379" s="21"/>
      <c r="Z379" s="21"/>
      <c r="AA379" s="30"/>
      <c r="AB379" s="21"/>
      <c r="AC379" s="21"/>
      <c r="AD379" s="21"/>
    </row>
    <row r="380" spans="1:30" x14ac:dyDescent="0.25">
      <c r="A380" s="5" t="s">
        <v>21</v>
      </c>
      <c r="B380" s="16">
        <f t="shared" si="310"/>
        <v>1.25</v>
      </c>
      <c r="C380" s="4" t="str">
        <f>IF(L380="","",L380)</f>
        <v/>
      </c>
      <c r="D380" s="5" t="str">
        <f>_xlfn.CONCAT(K380, U380)</f>
        <v>tinned coconut cream</v>
      </c>
      <c r="I380" s="18">
        <v>2</v>
      </c>
      <c r="J380" s="19"/>
      <c r="K380" s="19" t="s">
        <v>367</v>
      </c>
      <c r="L380" s="20"/>
      <c r="M380" s="11">
        <f>INDEX(itemGPerQty, MATCH(K380, itemNames, 0))</f>
        <v>0</v>
      </c>
      <c r="N380" s="11">
        <f>INDEX(itemMlPerQty, MATCH(K380, itemNames, 0))</f>
        <v>0</v>
      </c>
      <c r="O380" s="11">
        <f t="shared" ref="O380:O381" si="319">IF(J380 = "", I380 * M380, IF(ISNA(CONVERT(I380, J380, "kg")), CONVERT(I380, J380, "l") * IF(N380 &lt;&gt; 0, M380 / N380, 0), CONVERT(I380, J380, "kg")))</f>
        <v>0</v>
      </c>
      <c r="P380" s="11">
        <f t="shared" ref="P380:P381" si="320">IF(J380 = "", I380 * N380, IF(ISNA(CONVERT(I380, J380, "l")), CONVERT(I380, J380, "kg") * IF(M380 &lt;&gt; 0, N380 / M380, 0), CONVERT(I380, J380, "l")))</f>
        <v>0</v>
      </c>
      <c r="Q380" s="11">
        <f>MROUND(IF(L380 = "", IF(J380 = "", I380, IF(M380 &lt;&gt; 0, O380 / M380, P380 / N380)) * recipe04DayScale, IF(ISNA(CONVERT(O380, "kg", L380)), CONVERT(P380 * recipe04DayScale, "l", L380), CONVERT(O380 * recipe04DayScale, "kg", L380))), roundTo)</f>
        <v>1.25</v>
      </c>
      <c r="R380" s="11">
        <f>recipe04TotScale * IF(L380 = "", Q380 * M380, IF(ISNA(CONVERT(Q380, L380, "kg")), CONVERT(Q380, L380, "l") * IF(N380 &lt;&gt; 0, M380 / N380, 0), CONVERT(Q380, L380, "kg")))</f>
        <v>0</v>
      </c>
      <c r="S380" s="11">
        <f>recipe04TotScale * IF(R380 = 0, IF(L380 = "", Q380 * N380, IF(ISNA(CONVERT(Q380, L380, "l")), CONVERT(Q380, L380, "kg") * IF(M380 &lt;&gt; 0, N380 / M380, 0), CONVERT(Q380, L380, "l"))), 0)</f>
        <v>0</v>
      </c>
      <c r="T380" s="11">
        <f>recipe04TotScale * IF(AND(R380 = 0, S380 = 0, J380 = "", L380 = ""), Q380, 0)</f>
        <v>1.25</v>
      </c>
      <c r="V380" s="8" t="b">
        <f>INDEX(itemPrepMethods, MATCH(K380, itemNames, 0))="chop"</f>
        <v>0</v>
      </c>
      <c r="W380" s="21" t="str">
        <f>IF(V380, Q380, "")</f>
        <v/>
      </c>
      <c r="X380" s="22" t="str">
        <f>IF(V380, IF(L380 = "", "", L380), "")</f>
        <v/>
      </c>
      <c r="Y380" s="22" t="str">
        <f>IF(V380, K380, "")</f>
        <v/>
      </c>
      <c r="Z380" s="23"/>
      <c r="AA380" s="8" t="b">
        <f>INDEX(itemPrepMethods, MATCH(K380, itemNames, 0))="soak"</f>
        <v>0</v>
      </c>
      <c r="AB380" s="22" t="str">
        <f>IF(AA380, Q380, "")</f>
        <v/>
      </c>
      <c r="AC380" s="22" t="str">
        <f>IF(AA380, IF(L380 = "", "", L380), "")</f>
        <v/>
      </c>
      <c r="AD380" s="22" t="str">
        <f>IF(AA380, K380, "")</f>
        <v/>
      </c>
    </row>
    <row r="381" spans="1:30" x14ac:dyDescent="0.25">
      <c r="A381" s="5" t="s">
        <v>21</v>
      </c>
      <c r="B381" s="16">
        <f t="shared" si="310"/>
        <v>4</v>
      </c>
      <c r="C381" s="4" t="str">
        <f>IF(L381="","",L381)</f>
        <v/>
      </c>
      <c r="D381" s="5" t="str">
        <f>_xlfn.CONCAT(K381, U381)</f>
        <v>tinned chickpeas. Rinse and drain first</v>
      </c>
      <c r="I381" s="18">
        <v>6</v>
      </c>
      <c r="J381" s="18"/>
      <c r="K381" s="18" t="s">
        <v>365</v>
      </c>
      <c r="L381" s="20"/>
      <c r="M381" s="11">
        <f>INDEX(itemGPerQty, MATCH(K381, itemNames, 0))</f>
        <v>0</v>
      </c>
      <c r="N381" s="11">
        <f>INDEX(itemMlPerQty, MATCH(K381, itemNames, 0))</f>
        <v>0</v>
      </c>
      <c r="O381" s="11">
        <f t="shared" si="319"/>
        <v>0</v>
      </c>
      <c r="P381" s="11">
        <f t="shared" si="320"/>
        <v>0</v>
      </c>
      <c r="Q381" s="11">
        <f>MROUND(IF(L381 = "", IF(J381 = "", I381, IF(M381 &lt;&gt; 0, O381 / M381, P381 / N381)) * recipe04DayScale, IF(ISNA(CONVERT(O381, "kg", L381)), CONVERT(P381 * recipe04DayScale, "l", L381), CONVERT(O381 * recipe04DayScale, "kg", L381))), roundTo)</f>
        <v>4</v>
      </c>
      <c r="R381" s="11">
        <f>recipe04TotScale * IF(L381 = "", Q381 * M381, IF(ISNA(CONVERT(Q381, L381, "kg")), CONVERT(Q381, L381, "l") * IF(N381 &lt;&gt; 0, M381 / N381, 0), CONVERT(Q381, L381, "kg")))</f>
        <v>0</v>
      </c>
      <c r="S381" s="11">
        <f>recipe04TotScale * IF(R381 = 0, IF(L381 = "", Q381 * N381, IF(ISNA(CONVERT(Q381, L381, "l")), CONVERT(Q381, L381, "kg") * IF(M381 &lt;&gt; 0, N381 / M381, 0), CONVERT(Q381, L381, "l"))), 0)</f>
        <v>0</v>
      </c>
      <c r="T381" s="11">
        <f>recipe04TotScale * IF(AND(R381 = 0, S381 = 0, J381 = "", L381 = ""), Q381, 0)</f>
        <v>4</v>
      </c>
      <c r="U381" s="8" t="s">
        <v>208</v>
      </c>
      <c r="V381" s="8" t="b">
        <f>INDEX(itemPrepMethods, MATCH(K381, itemNames, 0))="chop"</f>
        <v>0</v>
      </c>
      <c r="W381" s="21" t="str">
        <f>IF(V381, Q381, "")</f>
        <v/>
      </c>
      <c r="X381" s="22" t="str">
        <f>IF(V381, IF(L381 = "", "", L381), "")</f>
        <v/>
      </c>
      <c r="Y381" s="22" t="str">
        <f>IF(V381, K381, "")</f>
        <v/>
      </c>
      <c r="Z381" s="23"/>
      <c r="AA381" s="8" t="b">
        <f>INDEX(itemPrepMethods, MATCH(K381, itemNames, 0))="soak"</f>
        <v>0</v>
      </c>
      <c r="AB381" s="22" t="str">
        <f>IF(AA381, Q381, "")</f>
        <v/>
      </c>
      <c r="AC381" s="22" t="str">
        <f>IF(AA381, IF(L381 = "", "", L381), "")</f>
        <v/>
      </c>
      <c r="AD381" s="22" t="str">
        <f>IF(AA381, K381, "")</f>
        <v/>
      </c>
    </row>
    <row r="382" spans="1:30" x14ac:dyDescent="0.25">
      <c r="A382" s="5" t="s">
        <v>21</v>
      </c>
      <c r="B382" s="16"/>
      <c r="C382" s="4" t="str">
        <f>IF(L382="","",L382)</f>
        <v/>
      </c>
      <c r="D382" s="5" t="str">
        <f>_xlfn.CONCAT(K382, U382)</f>
        <v>water, if required</v>
      </c>
      <c r="I382" s="11"/>
      <c r="K382" s="19" t="s">
        <v>33</v>
      </c>
      <c r="L382" s="8"/>
      <c r="M382" s="8"/>
      <c r="N382" s="8"/>
      <c r="O382" s="8"/>
      <c r="P382" s="8"/>
      <c r="U382" s="8" t="s">
        <v>174</v>
      </c>
      <c r="V382" s="8" t="b">
        <f>INDEX(itemPrepMethods, MATCH(K382, itemNames, 0))="chop"</f>
        <v>0</v>
      </c>
      <c r="W382" s="21" t="str">
        <f>IF(V382, Q382, "")</f>
        <v/>
      </c>
      <c r="X382" s="22" t="str">
        <f>IF(V382, IF(L382 = "", "", L382), "")</f>
        <v/>
      </c>
      <c r="Y382" s="22" t="str">
        <f>IF(V382, K382, "")</f>
        <v/>
      </c>
      <c r="Z382" s="23"/>
      <c r="AA382" s="8" t="b">
        <f>INDEX(itemPrepMethods, MATCH(K382, itemNames, 0))="soak"</f>
        <v>0</v>
      </c>
      <c r="AB382" s="22" t="str">
        <f>IF(AA382, Q382, "")</f>
        <v/>
      </c>
      <c r="AC382" s="22" t="str">
        <f>IF(AA382, IF(L382 = "", "", L382), "")</f>
        <v/>
      </c>
      <c r="AD382" s="22" t="str">
        <f>IF(AA382, K382, "")</f>
        <v/>
      </c>
    </row>
    <row r="383" spans="1:30" x14ac:dyDescent="0.25">
      <c r="A383" s="5" t="s">
        <v>21</v>
      </c>
      <c r="B383" s="16"/>
      <c r="C383" s="4" t="str">
        <f>IF(L383="","",L383)</f>
        <v/>
      </c>
      <c r="D383" s="5" t="str">
        <f>_xlfn.CONCAT(K383, U383)</f>
        <v>salt, to taste</v>
      </c>
      <c r="I383" s="11"/>
      <c r="K383" s="19" t="s">
        <v>11</v>
      </c>
      <c r="L383" s="8"/>
      <c r="M383" s="8"/>
      <c r="N383" s="8"/>
      <c r="O383" s="8"/>
      <c r="P383" s="8"/>
      <c r="U383" s="8" t="s">
        <v>173</v>
      </c>
      <c r="V383" s="8" t="b">
        <f>INDEX(itemPrepMethods, MATCH(K383, itemNames, 0))="chop"</f>
        <v>0</v>
      </c>
      <c r="W383" s="21" t="str">
        <f>IF(V383, Q383, "")</f>
        <v/>
      </c>
      <c r="X383" s="22" t="str">
        <f>IF(V383, IF(L383 = "", "", L383), "")</f>
        <v/>
      </c>
      <c r="Y383" s="22" t="str">
        <f>IF(V383, K383, "")</f>
        <v/>
      </c>
      <c r="Z383" s="23"/>
      <c r="AA383" s="8" t="b">
        <f>INDEX(itemPrepMethods, MATCH(K383, itemNames, 0))="soak"</f>
        <v>0</v>
      </c>
      <c r="AB383" s="22" t="str">
        <f>IF(AA383, Q383, "")</f>
        <v/>
      </c>
      <c r="AC383" s="22" t="str">
        <f>IF(AA383, IF(L383 = "", "", L383), "")</f>
        <v/>
      </c>
      <c r="AD383" s="22" t="str">
        <f>IF(AA383, K383, "")</f>
        <v/>
      </c>
    </row>
    <row r="384" spans="1:30" x14ac:dyDescent="0.25">
      <c r="A384" s="5" t="s">
        <v>21</v>
      </c>
      <c r="B384" s="16"/>
      <c r="C384" s="4" t="str">
        <f>IF(L384="","",L384)</f>
        <v/>
      </c>
      <c r="D384" s="5" t="str">
        <f>_xlfn.CONCAT(K384, U384)</f>
        <v>ground black pepper, to taste</v>
      </c>
      <c r="I384" s="11"/>
      <c r="K384" s="19" t="s">
        <v>54</v>
      </c>
      <c r="L384" s="8"/>
      <c r="M384" s="8"/>
      <c r="N384" s="8"/>
      <c r="O384" s="8"/>
      <c r="P384" s="8"/>
      <c r="U384" s="8" t="s">
        <v>173</v>
      </c>
      <c r="V384" s="8" t="b">
        <f>INDEX(itemPrepMethods, MATCH(K384, itemNames, 0))="chop"</f>
        <v>0</v>
      </c>
      <c r="W384" s="21" t="str">
        <f>IF(V384, Q384, "")</f>
        <v/>
      </c>
      <c r="X384" s="22" t="str">
        <f>IF(V384, IF(L384 = "", "", L384), "")</f>
        <v/>
      </c>
      <c r="Y384" s="22" t="str">
        <f>IF(V384, K384, "")</f>
        <v/>
      </c>
      <c r="Z384" s="23"/>
      <c r="AA384" s="8" t="b">
        <f>INDEX(itemPrepMethods, MATCH(K384, itemNames, 0))="soak"</f>
        <v>0</v>
      </c>
      <c r="AB384" s="22" t="str">
        <f>IF(AA384, Q384, "")</f>
        <v/>
      </c>
      <c r="AC384" s="22" t="str">
        <f>IF(AA384, IF(L384 = "", "", L384), "")</f>
        <v/>
      </c>
      <c r="AD384" s="22" t="str">
        <f>IF(AA384, K384, "")</f>
        <v/>
      </c>
    </row>
    <row r="385" spans="1:30" ht="15.75" x14ac:dyDescent="0.25">
      <c r="A385" s="133"/>
      <c r="B385" s="133"/>
      <c r="C385" s="133"/>
      <c r="D385" s="133"/>
      <c r="E385" s="6"/>
      <c r="F385" s="6"/>
      <c r="G385" s="11"/>
      <c r="H385" s="11"/>
      <c r="I385" s="26"/>
      <c r="J385" s="6"/>
      <c r="K385" s="6"/>
      <c r="L385" s="27"/>
      <c r="M385" s="26"/>
      <c r="N385" s="26"/>
      <c r="O385" s="26"/>
      <c r="P385" s="26"/>
      <c r="Q385" s="6"/>
      <c r="R385" s="26"/>
      <c r="S385" s="26"/>
      <c r="T385" s="26"/>
      <c r="U385" s="6"/>
    </row>
    <row r="386" spans="1:30" x14ac:dyDescent="0.25">
      <c r="A386" s="129" t="s">
        <v>215</v>
      </c>
      <c r="B386" s="129"/>
      <c r="C386" s="129"/>
      <c r="D386" s="129"/>
      <c r="E386" s="6"/>
      <c r="F386" s="6"/>
      <c r="G386" s="11"/>
      <c r="H386" s="11"/>
      <c r="I386" s="26"/>
      <c r="J386" s="6"/>
      <c r="K386" s="6"/>
      <c r="L386" s="27"/>
      <c r="M386" s="26"/>
      <c r="N386" s="26"/>
      <c r="O386" s="26"/>
      <c r="P386" s="26"/>
      <c r="Q386" s="6"/>
      <c r="R386" s="26"/>
      <c r="S386" s="26"/>
      <c r="T386" s="26"/>
      <c r="U386" s="6"/>
    </row>
    <row r="387" spans="1:30" ht="15.75" x14ac:dyDescent="0.25">
      <c r="A387" s="130" t="s">
        <v>517</v>
      </c>
      <c r="B387" s="130"/>
      <c r="C387" s="130"/>
      <c r="D387" s="130"/>
      <c r="E387" s="7" t="s">
        <v>109</v>
      </c>
      <c r="F387" s="39" t="s">
        <v>149</v>
      </c>
      <c r="G387" s="39"/>
    </row>
    <row r="388" spans="1:30" ht="24" x14ac:dyDescent="0.2">
      <c r="A388" s="130" t="s">
        <v>30</v>
      </c>
      <c r="B388" s="130"/>
      <c r="C388" s="130"/>
      <c r="D388" s="130"/>
      <c r="E388" s="6" t="s">
        <v>39</v>
      </c>
      <c r="F388" s="37">
        <v>16</v>
      </c>
      <c r="G388" s="11"/>
      <c r="I388" s="33" t="s">
        <v>355</v>
      </c>
      <c r="J388" s="34" t="s">
        <v>356</v>
      </c>
      <c r="K388" s="34" t="s">
        <v>17</v>
      </c>
      <c r="L388" s="35" t="s">
        <v>359</v>
      </c>
      <c r="M388" s="33" t="s">
        <v>115</v>
      </c>
      <c r="N388" s="33" t="s">
        <v>116</v>
      </c>
      <c r="O388" s="33" t="s">
        <v>357</v>
      </c>
      <c r="P388" s="33" t="s">
        <v>358</v>
      </c>
      <c r="Q388" s="34" t="s">
        <v>286</v>
      </c>
      <c r="R388" s="33" t="s">
        <v>287</v>
      </c>
      <c r="S388" s="33" t="s">
        <v>288</v>
      </c>
      <c r="T388" s="33" t="s">
        <v>289</v>
      </c>
      <c r="U388" s="34" t="s">
        <v>22</v>
      </c>
      <c r="V388" s="34" t="s">
        <v>169</v>
      </c>
      <c r="W388" s="36" t="s">
        <v>286</v>
      </c>
      <c r="X388" s="34" t="s">
        <v>167</v>
      </c>
      <c r="Y388" s="34" t="s">
        <v>168</v>
      </c>
      <c r="Z388" s="34" t="s">
        <v>263</v>
      </c>
      <c r="AA388" s="34" t="s">
        <v>170</v>
      </c>
      <c r="AB388" s="36" t="s">
        <v>286</v>
      </c>
      <c r="AC388" s="34" t="s">
        <v>171</v>
      </c>
      <c r="AD388" s="34" t="s">
        <v>172</v>
      </c>
    </row>
    <row r="389" spans="1:30" ht="13.5" thickBot="1" x14ac:dyDescent="0.3">
      <c r="A389" s="131" t="str">
        <f>_xlfn.CONCAT(F389," servings")</f>
        <v>10 servings</v>
      </c>
      <c r="B389" s="131"/>
      <c r="C389" s="131"/>
      <c r="D389" s="131"/>
      <c r="E389" s="29" t="s">
        <v>281</v>
      </c>
      <c r="F389" s="37">
        <f>wkdyRegDinner</f>
        <v>10</v>
      </c>
      <c r="G389" s="11"/>
      <c r="I389" s="26"/>
      <c r="J389" s="6"/>
      <c r="K389" s="6"/>
      <c r="L389" s="27"/>
      <c r="M389" s="26"/>
      <c r="N389" s="26"/>
      <c r="O389" s="26"/>
      <c r="P389" s="26"/>
      <c r="Q389" s="6"/>
      <c r="R389" s="26"/>
      <c r="S389" s="26"/>
      <c r="T389" s="26"/>
      <c r="U389" s="6"/>
    </row>
    <row r="390" spans="1:30" s="41" customFormat="1" ht="15.75" thickBot="1" x14ac:dyDescent="0.3">
      <c r="A390" s="129"/>
      <c r="B390" s="129"/>
      <c r="C390" s="129"/>
      <c r="D390" s="129"/>
      <c r="E390" s="29" t="s">
        <v>284</v>
      </c>
      <c r="F390" s="14">
        <f>F389/F388</f>
        <v>0.625</v>
      </c>
      <c r="G390" s="15" t="s">
        <v>314</v>
      </c>
      <c r="I390" s="26"/>
      <c r="J390" s="39"/>
      <c r="K390" s="39"/>
      <c r="L390" s="27"/>
      <c r="M390" s="26"/>
      <c r="N390" s="26"/>
      <c r="O390" s="26"/>
      <c r="P390" s="26"/>
      <c r="Q390" s="39"/>
      <c r="R390" s="26"/>
      <c r="S390" s="26"/>
      <c r="T390" s="26"/>
      <c r="U390" s="39"/>
      <c r="W390" s="12"/>
      <c r="Z390" s="13"/>
    </row>
    <row r="391" spans="1:30" ht="15.75" x14ac:dyDescent="0.25">
      <c r="A391" s="129" t="s">
        <v>133</v>
      </c>
      <c r="B391" s="129"/>
      <c r="C391" s="129"/>
      <c r="D391" s="129"/>
      <c r="E391" s="30"/>
      <c r="F391" s="30"/>
      <c r="G391" s="30"/>
      <c r="I391" s="26"/>
      <c r="J391" s="6"/>
      <c r="K391" s="6"/>
      <c r="L391" s="27"/>
      <c r="M391" s="26"/>
      <c r="N391" s="26"/>
      <c r="O391" s="26"/>
      <c r="P391" s="26"/>
      <c r="Q391" s="6"/>
      <c r="R391" s="26"/>
      <c r="S391" s="26"/>
      <c r="T391" s="26"/>
      <c r="U391" s="6"/>
      <c r="W391" s="130" t="s">
        <v>521</v>
      </c>
      <c r="X391" s="130"/>
      <c r="Y391" s="130"/>
      <c r="Z391" s="130"/>
      <c r="AB391" s="130" t="s">
        <v>522</v>
      </c>
      <c r="AC391" s="130"/>
      <c r="AD391" s="130"/>
    </row>
    <row r="392" spans="1:30" ht="16.5" thickBot="1" x14ac:dyDescent="0.3">
      <c r="A392" s="129"/>
      <c r="B392" s="129"/>
      <c r="C392" s="129"/>
      <c r="D392" s="129"/>
      <c r="E392" s="29" t="s">
        <v>273</v>
      </c>
      <c r="F392" s="37">
        <f>wkdyRegDinner</f>
        <v>10</v>
      </c>
      <c r="G392" s="30"/>
      <c r="I392" s="11"/>
      <c r="W392" s="130" t="str">
        <f>A387</f>
        <v>THURSDAY DINNER</v>
      </c>
      <c r="X392" s="130"/>
      <c r="Y392" s="130"/>
      <c r="Z392" s="130"/>
      <c r="AA392" s="41"/>
      <c r="AB392" s="130" t="str">
        <f>A387</f>
        <v>THURSDAY DINNER</v>
      </c>
      <c r="AC392" s="130"/>
      <c r="AD392" s="130"/>
    </row>
    <row r="393" spans="1:30" ht="16.5" thickBot="1" x14ac:dyDescent="0.3">
      <c r="A393" s="129" t="s">
        <v>150</v>
      </c>
      <c r="B393" s="129"/>
      <c r="C393" s="129"/>
      <c r="D393" s="129"/>
      <c r="E393" s="29" t="s">
        <v>285</v>
      </c>
      <c r="F393" s="14">
        <f>F392/F389</f>
        <v>1</v>
      </c>
      <c r="G393" s="15" t="s">
        <v>315</v>
      </c>
      <c r="I393" s="11"/>
      <c r="W393" s="130" t="str">
        <f>A388</f>
        <v>VEGGIE AND SPLIT PEA SOUP</v>
      </c>
      <c r="X393" s="130"/>
      <c r="Y393" s="130"/>
      <c r="Z393" s="130"/>
      <c r="AA393" s="41"/>
      <c r="AB393" s="130" t="str">
        <f>A388</f>
        <v>VEGGIE AND SPLIT PEA SOUP</v>
      </c>
      <c r="AC393" s="130"/>
      <c r="AD393" s="130"/>
    </row>
    <row r="394" spans="1:30" x14ac:dyDescent="0.25">
      <c r="A394" s="5" t="s">
        <v>21</v>
      </c>
      <c r="B394" s="16">
        <f t="shared" ref="B394" si="321">Q394</f>
        <v>1.25</v>
      </c>
      <c r="C394" s="4" t="str">
        <f t="shared" ref="C394" si="322">IF(L394="","",L394)</f>
        <v>cup</v>
      </c>
      <c r="D394" s="5" t="str">
        <f>_xlfn.CONCAT(K394, U394)</f>
        <v>split peas. Soaked by Tenzo the night before. Rinse and drain first</v>
      </c>
      <c r="I394" s="25">
        <v>2</v>
      </c>
      <c r="J394" s="19" t="s">
        <v>16</v>
      </c>
      <c r="K394" s="19" t="s">
        <v>7</v>
      </c>
      <c r="L394" s="20" t="s">
        <v>16</v>
      </c>
      <c r="M394" s="11">
        <f>INDEX(itemGPerQty, MATCH(K394, itemNames, 0))</f>
        <v>0.84699999999999998</v>
      </c>
      <c r="N394" s="11">
        <f>INDEX(itemMlPerQty, MATCH(K394, itemNames, 0))</f>
        <v>0.946353</v>
      </c>
      <c r="O394" s="11">
        <f>IF(J394 = "", I394 * M394, IF(ISNA(CONVERT(I394, J394, "kg")), CONVERT(I394, J394, "l") * IF(N394 &lt;&gt; 0, M394 / N394, 0), CONVERT(I394, J394, "kg")))</f>
        <v>0.4234999758345987</v>
      </c>
      <c r="P394" s="11">
        <f>IF(J394 = "", I394 * N394, IF(ISNA(CONVERT(I394, J394, "l")), CONVERT(I394, J394, "kg") * IF(M394 &lt;&gt; 0, N394 / M394, 0), CONVERT(I394, J394, "l")))</f>
        <v>0.47317647299999999</v>
      </c>
      <c r="Q394" s="11">
        <f>MROUND(IF(L394 = "", IF(J394 = "", I394, IF(M394 &lt;&gt; 0, O394 / M394, P394 / N394)) * recipe11DayScale, IF(ISNA(CONVERT(O394, "kg", L394)), CONVERT(P394 * recipe11DayScale, "l", L394), CONVERT(O394 * recipe11DayScale, "kg", L394))), roundTo)</f>
        <v>1.25</v>
      </c>
      <c r="R394" s="11">
        <f>recipe11TotScale * IF(L394 = "", Q394 * M394, IF(ISNA(CONVERT(Q394, L394, "kg")), CONVERT(Q394, L394, "l") * IF(N394 &lt;&gt; 0, M394 / N394, 0), CONVERT(Q394, L394, "kg")))</f>
        <v>0.26468748489662419</v>
      </c>
      <c r="S394" s="11">
        <f>recipe11TotScale * IF(R394 = 0, IF(L394 = "", Q394 * N394, IF(ISNA(CONVERT(Q394, L394, "l")), CONVERT(Q394, L394, "kg") * IF(M394 &lt;&gt; 0, N394 / M394, 0), CONVERT(Q394, L394, "l"))), 0)</f>
        <v>0</v>
      </c>
      <c r="T394" s="11">
        <f>recipe11TotScale * IF(AND(R394 = 0, S394 = 0, J394 = "", L394 = ""), Q394, 0)</f>
        <v>0</v>
      </c>
      <c r="U394" s="8" t="s">
        <v>201</v>
      </c>
      <c r="V394" s="8" t="b">
        <f>INDEX(itemPrepMethods, MATCH(K394, itemNames, 0))="chop"</f>
        <v>0</v>
      </c>
      <c r="W394" s="21" t="str">
        <f>IF(V394, Q394, "")</f>
        <v/>
      </c>
      <c r="X394" s="22" t="str">
        <f>IF(V394, IF(L394 = "", "", L394), "")</f>
        <v/>
      </c>
      <c r="Y394" s="22" t="str">
        <f>IF(V394, K394, "")</f>
        <v/>
      </c>
      <c r="Z394" s="23"/>
      <c r="AA394" s="8" t="b">
        <f>INDEX(itemPrepMethods, MATCH(K394, itemNames, 0))="soak"</f>
        <v>1</v>
      </c>
      <c r="AB394" s="22">
        <f>IF(AA394, Q394, "")</f>
        <v>1.25</v>
      </c>
      <c r="AC394" s="22" t="str">
        <f>IF(AA394, IF(L394 = "", "", L394), "")</f>
        <v>cup</v>
      </c>
      <c r="AD394" s="22" t="str">
        <f>IF(AA394, K394, "")</f>
        <v>split peas</v>
      </c>
    </row>
    <row r="395" spans="1:30" x14ac:dyDescent="0.25">
      <c r="A395" s="129"/>
      <c r="B395" s="129"/>
      <c r="C395" s="129"/>
      <c r="D395" s="129"/>
      <c r="I395" s="11"/>
      <c r="W395" s="21"/>
      <c r="X395" s="22"/>
      <c r="Y395" s="22"/>
      <c r="Z395" s="23"/>
      <c r="AB395" s="21"/>
      <c r="AC395" s="21"/>
      <c r="AD395" s="21"/>
    </row>
    <row r="396" spans="1:30" x14ac:dyDescent="0.25">
      <c r="A396" s="129" t="s">
        <v>258</v>
      </c>
      <c r="B396" s="129"/>
      <c r="C396" s="129"/>
      <c r="D396" s="129"/>
      <c r="I396" s="11"/>
      <c r="W396" s="21"/>
      <c r="X396" s="22"/>
      <c r="Y396" s="22"/>
      <c r="Z396" s="23"/>
      <c r="AB396" s="21"/>
      <c r="AC396" s="21"/>
      <c r="AD396" s="21"/>
    </row>
    <row r="397" spans="1:30" x14ac:dyDescent="0.25">
      <c r="A397" s="5" t="s">
        <v>21</v>
      </c>
      <c r="B397" s="16">
        <f t="shared" ref="B397" si="323">Q397</f>
        <v>6.25</v>
      </c>
      <c r="C397" s="4" t="str">
        <f t="shared" ref="C397" si="324">IF(L397="","",L397)</f>
        <v>tbs</v>
      </c>
      <c r="D397" s="5" t="str">
        <f>_xlfn.CONCAT(K397, U397)</f>
        <v>oil</v>
      </c>
      <c r="I397" s="25">
        <v>10</v>
      </c>
      <c r="J397" s="19" t="s">
        <v>15</v>
      </c>
      <c r="K397" s="19" t="s">
        <v>32</v>
      </c>
      <c r="L397" s="20" t="s">
        <v>15</v>
      </c>
      <c r="M397" s="11">
        <f t="shared" ref="M397:M401" si="325">INDEX(itemGPerQty, MATCH(K397, itemNames, 0))</f>
        <v>0</v>
      </c>
      <c r="N397" s="11">
        <f t="shared" ref="N397:N401" si="326">INDEX(itemMlPerQty, MATCH(K397, itemNames, 0))</f>
        <v>0</v>
      </c>
      <c r="O397" s="11">
        <f t="shared" ref="O397:O401" si="327">IF(J397 = "", I397 * M397, IF(ISNA(CONVERT(I397, J397, "kg")), CONVERT(I397, J397, "l") * IF(N397 &lt;&gt; 0, M397 / N397, 0), CONVERT(I397, J397, "kg")))</f>
        <v>0</v>
      </c>
      <c r="P397" s="11">
        <f t="shared" ref="P397:P401" si="328">IF(J397 = "", I397 * N397, IF(ISNA(CONVERT(I397, J397, "l")), CONVERT(I397, J397, "kg") * IF(M397 &lt;&gt; 0, N397 / M397, 0), CONVERT(I397, J397, "l")))</f>
        <v>0.1478676478125</v>
      </c>
      <c r="Q397" s="11">
        <f>MROUND(IF(L397 = "", IF(J397 = "", I397, IF(M397 &lt;&gt; 0, O397 / M397, P397 / N397)) * recipe11DayScale, IF(ISNA(CONVERT(O397, "kg", L397)), CONVERT(P397 * recipe11DayScale, "l", L397), CONVERT(O397 * recipe11DayScale, "kg", L397))), roundTo)</f>
        <v>6.25</v>
      </c>
      <c r="R397" s="11">
        <f>recipe11TotScale * IF(L397 = "", Q397 * M397, IF(ISNA(CONVERT(Q397, L397, "kg")), CONVERT(Q397, L397, "l") * IF(N397 &lt;&gt; 0, M397 / N397, 0), CONVERT(Q397, L397, "kg")))</f>
        <v>0</v>
      </c>
      <c r="S397" s="11">
        <f>recipe11TotScale * IF(R397 = 0, IF(L397 = "", Q397 * N397, IF(ISNA(CONVERT(Q397, L397, "l")), CONVERT(Q397, L397, "kg") * IF(M397 &lt;&gt; 0, N397 / M397, 0), CONVERT(Q397, L397, "l"))), 0)</f>
        <v>9.2417279882812495E-2</v>
      </c>
      <c r="T397" s="11">
        <f>recipe11TotScale * IF(AND(R397 = 0, S397 = 0, J397 = "", L397 = ""), Q397, 0)</f>
        <v>0</v>
      </c>
      <c r="V397" s="8" t="b">
        <f>INDEX(itemPrepMethods, MATCH(K397, itemNames, 0))="chop"</f>
        <v>0</v>
      </c>
      <c r="W397" s="21" t="str">
        <f>IF(V397, Q397, "")</f>
        <v/>
      </c>
      <c r="X397" s="22" t="str">
        <f>IF(V397, IF(L397 = "", "", L397), "")</f>
        <v/>
      </c>
      <c r="Y397" s="22" t="str">
        <f>IF(V397, K397, "")</f>
        <v/>
      </c>
      <c r="Z397" s="23"/>
      <c r="AA397" s="8" t="b">
        <f>INDEX(itemPrepMethods, MATCH(K397, itemNames, 0))="soak"</f>
        <v>0</v>
      </c>
      <c r="AB397" s="22" t="str">
        <f>IF(AA397, Q397, "")</f>
        <v/>
      </c>
      <c r="AC397" s="22" t="str">
        <f>IF(AA397, IF(L397 = "", "", L397), "")</f>
        <v/>
      </c>
      <c r="AD397" s="22" t="str">
        <f>IF(AA397, K397, "")</f>
        <v/>
      </c>
    </row>
    <row r="398" spans="1:30" x14ac:dyDescent="0.25">
      <c r="A398" s="5" t="s">
        <v>21</v>
      </c>
      <c r="B398" s="16">
        <f t="shared" ref="B398:B401" si="329">Q398</f>
        <v>5</v>
      </c>
      <c r="C398" s="4" t="str">
        <f t="shared" ref="C398:C401" si="330">IF(L398="","",L398)</f>
        <v/>
      </c>
      <c r="D398" s="5" t="str">
        <f>_xlfn.CONCAT(K398, U398)</f>
        <v>garlic cloves. Remove from oil once cooked</v>
      </c>
      <c r="I398" s="25">
        <v>8</v>
      </c>
      <c r="J398" s="19"/>
      <c r="K398" s="19" t="s">
        <v>8</v>
      </c>
      <c r="L398" s="20"/>
      <c r="M398" s="11">
        <f t="shared" si="325"/>
        <v>0</v>
      </c>
      <c r="N398" s="11">
        <f t="shared" si="326"/>
        <v>0</v>
      </c>
      <c r="O398" s="11">
        <f t="shared" si="327"/>
        <v>0</v>
      </c>
      <c r="P398" s="11">
        <f t="shared" si="328"/>
        <v>0</v>
      </c>
      <c r="Q398" s="11">
        <f>MROUND(IF(L398 = "", IF(J398 = "", I398, IF(M398 &lt;&gt; 0, O398 / M398, P398 / N398)) * recipe11DayScale, IF(ISNA(CONVERT(O398, "kg", L398)), CONVERT(P398 * recipe11DayScale, "l", L398), CONVERT(O398 * recipe11DayScale, "kg", L398))), roundTo)</f>
        <v>5</v>
      </c>
      <c r="R398" s="11">
        <f>recipe11TotScale * IF(L398 = "", Q398 * M398, IF(ISNA(CONVERT(Q398, L398, "kg")), CONVERT(Q398, L398, "l") * IF(N398 &lt;&gt; 0, M398 / N398, 0), CONVERT(Q398, L398, "kg")))</f>
        <v>0</v>
      </c>
      <c r="S398" s="11">
        <f>recipe11TotScale * IF(R398 = 0, IF(L398 = "", Q398 * N398, IF(ISNA(CONVERT(Q398, L398, "l")), CONVERT(Q398, L398, "kg") * IF(M398 &lt;&gt; 0, N398 / M398, 0), CONVERT(Q398, L398, "l"))), 0)</f>
        <v>0</v>
      </c>
      <c r="T398" s="11">
        <f>recipe11TotScale * IF(AND(R398 = 0, S398 = 0, J398 = "", L398 = ""), Q398, 0)</f>
        <v>5</v>
      </c>
      <c r="U398" s="8" t="s">
        <v>200</v>
      </c>
      <c r="V398" s="8" t="b">
        <f>INDEX(itemPrepMethods, MATCH(K398, itemNames, 0))="chop"</f>
        <v>0</v>
      </c>
      <c r="W398" s="21" t="str">
        <f>IF(V398, Q398, "")</f>
        <v/>
      </c>
      <c r="X398" s="22" t="str">
        <f>IF(V398, IF(L398 = "", "", L398), "")</f>
        <v/>
      </c>
      <c r="Y398" s="22" t="str">
        <f>IF(V398, K398, "")</f>
        <v/>
      </c>
      <c r="Z398" s="23"/>
      <c r="AA398" s="8" t="b">
        <f>INDEX(itemPrepMethods, MATCH(K398, itemNames, 0))="soak"</f>
        <v>0</v>
      </c>
      <c r="AB398" s="22" t="str">
        <f>IF(AA398, Q398, "")</f>
        <v/>
      </c>
      <c r="AC398" s="22" t="str">
        <f>IF(AA398, IF(L398 = "", "", L398), "")</f>
        <v/>
      </c>
      <c r="AD398" s="22" t="str">
        <f>IF(AA398, K398, "")</f>
        <v/>
      </c>
    </row>
    <row r="399" spans="1:30" x14ac:dyDescent="0.25">
      <c r="A399" s="5" t="s">
        <v>21</v>
      </c>
      <c r="B399" s="16">
        <f t="shared" si="329"/>
        <v>1.25</v>
      </c>
      <c r="C399" s="4" t="str">
        <f t="shared" si="330"/>
        <v>tbs</v>
      </c>
      <c r="D399" s="5" t="str">
        <f>_xlfn.CONCAT(K399, U399)</f>
        <v>ground turmeric</v>
      </c>
      <c r="I399" s="25">
        <v>2</v>
      </c>
      <c r="J399" s="19" t="s">
        <v>15</v>
      </c>
      <c r="K399" s="19" t="s">
        <v>266</v>
      </c>
      <c r="L399" s="20" t="s">
        <v>15</v>
      </c>
      <c r="M399" s="11">
        <f t="shared" si="325"/>
        <v>1.4E-2</v>
      </c>
      <c r="N399" s="11">
        <f t="shared" si="326"/>
        <v>2.2180100000000001E-2</v>
      </c>
      <c r="O399" s="11">
        <f t="shared" si="327"/>
        <v>1.8666706366292307E-2</v>
      </c>
      <c r="P399" s="11">
        <f t="shared" si="328"/>
        <v>2.9573529562499999E-2</v>
      </c>
      <c r="Q399" s="11">
        <f>MROUND(IF(L399 = "", IF(J399 = "", I399, IF(M399 &lt;&gt; 0, O399 / M399, P399 / N399)) * recipe11DayScale, IF(ISNA(CONVERT(O399, "kg", L399)), CONVERT(P399 * recipe11DayScale, "l", L399), CONVERT(O399 * recipe11DayScale, "kg", L399))), roundTo)</f>
        <v>1.25</v>
      </c>
      <c r="R399" s="11">
        <f>recipe11TotScale * IF(L399 = "", Q399 * M399, IF(ISNA(CONVERT(Q399, L399, "kg")), CONVERT(Q399, L399, "l") * IF(N399 &lt;&gt; 0, M399 / N399, 0), CONVERT(Q399, L399, "kg")))</f>
        <v>1.1666691478932692E-2</v>
      </c>
      <c r="S399" s="11">
        <f>recipe11TotScale * IF(R399 = 0, IF(L399 = "", Q399 * N399, IF(ISNA(CONVERT(Q399, L399, "l")), CONVERT(Q399, L399, "kg") * IF(M399 &lt;&gt; 0, N399 / M399, 0), CONVERT(Q399, L399, "l"))), 0)</f>
        <v>0</v>
      </c>
      <c r="T399" s="11">
        <f>recipe11TotScale * IF(AND(R399 = 0, S399 = 0, J399 = "", L399 = ""), Q399, 0)</f>
        <v>0</v>
      </c>
      <c r="V399" s="8" t="b">
        <f>INDEX(itemPrepMethods, MATCH(K399, itemNames, 0))="chop"</f>
        <v>0</v>
      </c>
      <c r="W399" s="21" t="str">
        <f>IF(V399, Q399, "")</f>
        <v/>
      </c>
      <c r="X399" s="22" t="str">
        <f>IF(V399, IF(L399 = "", "", L399), "")</f>
        <v/>
      </c>
      <c r="Y399" s="22" t="str">
        <f>IF(V399, K399, "")</f>
        <v/>
      </c>
      <c r="Z399" s="23"/>
      <c r="AA399" s="8" t="b">
        <f>INDEX(itemPrepMethods, MATCH(K399, itemNames, 0))="soak"</f>
        <v>0</v>
      </c>
      <c r="AB399" s="22" t="str">
        <f>IF(AA399, Q399, "")</f>
        <v/>
      </c>
      <c r="AC399" s="22" t="str">
        <f>IF(AA399, IF(L399 = "", "", L399), "")</f>
        <v/>
      </c>
      <c r="AD399" s="22" t="str">
        <f>IF(AA399, K399, "")</f>
        <v/>
      </c>
    </row>
    <row r="400" spans="1:30" x14ac:dyDescent="0.25">
      <c r="A400" s="5" t="s">
        <v>21</v>
      </c>
      <c r="B400" s="16">
        <f t="shared" si="329"/>
        <v>0.75</v>
      </c>
      <c r="C400" s="4" t="str">
        <f t="shared" si="330"/>
        <v>tbs</v>
      </c>
      <c r="D400" s="5" t="str">
        <f>_xlfn.CONCAT(K400, U400)</f>
        <v>cinnamon</v>
      </c>
      <c r="I400" s="25">
        <v>1</v>
      </c>
      <c r="J400" s="19" t="s">
        <v>15</v>
      </c>
      <c r="K400" s="19" t="s">
        <v>76</v>
      </c>
      <c r="L400" s="20" t="s">
        <v>15</v>
      </c>
      <c r="M400" s="11">
        <f t="shared" si="325"/>
        <v>1.0999999999999999E-2</v>
      </c>
      <c r="N400" s="11">
        <f t="shared" si="326"/>
        <v>2.2180100000000001E-2</v>
      </c>
      <c r="O400" s="11">
        <f t="shared" si="327"/>
        <v>7.3333489296148338E-3</v>
      </c>
      <c r="P400" s="11">
        <f t="shared" si="328"/>
        <v>1.478676478125E-2</v>
      </c>
      <c r="Q400" s="11">
        <f>MROUND(IF(L400 = "", IF(J400 = "", I400, IF(M400 &lt;&gt; 0, O400 / M400, P400 / N400)) * recipe11DayScale, IF(ISNA(CONVERT(O400, "kg", L400)), CONVERT(P400 * recipe11DayScale, "l", L400), CONVERT(O400 * recipe11DayScale, "kg", L400))), roundTo)</f>
        <v>0.75</v>
      </c>
      <c r="R400" s="11">
        <f>recipe11TotScale * IF(L400 = "", Q400 * M400, IF(ISNA(CONVERT(Q400, L400, "kg")), CONVERT(Q400, L400, "l") * IF(N400 &lt;&gt; 0, M400 / N400, 0), CONVERT(Q400, L400, "kg")))</f>
        <v>5.5000116972111247E-3</v>
      </c>
      <c r="S400" s="11">
        <f>recipe11TotScale * IF(R400 = 0, IF(L400 = "", Q400 * N400, IF(ISNA(CONVERT(Q400, L400, "l")), CONVERT(Q400, L400, "kg") * IF(M400 &lt;&gt; 0, N400 / M400, 0), CONVERT(Q400, L400, "l"))), 0)</f>
        <v>0</v>
      </c>
      <c r="T400" s="11">
        <f>recipe11TotScale * IF(AND(R400 = 0, S400 = 0, J400 = "", L400 = ""), Q400, 0)</f>
        <v>0</v>
      </c>
      <c r="V400" s="8" t="b">
        <f>INDEX(itemPrepMethods, MATCH(K400, itemNames, 0))="chop"</f>
        <v>0</v>
      </c>
      <c r="W400" s="21" t="str">
        <f>IF(V400, Q400, "")</f>
        <v/>
      </c>
      <c r="X400" s="22" t="str">
        <f>IF(V400, IF(L400 = "", "", L400), "")</f>
        <v/>
      </c>
      <c r="Y400" s="22" t="str">
        <f>IF(V400, K400, "")</f>
        <v/>
      </c>
      <c r="Z400" s="23"/>
      <c r="AA400" s="8" t="b">
        <f>INDEX(itemPrepMethods, MATCH(K400, itemNames, 0))="soak"</f>
        <v>0</v>
      </c>
      <c r="AB400" s="22" t="str">
        <f>IF(AA400, Q400, "")</f>
        <v/>
      </c>
      <c r="AC400" s="22" t="str">
        <f>IF(AA400, IF(L400 = "", "", L400), "")</f>
        <v/>
      </c>
      <c r="AD400" s="22" t="str">
        <f>IF(AA400, K400, "")</f>
        <v/>
      </c>
    </row>
    <row r="401" spans="1:30" x14ac:dyDescent="0.25">
      <c r="A401" s="5" t="s">
        <v>21</v>
      </c>
      <c r="B401" s="16">
        <f t="shared" si="329"/>
        <v>4.5</v>
      </c>
      <c r="C401" s="4" t="str">
        <f t="shared" si="330"/>
        <v>tbs</v>
      </c>
      <c r="D401" s="5" t="str">
        <f>_xlfn.CONCAT(K401, U401)</f>
        <v>minced fresh ginger</v>
      </c>
      <c r="I401" s="25">
        <v>7</v>
      </c>
      <c r="J401" s="19" t="s">
        <v>15</v>
      </c>
      <c r="K401" s="19" t="s">
        <v>188</v>
      </c>
      <c r="L401" s="20" t="s">
        <v>15</v>
      </c>
      <c r="M401" s="11">
        <f t="shared" si="325"/>
        <v>2.4E-2</v>
      </c>
      <c r="N401" s="11">
        <f t="shared" si="326"/>
        <v>3.4501958300000003E-2</v>
      </c>
      <c r="O401" s="11">
        <f t="shared" si="327"/>
        <v>7.2001028511184534E-2</v>
      </c>
      <c r="P401" s="11">
        <f t="shared" si="328"/>
        <v>0.10350735346874999</v>
      </c>
      <c r="Q401" s="11">
        <f>MROUND(IF(L401 = "", IF(J401 = "", I401, IF(M401 &lt;&gt; 0, O401 / M401, P401 / N401)) * recipe11DayScale, IF(ISNA(CONVERT(O401, "kg", L401)), CONVERT(P401 * recipe11DayScale, "l", L401), CONVERT(O401 * recipe11DayScale, "kg", L401))), roundTo)</f>
        <v>4.5</v>
      </c>
      <c r="R401" s="11">
        <f>recipe11TotScale * IF(L401 = "", Q401 * M401, IF(ISNA(CONVERT(Q401, L401, "kg")), CONVERT(Q401, L401, "l") * IF(N401 &lt;&gt; 0, M401 / N401, 0), CONVERT(Q401, L401, "kg")))</f>
        <v>4.6286375471475766E-2</v>
      </c>
      <c r="S401" s="11">
        <f>recipe11TotScale * IF(R401 = 0, IF(L401 = "", Q401 * N401, IF(ISNA(CONVERT(Q401, L401, "l")), CONVERT(Q401, L401, "kg") * IF(M401 &lt;&gt; 0, N401 / M401, 0), CONVERT(Q401, L401, "l"))), 0)</f>
        <v>0</v>
      </c>
      <c r="T401" s="11">
        <f>recipe11TotScale * IF(AND(R401 = 0, S401 = 0, J401 = "", L401 = ""), Q401, 0)</f>
        <v>0</v>
      </c>
      <c r="V401" s="8" t="b">
        <f>INDEX(itemPrepMethods, MATCH(K401, itemNames, 0))="chop"</f>
        <v>1</v>
      </c>
      <c r="W401" s="21">
        <f>IF(V401, Q401, "")</f>
        <v>4.5</v>
      </c>
      <c r="X401" s="22" t="str">
        <f>IF(V401, IF(L401 = "", "", L401), "")</f>
        <v>tbs</v>
      </c>
      <c r="Y401" s="22" t="str">
        <f>IF(V401, K401, "")</f>
        <v>minced fresh ginger</v>
      </c>
      <c r="Z401" s="23"/>
      <c r="AA401" s="8" t="b">
        <f>INDEX(itemPrepMethods, MATCH(K401, itemNames, 0))="soak"</f>
        <v>0</v>
      </c>
      <c r="AB401" s="22" t="str">
        <f>IF(AA401, Q401, "")</f>
        <v/>
      </c>
      <c r="AC401" s="22" t="str">
        <f>IF(AA401, IF(L401 = "", "", L401), "")</f>
        <v/>
      </c>
      <c r="AD401" s="22" t="str">
        <f>IF(AA401, K401, "")</f>
        <v/>
      </c>
    </row>
    <row r="402" spans="1:30" x14ac:dyDescent="0.25">
      <c r="A402" s="129"/>
      <c r="B402" s="129"/>
      <c r="C402" s="129"/>
      <c r="D402" s="129"/>
      <c r="I402" s="8"/>
      <c r="L402" s="8"/>
      <c r="M402" s="8"/>
      <c r="N402" s="8"/>
      <c r="O402" s="8"/>
      <c r="P402" s="8"/>
      <c r="Q402" s="8"/>
      <c r="T402" s="8"/>
      <c r="W402" s="21"/>
      <c r="X402" s="22"/>
      <c r="Y402" s="22"/>
      <c r="Z402" s="23"/>
      <c r="AB402" s="21"/>
      <c r="AC402" s="21"/>
      <c r="AD402" s="21"/>
    </row>
    <row r="403" spans="1:30" x14ac:dyDescent="0.25">
      <c r="A403" s="129" t="s">
        <v>153</v>
      </c>
      <c r="B403" s="129"/>
      <c r="C403" s="129"/>
      <c r="D403" s="129"/>
      <c r="I403" s="8"/>
      <c r="L403" s="8"/>
      <c r="M403" s="8"/>
      <c r="N403" s="8"/>
      <c r="O403" s="8"/>
      <c r="P403" s="8"/>
      <c r="Q403" s="8"/>
      <c r="T403" s="8"/>
      <c r="W403" s="21"/>
      <c r="X403" s="22"/>
      <c r="Y403" s="22"/>
      <c r="Z403" s="23"/>
      <c r="AB403" s="21"/>
      <c r="AC403" s="21"/>
      <c r="AD403" s="21"/>
    </row>
    <row r="404" spans="1:30" x14ac:dyDescent="0.25">
      <c r="A404" s="5" t="s">
        <v>21</v>
      </c>
      <c r="B404" s="16">
        <f t="shared" ref="B404:B406" si="331">Q404</f>
        <v>1.25</v>
      </c>
      <c r="C404" s="4" t="str">
        <f t="shared" ref="C404:C406" si="332">IF(L404="","",L404)</f>
        <v>lt</v>
      </c>
      <c r="D404" s="5" t="str">
        <f>_xlfn.CONCAT(K404, U404)</f>
        <v>water. This soup is thick so DON'T ADD TOO MUCH</v>
      </c>
      <c r="I404" s="25">
        <v>2</v>
      </c>
      <c r="J404" s="19" t="s">
        <v>542</v>
      </c>
      <c r="K404" s="19" t="s">
        <v>33</v>
      </c>
      <c r="L404" s="20" t="s">
        <v>542</v>
      </c>
      <c r="M404" s="11">
        <f>INDEX(itemGPerQty, MATCH(K404, itemNames, 0))</f>
        <v>1</v>
      </c>
      <c r="N404" s="11">
        <f>INDEX(itemMlPerQty, MATCH(K404, itemNames, 0))</f>
        <v>1</v>
      </c>
      <c r="O404" s="11">
        <f t="shared" ref="O404:O407" si="333">IF(J404 = "", I404 * M404, IF(ISNA(CONVERT(I404, J404, "kg")), CONVERT(I404, J404, "l") * IF(N404 &lt;&gt; 0, M404 / N404, 0), CONVERT(I404, J404, "kg")))</f>
        <v>2</v>
      </c>
      <c r="P404" s="11">
        <f t="shared" ref="P404:P407" si="334">IF(J404 = "", I404 * N404, IF(ISNA(CONVERT(I404, J404, "l")), CONVERT(I404, J404, "kg") * IF(M404 &lt;&gt; 0, N404 / M404, 0), CONVERT(I404, J404, "l")))</f>
        <v>2</v>
      </c>
      <c r="Q404" s="11">
        <f>MROUND(IF(L404 = "", IF(J404 = "", I404, IF(M404 &lt;&gt; 0, O404 / M404, P404 / N404)) * recipe11DayScale, IF(ISNA(CONVERT(O404, "kg", L404)), CONVERT(P404 * recipe11DayScale, "l", L404), CONVERT(O404 * recipe11DayScale, "kg", L404))), roundTo)</f>
        <v>1.25</v>
      </c>
      <c r="R404" s="11">
        <f>recipe11TotScale * IF(L404 = "", Q404 * M404, IF(ISNA(CONVERT(Q404, L404, "kg")), CONVERT(Q404, L404, "l") * IF(N404 &lt;&gt; 0, M404 / N404, 0), CONVERT(Q404, L404, "kg")))</f>
        <v>1.25</v>
      </c>
      <c r="S404" s="11">
        <f>recipe11TotScale * IF(R404 = 0, IF(L404 = "", Q404 * N404, IF(ISNA(CONVERT(Q404, L404, "l")), CONVERT(Q404, L404, "kg") * IF(M404 &lt;&gt; 0, N404 / M404, 0), CONVERT(Q404, L404, "l"))), 0)</f>
        <v>0</v>
      </c>
      <c r="T404" s="11">
        <f>recipe11TotScale * IF(AND(R404 = 0, S404 = 0, J404 = "", L404 = ""), Q404, 0)</f>
        <v>0</v>
      </c>
      <c r="U404" s="8" t="s">
        <v>257</v>
      </c>
      <c r="V404" s="8" t="b">
        <f>INDEX(itemPrepMethods, MATCH(K404, itemNames, 0))="chop"</f>
        <v>0</v>
      </c>
      <c r="W404" s="21" t="str">
        <f>IF(V404, Q404, "")</f>
        <v/>
      </c>
      <c r="X404" s="22" t="str">
        <f>IF(V404, IF(L404 = "", "", L404), "")</f>
        <v/>
      </c>
      <c r="Y404" s="22" t="str">
        <f>IF(V404, K404, "")</f>
        <v/>
      </c>
      <c r="Z404" s="23"/>
      <c r="AA404" s="8" t="b">
        <f>INDEX(itemPrepMethods, MATCH(K404, itemNames, 0))="soak"</f>
        <v>0</v>
      </c>
      <c r="AB404" s="22" t="str">
        <f>IF(AA404, Q404, "")</f>
        <v/>
      </c>
      <c r="AC404" s="22" t="str">
        <f>IF(AA404, IF(L404 = "", "", L404), "")</f>
        <v/>
      </c>
      <c r="AD404" s="22" t="str">
        <f>IF(AA404, K404, "")</f>
        <v/>
      </c>
    </row>
    <row r="405" spans="1:30" x14ac:dyDescent="0.25">
      <c r="A405" s="5" t="s">
        <v>21</v>
      </c>
      <c r="B405" s="16">
        <f t="shared" si="331"/>
        <v>1.75</v>
      </c>
      <c r="C405" s="4" t="str">
        <f t="shared" si="332"/>
        <v>lt</v>
      </c>
      <c r="D405" s="5" t="str">
        <f>_xlfn.CONCAT(K405, U405)</f>
        <v>chopped potatoes</v>
      </c>
      <c r="I405" s="25">
        <v>8</v>
      </c>
      <c r="J405" s="19"/>
      <c r="K405" s="19" t="s">
        <v>4</v>
      </c>
      <c r="L405" s="20" t="s">
        <v>542</v>
      </c>
      <c r="M405" s="11">
        <f>INDEX(itemGPerQty, MATCH(K405, itemNames, 0))</f>
        <v>0.22500000000000001</v>
      </c>
      <c r="N405" s="11">
        <f>INDEX(itemMlPerQty, MATCH(K405, itemNames, 0))</f>
        <v>0.33750000000000002</v>
      </c>
      <c r="O405" s="11">
        <f t="shared" si="333"/>
        <v>1.8</v>
      </c>
      <c r="P405" s="11">
        <f t="shared" si="334"/>
        <v>2.7</v>
      </c>
      <c r="Q405" s="11">
        <f>MROUND(IF(L405 = "", IF(J405 = "", I405, IF(M405 &lt;&gt; 0, O405 / M405, P405 / N405)) * recipe11DayScale, IF(ISNA(CONVERT(O405, "kg", L405)), CONVERT(P405 * recipe11DayScale, "l", L405), CONVERT(O405 * recipe11DayScale, "kg", L405))), roundTo)</f>
        <v>1.75</v>
      </c>
      <c r="R405" s="11">
        <f>recipe11TotScale * IF(L405 = "", Q405 * M405, IF(ISNA(CONVERT(Q405, L405, "kg")), CONVERT(Q405, L405, "l") * IF(N405 &lt;&gt; 0, M405 / N405, 0), CONVERT(Q405, L405, "kg")))</f>
        <v>1.1666666666666665</v>
      </c>
      <c r="S405" s="11">
        <f>recipe11TotScale * IF(R405 = 0, IF(L405 = "", Q405 * N405, IF(ISNA(CONVERT(Q405, L405, "l")), CONVERT(Q405, L405, "kg") * IF(M405 &lt;&gt; 0, N405 / M405, 0), CONVERT(Q405, L405, "l"))), 0)</f>
        <v>0</v>
      </c>
      <c r="T405" s="11">
        <f>recipe11TotScale * IF(AND(R405 = 0, S405 = 0, J405 = "", L405 = ""), Q405, 0)</f>
        <v>0</v>
      </c>
      <c r="V405" s="8" t="b">
        <f>INDEX(itemPrepMethods, MATCH(K405, itemNames, 0))="chop"</f>
        <v>1</v>
      </c>
      <c r="W405" s="21">
        <f>IF(V405, Q405, "")</f>
        <v>1.75</v>
      </c>
      <c r="X405" s="22" t="str">
        <f>IF(V405, IF(L405 = "", "", L405), "")</f>
        <v>lt</v>
      </c>
      <c r="Y405" s="22" t="str">
        <f>IF(V405, K405, "")</f>
        <v>chopped potatoes</v>
      </c>
      <c r="Z405" s="23"/>
      <c r="AA405" s="8" t="b">
        <f>INDEX(itemPrepMethods, MATCH(K405, itemNames, 0))="soak"</f>
        <v>0</v>
      </c>
      <c r="AB405" s="22" t="str">
        <f>IF(AA405, Q405, "")</f>
        <v/>
      </c>
      <c r="AC405" s="22" t="str">
        <f>IF(AA405, IF(L405 = "", "", L405), "")</f>
        <v/>
      </c>
      <c r="AD405" s="22" t="str">
        <f>IF(AA405, K405, "")</f>
        <v/>
      </c>
    </row>
    <row r="406" spans="1:30" x14ac:dyDescent="0.25">
      <c r="A406" s="5" t="s">
        <v>21</v>
      </c>
      <c r="B406" s="16">
        <f t="shared" si="331"/>
        <v>5.75</v>
      </c>
      <c r="C406" s="4" t="str">
        <f t="shared" si="332"/>
        <v>cup</v>
      </c>
      <c r="D406" s="5" t="str">
        <f>_xlfn.CONCAT(K406, U406)</f>
        <v>chopped celery stalks</v>
      </c>
      <c r="I406" s="25">
        <v>11</v>
      </c>
      <c r="J406" s="19"/>
      <c r="K406" s="19" t="s">
        <v>122</v>
      </c>
      <c r="L406" s="20" t="s">
        <v>16</v>
      </c>
      <c r="M406" s="11">
        <f>INDEX(itemGPerQty, MATCH(K406, itemNames, 0))</f>
        <v>0.1045</v>
      </c>
      <c r="N406" s="11">
        <f>INDEX(itemMlPerQty, MATCH(K406, itemNames, 0))</f>
        <v>0.2</v>
      </c>
      <c r="O406" s="11">
        <f t="shared" si="333"/>
        <v>1.1495</v>
      </c>
      <c r="P406" s="11">
        <f t="shared" si="334"/>
        <v>2.2000000000000002</v>
      </c>
      <c r="Q406" s="11">
        <f>MROUND(IF(L406 = "", IF(J406 = "", I406, IF(M406 &lt;&gt; 0, O406 / M406, P406 / N406)) * recipe11DayScale, IF(ISNA(CONVERT(O406, "kg", L406)), CONVERT(P406 * recipe11DayScale, "l", L406), CONVERT(O406 * recipe11DayScale, "kg", L406))), roundTo)</f>
        <v>5.75</v>
      </c>
      <c r="R406" s="11">
        <f>recipe11TotScale * IF(L406 = "", Q406 * M406, IF(ISNA(CONVERT(Q406, L406, "kg")), CONVERT(Q406, L406, "l") * IF(N406 &lt;&gt; 0, M406 / N406, 0), CONVERT(Q406, L406, "kg")))</f>
        <v>0.71079978303468749</v>
      </c>
      <c r="S406" s="11">
        <f>recipe11TotScale * IF(R406 = 0, IF(L406 = "", Q406 * N406, IF(ISNA(CONVERT(Q406, L406, "l")), CONVERT(Q406, L406, "kg") * IF(M406 &lt;&gt; 0, N406 / M406, 0), CONVERT(Q406, L406, "l"))), 0)</f>
        <v>0</v>
      </c>
      <c r="T406" s="11">
        <f>recipe11TotScale * IF(AND(R406 = 0, S406 = 0, J406 = "", L406 = ""), Q406, 0)</f>
        <v>0</v>
      </c>
      <c r="V406" s="8" t="b">
        <f>INDEX(itemPrepMethods, MATCH(K406, itemNames, 0))="chop"</f>
        <v>1</v>
      </c>
      <c r="W406" s="21">
        <f>IF(V406, Q406, "")</f>
        <v>5.75</v>
      </c>
      <c r="X406" s="22" t="str">
        <f>IF(V406, IF(L406 = "", "", L406), "")</f>
        <v>cup</v>
      </c>
      <c r="Y406" s="22" t="str">
        <f>IF(V406, K406, "")</f>
        <v>chopped celery stalks</v>
      </c>
      <c r="Z406" s="23"/>
      <c r="AA406" s="8" t="b">
        <f>INDEX(itemPrepMethods, MATCH(K406, itemNames, 0))="soak"</f>
        <v>0</v>
      </c>
      <c r="AB406" s="22" t="str">
        <f>IF(AA406, Q406, "")</f>
        <v/>
      </c>
      <c r="AC406" s="22" t="str">
        <f>IF(AA406, IF(L406 = "", "", L406), "")</f>
        <v/>
      </c>
      <c r="AD406" s="22" t="str">
        <f>IF(AA406, K406, "")</f>
        <v/>
      </c>
    </row>
    <row r="407" spans="1:30" x14ac:dyDescent="0.25">
      <c r="A407" s="5" t="s">
        <v>21</v>
      </c>
      <c r="B407" s="16">
        <f t="shared" ref="B407" si="335">Q407</f>
        <v>1.75</v>
      </c>
      <c r="C407" s="4" t="str">
        <f t="shared" ref="C407" si="336">IF(L407="","",L407)</f>
        <v>lt</v>
      </c>
      <c r="D407" s="5" t="str">
        <f>_xlfn.CONCAT(K407, U407)</f>
        <v>chopped silverbeet leaves</v>
      </c>
      <c r="I407" s="25">
        <v>11</v>
      </c>
      <c r="J407" s="19"/>
      <c r="K407" s="19" t="s">
        <v>152</v>
      </c>
      <c r="L407" s="20" t="s">
        <v>542</v>
      </c>
      <c r="M407" s="11">
        <f>INDEX(itemGPerQty, MATCH(K407, itemNames, 0))</f>
        <v>3.3600000000000005E-2</v>
      </c>
      <c r="N407" s="11">
        <f>INDEX(itemMlPerQty, MATCH(K407, itemNames, 0))</f>
        <v>0.26</v>
      </c>
      <c r="O407" s="11">
        <f t="shared" si="333"/>
        <v>0.36960000000000004</v>
      </c>
      <c r="P407" s="11">
        <f t="shared" si="334"/>
        <v>2.8600000000000003</v>
      </c>
      <c r="Q407" s="11">
        <f>MROUND(IF(L407 = "", IF(J407 = "", I407, IF(M407 &lt;&gt; 0, O407 / M407, P407 / N407)) * recipe11DayScale, IF(ISNA(CONVERT(O407, "kg", L407)), CONVERT(P407 * recipe11DayScale, "l", L407), CONVERT(O407 * recipe11DayScale, "kg", L407))), roundTo)</f>
        <v>1.75</v>
      </c>
      <c r="R407" s="11">
        <f>recipe11TotScale * IF(L407 = "", Q407 * M407, IF(ISNA(CONVERT(Q407, L407, "kg")), CONVERT(Q407, L407, "l") * IF(N407 &lt;&gt; 0, M407 / N407, 0), CONVERT(Q407, L407, "kg")))</f>
        <v>0.22615384615384615</v>
      </c>
      <c r="S407" s="11">
        <f>recipe11TotScale * IF(R407 = 0, IF(L407 = "", Q407 * N407, IF(ISNA(CONVERT(Q407, L407, "l")), CONVERT(Q407, L407, "kg") * IF(M407 &lt;&gt; 0, N407 / M407, 0), CONVERT(Q407, L407, "l"))), 0)</f>
        <v>0</v>
      </c>
      <c r="T407" s="11">
        <f>recipe11TotScale * IF(AND(R407 = 0, S407 = 0, J407 = "", L407 = ""), Q407, 0)</f>
        <v>0</v>
      </c>
      <c r="V407" s="8" t="b">
        <f>INDEX(itemPrepMethods, MATCH(K407, itemNames, 0))="chop"</f>
        <v>1</v>
      </c>
      <c r="W407" s="21">
        <f>IF(V407, Q407, "")</f>
        <v>1.75</v>
      </c>
      <c r="X407" s="22" t="str">
        <f>IF(V407, IF(L407 = "", "", L407), "")</f>
        <v>lt</v>
      </c>
      <c r="Y407" s="22" t="str">
        <f>IF(V407, K407, "")</f>
        <v>chopped silverbeet leaves</v>
      </c>
      <c r="Z407" s="23"/>
      <c r="AA407" s="8" t="b">
        <f>INDEX(itemPrepMethods, MATCH(K407, itemNames, 0))="soak"</f>
        <v>0</v>
      </c>
      <c r="AB407" s="22" t="str">
        <f>IF(AA407, Q407, "")</f>
        <v/>
      </c>
      <c r="AC407" s="22" t="str">
        <f>IF(AA407, IF(L407 = "", "", L407), "")</f>
        <v/>
      </c>
      <c r="AD407" s="22" t="str">
        <f>IF(AA407, K407, "")</f>
        <v/>
      </c>
    </row>
    <row r="408" spans="1:30" x14ac:dyDescent="0.25">
      <c r="A408" s="129"/>
      <c r="B408" s="129"/>
      <c r="C408" s="129"/>
      <c r="D408" s="129"/>
      <c r="I408" s="11"/>
      <c r="L408" s="8"/>
      <c r="M408" s="8"/>
      <c r="N408" s="8"/>
      <c r="W408" s="21"/>
      <c r="X408" s="22"/>
      <c r="Y408" s="22"/>
      <c r="Z408" s="23"/>
      <c r="AB408" s="21"/>
      <c r="AC408" s="21"/>
      <c r="AD408" s="21"/>
    </row>
    <row r="409" spans="1:30" x14ac:dyDescent="0.25">
      <c r="A409" s="129" t="s">
        <v>126</v>
      </c>
      <c r="B409" s="129"/>
      <c r="C409" s="129"/>
      <c r="D409" s="129"/>
      <c r="I409" s="11"/>
      <c r="L409" s="8"/>
      <c r="M409" s="8"/>
      <c r="N409" s="8"/>
      <c r="W409" s="21"/>
      <c r="X409" s="22"/>
      <c r="Y409" s="22"/>
      <c r="Z409" s="23"/>
      <c r="AB409" s="21"/>
      <c r="AC409" s="21"/>
      <c r="AD409" s="21"/>
    </row>
    <row r="410" spans="1:30" x14ac:dyDescent="0.25">
      <c r="A410" s="5" t="s">
        <v>21</v>
      </c>
      <c r="B410" s="16">
        <f t="shared" ref="B410" si="337">Q410</f>
        <v>1.25</v>
      </c>
      <c r="C410" s="4" t="str">
        <f t="shared" ref="C410:C411" si="338">IF(L410="","",L410)</f>
        <v/>
      </c>
      <c r="D410" s="5" t="str">
        <f>_xlfn.CONCAT(K410, U410)</f>
        <v>tinned coconut cream</v>
      </c>
      <c r="I410" s="25">
        <v>2</v>
      </c>
      <c r="J410" s="19"/>
      <c r="K410" s="19" t="s">
        <v>367</v>
      </c>
      <c r="L410" s="20"/>
      <c r="M410" s="11">
        <f>INDEX(itemGPerQty, MATCH(K410, itemNames, 0))</f>
        <v>0</v>
      </c>
      <c r="N410" s="11">
        <f>INDEX(itemMlPerQty, MATCH(K410, itemNames, 0))</f>
        <v>0</v>
      </c>
      <c r="O410" s="11">
        <f>IF(J410 = "", I410 * M410, IF(ISNA(CONVERT(I410, J410, "kg")), CONVERT(I410, J410, "l") * IF(N410 &lt;&gt; 0, M410 / N410, 0), CONVERT(I410, J410, "kg")))</f>
        <v>0</v>
      </c>
      <c r="P410" s="11">
        <f>IF(J410 = "", I410 * N410, IF(ISNA(CONVERT(I410, J410, "l")), CONVERT(I410, J410, "kg") * IF(M410 &lt;&gt; 0, N410 / M410, 0), CONVERT(I410, J410, "l")))</f>
        <v>0</v>
      </c>
      <c r="Q410" s="11">
        <f>MROUND(IF(L410 = "", IF(J410 = "", I410, IF(M410 &lt;&gt; 0, O410 / M410, P410 / N410)) * recipe11DayScale, IF(ISNA(CONVERT(O410, "kg", L410)), CONVERT(P410 * recipe11DayScale, "l", L410), CONVERT(O410 * recipe11DayScale, "kg", L410))), roundTo)</f>
        <v>1.25</v>
      </c>
      <c r="R410" s="11">
        <f>recipe11TotScale * IF(L410 = "", Q410 * M410, IF(ISNA(CONVERT(Q410, L410, "kg")), CONVERT(Q410, L410, "l") * IF(N410 &lt;&gt; 0, M410 / N410, 0), CONVERT(Q410, L410, "kg")))</f>
        <v>0</v>
      </c>
      <c r="S410" s="11">
        <f>recipe11TotScale * IF(R410 = 0, IF(L410 = "", Q410 * N410, IF(ISNA(CONVERT(Q410, L410, "l")), CONVERT(Q410, L410, "kg") * IF(M410 &lt;&gt; 0, N410 / M410, 0), CONVERT(Q410, L410, "l"))), 0)</f>
        <v>0</v>
      </c>
      <c r="T410" s="11">
        <f>recipe11TotScale * IF(AND(R410 = 0, S410 = 0, J410 = "", L410 = ""), Q410, 0)</f>
        <v>1.25</v>
      </c>
      <c r="V410" s="8" t="b">
        <f>INDEX(itemPrepMethods, MATCH(K410, itemNames, 0))="chop"</f>
        <v>0</v>
      </c>
      <c r="W410" s="21" t="str">
        <f>IF(V410, Q410, "")</f>
        <v/>
      </c>
      <c r="X410" s="22" t="str">
        <f>IF(V410, IF(L410 = "", "", L410), "")</f>
        <v/>
      </c>
      <c r="Y410" s="22" t="str">
        <f>IF(V410, K410, "")</f>
        <v/>
      </c>
      <c r="Z410" s="23"/>
      <c r="AA410" s="8" t="b">
        <f>INDEX(itemPrepMethods, MATCH(K410, itemNames, 0))="soak"</f>
        <v>0</v>
      </c>
      <c r="AB410" s="22" t="str">
        <f>IF(AA410, Q410, "")</f>
        <v/>
      </c>
      <c r="AC410" s="22" t="str">
        <f>IF(AA410, IF(L410 = "", "", L410), "")</f>
        <v/>
      </c>
      <c r="AD410" s="22" t="str">
        <f>IF(AA410, K410, "")</f>
        <v/>
      </c>
    </row>
    <row r="411" spans="1:30" x14ac:dyDescent="0.25">
      <c r="A411" s="5" t="s">
        <v>21</v>
      </c>
      <c r="B411" s="16"/>
      <c r="C411" s="4" t="str">
        <f t="shared" si="338"/>
        <v/>
      </c>
      <c r="D411" s="5" t="str">
        <f>_xlfn.CONCAT(K411, U411)</f>
        <v>cooked split peas from step 1</v>
      </c>
      <c r="I411" s="11"/>
      <c r="L411" s="8"/>
      <c r="M411" s="8"/>
      <c r="N411" s="8"/>
      <c r="O411" s="8"/>
      <c r="P411" s="8"/>
      <c r="Q411" s="8"/>
      <c r="T411" s="8"/>
      <c r="U411" s="8" t="s">
        <v>198</v>
      </c>
      <c r="W411" s="21"/>
      <c r="X411" s="22"/>
      <c r="Y411" s="22"/>
      <c r="Z411" s="23"/>
      <c r="AB411" s="22"/>
      <c r="AC411" s="22"/>
      <c r="AD411" s="22"/>
    </row>
    <row r="412" spans="1:30" x14ac:dyDescent="0.25">
      <c r="A412" s="5" t="s">
        <v>21</v>
      </c>
      <c r="B412" s="16"/>
      <c r="C412" s="4" t="str">
        <f>IF(L412="","",L412)</f>
        <v/>
      </c>
      <c r="D412" s="5" t="str">
        <f>_xlfn.CONCAT(K412, U412)</f>
        <v>water, if required</v>
      </c>
      <c r="I412" s="11"/>
      <c r="K412" s="19" t="s">
        <v>33</v>
      </c>
      <c r="L412" s="8"/>
      <c r="M412" s="8"/>
      <c r="N412" s="8"/>
      <c r="O412" s="8"/>
      <c r="P412" s="8"/>
      <c r="U412" s="8" t="s">
        <v>174</v>
      </c>
      <c r="V412" s="8" t="b">
        <f>INDEX(itemPrepMethods, MATCH(K412, itemNames, 0))="chop"</f>
        <v>0</v>
      </c>
      <c r="W412" s="21" t="str">
        <f>IF(V412, Q412, "")</f>
        <v/>
      </c>
      <c r="X412" s="22" t="str">
        <f>IF(V412, IF(L412 = "", "", L412), "")</f>
        <v/>
      </c>
      <c r="Y412" s="22" t="str">
        <f>IF(V412, K412, "")</f>
        <v/>
      </c>
      <c r="Z412" s="23"/>
      <c r="AA412" s="8" t="b">
        <f>INDEX(itemPrepMethods, MATCH(K412, itemNames, 0))="soak"</f>
        <v>0</v>
      </c>
      <c r="AB412" s="22" t="str">
        <f>IF(AA412, Q412, "")</f>
        <v/>
      </c>
      <c r="AC412" s="22" t="str">
        <f>IF(AA412, IF(L412 = "", "", L412), "")</f>
        <v/>
      </c>
      <c r="AD412" s="22" t="str">
        <f>IF(AA412, K412, "")</f>
        <v/>
      </c>
    </row>
    <row r="413" spans="1:30" x14ac:dyDescent="0.25">
      <c r="A413" s="5" t="s">
        <v>21</v>
      </c>
      <c r="D413" s="5" t="str">
        <f>_xlfn.CONCAT(K413, U413)</f>
        <v>salt, to taste</v>
      </c>
      <c r="I413" s="11"/>
      <c r="K413" s="19" t="s">
        <v>11</v>
      </c>
      <c r="U413" s="10" t="s">
        <v>173</v>
      </c>
      <c r="V413" s="8" t="b">
        <f>INDEX(itemPrepMethods, MATCH(K413, itemNames, 0))="chop"</f>
        <v>0</v>
      </c>
      <c r="W413" s="21" t="str">
        <f>IF(V413, Q413, "")</f>
        <v/>
      </c>
      <c r="X413" s="22" t="str">
        <f>IF(V413, IF(L413 = "", "", L413), "")</f>
        <v/>
      </c>
      <c r="Y413" s="22" t="str">
        <f>IF(V413, K413, "")</f>
        <v/>
      </c>
      <c r="Z413" s="23"/>
      <c r="AA413" s="8" t="b">
        <f>INDEX(itemPrepMethods, MATCH(K413, itemNames, 0))="soak"</f>
        <v>0</v>
      </c>
      <c r="AB413" s="22" t="str">
        <f>IF(AA413, Q413, "")</f>
        <v/>
      </c>
      <c r="AC413" s="22" t="str">
        <f>IF(AA413, IF(L413 = "", "", L413), "")</f>
        <v/>
      </c>
      <c r="AD413" s="22" t="str">
        <f>IF(AA413, K413, "")</f>
        <v/>
      </c>
    </row>
    <row r="414" spans="1:30" x14ac:dyDescent="0.25">
      <c r="A414" s="129"/>
      <c r="B414" s="129"/>
      <c r="C414" s="129"/>
      <c r="D414" s="129"/>
      <c r="I414" s="8"/>
      <c r="L414" s="8"/>
      <c r="M414" s="8"/>
      <c r="N414" s="8"/>
      <c r="O414" s="8"/>
      <c r="P414" s="8"/>
      <c r="Q414" s="8"/>
      <c r="R414" s="8"/>
      <c r="S414" s="8"/>
      <c r="T414" s="8"/>
      <c r="W414" s="8"/>
      <c r="Z414" s="8"/>
    </row>
    <row r="415" spans="1:30" x14ac:dyDescent="0.25">
      <c r="A415" s="129" t="s">
        <v>259</v>
      </c>
      <c r="B415" s="129"/>
      <c r="C415" s="129"/>
      <c r="D415" s="129"/>
      <c r="I415" s="8"/>
      <c r="L415" s="8"/>
      <c r="M415" s="8"/>
      <c r="N415" s="8"/>
      <c r="O415" s="8"/>
      <c r="P415" s="8"/>
      <c r="Q415" s="8"/>
      <c r="R415" s="8"/>
      <c r="S415" s="8"/>
      <c r="T415" s="8"/>
      <c r="W415" s="8"/>
      <c r="Z415" s="8"/>
    </row>
    <row r="416" spans="1:30" ht="15.75" x14ac:dyDescent="0.25">
      <c r="A416" s="130" t="s">
        <v>440</v>
      </c>
      <c r="B416" s="130"/>
      <c r="C416" s="130"/>
      <c r="D416" s="130"/>
      <c r="M416" s="8"/>
      <c r="N416" s="8"/>
      <c r="O416" s="8"/>
      <c r="P416" s="8"/>
      <c r="Q416" s="8"/>
      <c r="R416" s="8"/>
      <c r="S416" s="8"/>
      <c r="T416" s="8"/>
      <c r="W416" s="8"/>
      <c r="Z416" s="8"/>
    </row>
    <row r="417" spans="1:26" s="41" customFormat="1" x14ac:dyDescent="0.25">
      <c r="A417" s="129"/>
      <c r="B417" s="129"/>
      <c r="C417" s="129"/>
      <c r="D417" s="129"/>
      <c r="I417" s="9"/>
      <c r="L417" s="10"/>
    </row>
    <row r="418" spans="1:26" s="41" customFormat="1" x14ac:dyDescent="0.25">
      <c r="A418" s="129" t="s">
        <v>439</v>
      </c>
      <c r="B418" s="129"/>
      <c r="C418" s="129"/>
      <c r="D418" s="129"/>
      <c r="I418" s="9"/>
      <c r="L418" s="10"/>
    </row>
    <row r="419" spans="1:26" x14ac:dyDescent="0.25">
      <c r="A419" s="49" t="s">
        <v>21</v>
      </c>
      <c r="B419" s="16">
        <f t="shared" ref="B419:B427" si="339">Q419</f>
        <v>1.25</v>
      </c>
      <c r="C419" s="4" t="str">
        <f t="shared" ref="C419:C427" si="340">IF(L419="","",L419)</f>
        <v/>
      </c>
      <c r="D419" s="49" t="str">
        <f t="shared" ref="D419:D429" si="341">_xlfn.CONCAT(K419, U419)</f>
        <v>slices regular bread, at breakfast and dinner, if non-GF</v>
      </c>
      <c r="G419" s="8">
        <f>totRegBread</f>
        <v>116</v>
      </c>
      <c r="I419" s="25">
        <v>1.25</v>
      </c>
      <c r="J419" s="19"/>
      <c r="K419" s="19" t="s">
        <v>437</v>
      </c>
      <c r="L419" s="20"/>
      <c r="M419" s="11">
        <f t="shared" ref="M419:M429" si="342">INDEX(itemGPerQty, MATCH(K419, itemNames, 0))</f>
        <v>0</v>
      </c>
      <c r="N419" s="11">
        <f t="shared" ref="N419:N429" si="343">INDEX(itemMlPerQty, MATCH(K419, itemNames, 0))</f>
        <v>0</v>
      </c>
      <c r="O419" s="11">
        <f t="shared" ref="O419:O429" si="344">IF(J419 = "", I419 * M419, IF(ISNA(CONVERT(I419, J419, "kg")), CONVERT(I419, J419, "l") * IF(N419 &lt;&gt; 0, M419 / N419, 0), CONVERT(I419, J419, "kg")))</f>
        <v>0</v>
      </c>
      <c r="P419" s="11">
        <f t="shared" ref="P419:P429" si="345">IF(J419 = "", I419 * N419, IF(ISNA(CONVERT(I419, J419, "l")), CONVERT(I419, J419, "kg") * IF(M419 &lt;&gt; 0, N419 / M419, 0), CONVERT(I419, J419, "l")))</f>
        <v>0</v>
      </c>
      <c r="Q419" s="11">
        <f t="shared" ref="Q419:Q429" si="346">IF(L419 = "", IF(J419 = "", I419, IF(M419 &lt;&gt; 0, O419 / M419, P419 / N419)) * 1, IF(ISNA(CONVERT(O419, "kg", L419)), CONVERT(P419 * 1, "l", L419), CONVERT(O419 * 1, "kg", L419)))</f>
        <v>1.25</v>
      </c>
      <c r="R419" s="11">
        <f t="shared" ref="R419:R429" si="347">G419 * IF(L419 = "", Q419 * M419, IF(ISNA(CONVERT(Q419, L419, "kg")), CONVERT(Q419, L419, "l") * IF(N419 &lt;&gt; 0, M419 / N419, 0), CONVERT(Q419, L419, "kg")))</f>
        <v>0</v>
      </c>
      <c r="S419" s="11">
        <f t="shared" ref="S419:S429" si="348">G419 * IF(R419 = 0, IF(L419 = "", Q419 * N419, IF(ISNA(CONVERT(Q419, L419, "l")), CONVERT(Q419, L419, "kg") * IF(M419 &lt;&gt; 0, N419 / M419, 0), CONVERT(Q419, L419, "l"))), 0)</f>
        <v>0</v>
      </c>
      <c r="T419" s="11">
        <f t="shared" ref="T419:T429" si="349">G419 * IF(AND(R419 = 0, S419 = 0, J419 = "", L419 = ""), Q419, 0)</f>
        <v>145</v>
      </c>
      <c r="U419" s="8" t="s">
        <v>448</v>
      </c>
    </row>
    <row r="420" spans="1:26" s="41" customFormat="1" x14ac:dyDescent="0.25">
      <c r="A420" s="49" t="s">
        <v>21</v>
      </c>
      <c r="B420" s="16">
        <f t="shared" si="339"/>
        <v>1.25</v>
      </c>
      <c r="C420" s="4" t="str">
        <f t="shared" si="340"/>
        <v/>
      </c>
      <c r="D420" s="49" t="str">
        <f t="shared" si="341"/>
        <v>slices gluten free bread, at breakfast and dinner, if GF</v>
      </c>
      <c r="G420" s="41">
        <f>totGfBread</f>
        <v>52</v>
      </c>
      <c r="I420" s="25">
        <v>1.25</v>
      </c>
      <c r="J420" s="19"/>
      <c r="K420" s="19" t="s">
        <v>438</v>
      </c>
      <c r="L420" s="20"/>
      <c r="M420" s="11">
        <f t="shared" si="342"/>
        <v>0</v>
      </c>
      <c r="N420" s="11">
        <f t="shared" si="343"/>
        <v>0</v>
      </c>
      <c r="O420" s="11">
        <f t="shared" si="344"/>
        <v>0</v>
      </c>
      <c r="P420" s="11">
        <f t="shared" si="345"/>
        <v>0</v>
      </c>
      <c r="Q420" s="11">
        <f t="shared" si="346"/>
        <v>1.25</v>
      </c>
      <c r="R420" s="11">
        <f t="shared" si="347"/>
        <v>0</v>
      </c>
      <c r="S420" s="11">
        <f t="shared" si="348"/>
        <v>0</v>
      </c>
      <c r="T420" s="11">
        <f t="shared" si="349"/>
        <v>65</v>
      </c>
      <c r="U420" s="41" t="s">
        <v>446</v>
      </c>
      <c r="W420" s="12"/>
      <c r="Z420" s="13"/>
    </row>
    <row r="421" spans="1:26" s="41" customFormat="1" x14ac:dyDescent="0.25">
      <c r="A421" s="49" t="s">
        <v>21</v>
      </c>
      <c r="B421" s="16">
        <f>Q421</f>
        <v>0.5</v>
      </c>
      <c r="C421" s="4" t="str">
        <f>IF(L421="","",L421)</f>
        <v>cup</v>
      </c>
      <c r="D421" s="49" t="str">
        <f t="shared" si="341"/>
        <v>regular porridge, if non-GF</v>
      </c>
      <c r="G421" s="41">
        <f>totRegPorridge</f>
        <v>62</v>
      </c>
      <c r="I421" s="25">
        <v>0.5</v>
      </c>
      <c r="J421" s="19" t="s">
        <v>16</v>
      </c>
      <c r="K421" s="19" t="s">
        <v>435</v>
      </c>
      <c r="L421" s="20" t="s">
        <v>16</v>
      </c>
      <c r="M421" s="11">
        <f t="shared" si="342"/>
        <v>0</v>
      </c>
      <c r="N421" s="11">
        <f t="shared" si="343"/>
        <v>0</v>
      </c>
      <c r="O421" s="11">
        <f t="shared" si="344"/>
        <v>0</v>
      </c>
      <c r="P421" s="11">
        <f t="shared" si="345"/>
        <v>0.11829411825</v>
      </c>
      <c r="Q421" s="11">
        <f t="shared" si="346"/>
        <v>0.5</v>
      </c>
      <c r="R421" s="11">
        <f t="shared" si="347"/>
        <v>0</v>
      </c>
      <c r="S421" s="11">
        <f t="shared" si="348"/>
        <v>7.3342353314999995</v>
      </c>
      <c r="T421" s="11">
        <f t="shared" si="349"/>
        <v>0</v>
      </c>
      <c r="U421" s="41" t="s">
        <v>447</v>
      </c>
      <c r="W421" s="12"/>
      <c r="Z421" s="13"/>
    </row>
    <row r="422" spans="1:26" s="41" customFormat="1" x14ac:dyDescent="0.25">
      <c r="A422" s="49" t="s">
        <v>21</v>
      </c>
      <c r="B422" s="16">
        <f>Q422</f>
        <v>0.5</v>
      </c>
      <c r="C422" s="4" t="str">
        <f>IF(L422="","",L422)</f>
        <v>cup</v>
      </c>
      <c r="D422" s="49" t="str">
        <f t="shared" si="341"/>
        <v>jasmine rice, if GF</v>
      </c>
      <c r="G422" s="41">
        <f>totRicePorridge</f>
        <v>28</v>
      </c>
      <c r="I422" s="25">
        <v>0.5</v>
      </c>
      <c r="J422" s="19" t="s">
        <v>16</v>
      </c>
      <c r="K422" s="19" t="s">
        <v>535</v>
      </c>
      <c r="L422" s="20" t="s">
        <v>16</v>
      </c>
      <c r="M422" s="11">
        <f t="shared" si="342"/>
        <v>0</v>
      </c>
      <c r="N422" s="11">
        <f t="shared" si="343"/>
        <v>0</v>
      </c>
      <c r="O422" s="11">
        <f t="shared" si="344"/>
        <v>0</v>
      </c>
      <c r="P422" s="11">
        <f t="shared" si="345"/>
        <v>0.11829411825</v>
      </c>
      <c r="Q422" s="11">
        <f t="shared" si="346"/>
        <v>0.5</v>
      </c>
      <c r="R422" s="11">
        <f t="shared" si="347"/>
        <v>0</v>
      </c>
      <c r="S422" s="11">
        <f t="shared" si="348"/>
        <v>3.3122353109999998</v>
      </c>
      <c r="T422" s="11">
        <f t="shared" si="349"/>
        <v>0</v>
      </c>
      <c r="U422" s="41" t="s">
        <v>445</v>
      </c>
      <c r="W422" s="12"/>
      <c r="Z422" s="13"/>
    </row>
    <row r="423" spans="1:26" x14ac:dyDescent="0.25">
      <c r="A423" s="49" t="s">
        <v>21</v>
      </c>
      <c r="B423" s="16">
        <f>Q423</f>
        <v>20</v>
      </c>
      <c r="C423" s="4" t="str">
        <f>IF(L423="","",L423)</f>
        <v>g</v>
      </c>
      <c r="D423" s="49" t="str">
        <f t="shared" si="341"/>
        <v>cheese, if non-DF</v>
      </c>
      <c r="G423" s="8">
        <f>totDairy</f>
        <v>99</v>
      </c>
      <c r="I423" s="25">
        <v>20</v>
      </c>
      <c r="J423" s="19" t="s">
        <v>0</v>
      </c>
      <c r="K423" s="19" t="s">
        <v>159</v>
      </c>
      <c r="L423" s="20" t="s">
        <v>0</v>
      </c>
      <c r="M423" s="11">
        <f t="shared" si="342"/>
        <v>0</v>
      </c>
      <c r="N423" s="11">
        <f t="shared" si="343"/>
        <v>0</v>
      </c>
      <c r="O423" s="11">
        <f t="shared" si="344"/>
        <v>0.02</v>
      </c>
      <c r="P423" s="11">
        <f t="shared" si="345"/>
        <v>0</v>
      </c>
      <c r="Q423" s="11">
        <f t="shared" si="346"/>
        <v>20</v>
      </c>
      <c r="R423" s="11">
        <f t="shared" si="347"/>
        <v>1.98</v>
      </c>
      <c r="S423" s="11">
        <f t="shared" si="348"/>
        <v>0</v>
      </c>
      <c r="T423" s="11">
        <f t="shared" si="349"/>
        <v>0</v>
      </c>
      <c r="U423" s="8" t="s">
        <v>443</v>
      </c>
    </row>
    <row r="424" spans="1:26" s="41" customFormat="1" x14ac:dyDescent="0.25">
      <c r="A424" s="49" t="s">
        <v>21</v>
      </c>
      <c r="B424" s="16">
        <f t="shared" si="339"/>
        <v>0.66</v>
      </c>
      <c r="C424" s="4" t="str">
        <f t="shared" si="340"/>
        <v>cup</v>
      </c>
      <c r="D424" s="49" t="str">
        <f t="shared" si="341"/>
        <v>milk, if non-DF</v>
      </c>
      <c r="G424" s="41">
        <f>totDairy</f>
        <v>99</v>
      </c>
      <c r="I424" s="25">
        <v>0.66</v>
      </c>
      <c r="J424" s="19" t="s">
        <v>16</v>
      </c>
      <c r="K424" s="19" t="s">
        <v>434</v>
      </c>
      <c r="L424" s="20" t="s">
        <v>16</v>
      </c>
      <c r="M424" s="11">
        <f t="shared" si="342"/>
        <v>0</v>
      </c>
      <c r="N424" s="11">
        <f t="shared" si="343"/>
        <v>0</v>
      </c>
      <c r="O424" s="11">
        <f t="shared" si="344"/>
        <v>0</v>
      </c>
      <c r="P424" s="11">
        <f t="shared" si="345"/>
        <v>0.15614823609</v>
      </c>
      <c r="Q424" s="11">
        <f t="shared" si="346"/>
        <v>0.66</v>
      </c>
      <c r="R424" s="11">
        <f t="shared" si="347"/>
        <v>0</v>
      </c>
      <c r="S424" s="11">
        <f t="shared" si="348"/>
        <v>15.458675372910001</v>
      </c>
      <c r="T424" s="11">
        <f t="shared" si="349"/>
        <v>0</v>
      </c>
      <c r="U424" s="41" t="s">
        <v>443</v>
      </c>
      <c r="W424" s="12"/>
      <c r="Z424" s="13"/>
    </row>
    <row r="425" spans="1:26" x14ac:dyDescent="0.25">
      <c r="A425" s="49" t="s">
        <v>21</v>
      </c>
      <c r="B425" s="16">
        <f>Q425</f>
        <v>0.66</v>
      </c>
      <c r="C425" s="4" t="str">
        <f>IF(L425="","",L425)</f>
        <v>cup</v>
      </c>
      <c r="D425" s="49" t="str">
        <f t="shared" si="341"/>
        <v>soymilk, if DF</v>
      </c>
      <c r="G425" s="41">
        <f>totNonDairy</f>
        <v>69</v>
      </c>
      <c r="I425" s="25">
        <v>0.66</v>
      </c>
      <c r="J425" s="19" t="s">
        <v>16</v>
      </c>
      <c r="K425" s="19" t="s">
        <v>252</v>
      </c>
      <c r="L425" s="20" t="s">
        <v>16</v>
      </c>
      <c r="M425" s="11">
        <f t="shared" si="342"/>
        <v>0</v>
      </c>
      <c r="N425" s="11">
        <f t="shared" si="343"/>
        <v>0</v>
      </c>
      <c r="O425" s="11">
        <f t="shared" si="344"/>
        <v>0</v>
      </c>
      <c r="P425" s="11">
        <f t="shared" si="345"/>
        <v>0.15614823609</v>
      </c>
      <c r="Q425" s="11">
        <f t="shared" si="346"/>
        <v>0.66</v>
      </c>
      <c r="R425" s="11">
        <f t="shared" si="347"/>
        <v>0</v>
      </c>
      <c r="S425" s="11">
        <f t="shared" si="348"/>
        <v>10.774228290210001</v>
      </c>
      <c r="T425" s="11">
        <f t="shared" si="349"/>
        <v>0</v>
      </c>
      <c r="U425" s="8" t="s">
        <v>444</v>
      </c>
    </row>
    <row r="426" spans="1:26" s="41" customFormat="1" x14ac:dyDescent="0.25">
      <c r="A426" s="49" t="s">
        <v>21</v>
      </c>
      <c r="B426" s="16">
        <f t="shared" ref="B426" si="350">Q426</f>
        <v>15</v>
      </c>
      <c r="C426" s="4" t="str">
        <f t="shared" ref="C426" si="351">IF(L426="","",L426)</f>
        <v>g</v>
      </c>
      <c r="D426" s="49" t="str">
        <f t="shared" si="341"/>
        <v>butter, if non-DF</v>
      </c>
      <c r="G426" s="41">
        <f>totDairy</f>
        <v>99</v>
      </c>
      <c r="I426" s="25">
        <v>15</v>
      </c>
      <c r="J426" s="19" t="s">
        <v>0</v>
      </c>
      <c r="K426" s="19" t="s">
        <v>441</v>
      </c>
      <c r="L426" s="20" t="s">
        <v>0</v>
      </c>
      <c r="M426" s="11">
        <f t="shared" si="342"/>
        <v>0</v>
      </c>
      <c r="N426" s="11">
        <f t="shared" si="343"/>
        <v>0</v>
      </c>
      <c r="O426" s="11">
        <f t="shared" si="344"/>
        <v>1.4999999999999999E-2</v>
      </c>
      <c r="P426" s="11">
        <f t="shared" si="345"/>
        <v>0</v>
      </c>
      <c r="Q426" s="11">
        <f t="shared" si="346"/>
        <v>15</v>
      </c>
      <c r="R426" s="11">
        <f t="shared" si="347"/>
        <v>1.4849999999999999</v>
      </c>
      <c r="S426" s="11">
        <f t="shared" si="348"/>
        <v>0</v>
      </c>
      <c r="T426" s="11">
        <f t="shared" si="349"/>
        <v>0</v>
      </c>
      <c r="U426" s="41" t="s">
        <v>443</v>
      </c>
      <c r="W426" s="12"/>
      <c r="Z426" s="13"/>
    </row>
    <row r="427" spans="1:26" s="41" customFormat="1" x14ac:dyDescent="0.25">
      <c r="A427" s="49" t="s">
        <v>21</v>
      </c>
      <c r="B427" s="16">
        <f t="shared" si="339"/>
        <v>15</v>
      </c>
      <c r="C427" s="4" t="str">
        <f t="shared" si="340"/>
        <v>g</v>
      </c>
      <c r="D427" s="49" t="str">
        <f t="shared" si="341"/>
        <v>olivani, if DF</v>
      </c>
      <c r="G427" s="41">
        <f>totNonDairy</f>
        <v>69</v>
      </c>
      <c r="I427" s="25">
        <v>15</v>
      </c>
      <c r="J427" s="19" t="s">
        <v>0</v>
      </c>
      <c r="K427" s="19" t="s">
        <v>442</v>
      </c>
      <c r="L427" s="20" t="s">
        <v>0</v>
      </c>
      <c r="M427" s="11">
        <f t="shared" si="342"/>
        <v>0</v>
      </c>
      <c r="N427" s="11">
        <f t="shared" si="343"/>
        <v>0</v>
      </c>
      <c r="O427" s="11">
        <f t="shared" si="344"/>
        <v>1.4999999999999999E-2</v>
      </c>
      <c r="P427" s="11">
        <f t="shared" si="345"/>
        <v>0</v>
      </c>
      <c r="Q427" s="11">
        <f t="shared" si="346"/>
        <v>15</v>
      </c>
      <c r="R427" s="11">
        <f t="shared" si="347"/>
        <v>1.0349999999999999</v>
      </c>
      <c r="S427" s="11">
        <f t="shared" si="348"/>
        <v>0</v>
      </c>
      <c r="T427" s="11">
        <f t="shared" si="349"/>
        <v>0</v>
      </c>
      <c r="U427" s="41" t="s">
        <v>444</v>
      </c>
      <c r="W427" s="12"/>
      <c r="Z427" s="13"/>
    </row>
    <row r="428" spans="1:26" s="41" customFormat="1" x14ac:dyDescent="0.25">
      <c r="A428" s="50" t="s">
        <v>21</v>
      </c>
      <c r="B428" s="16">
        <f>Q428</f>
        <v>0.5</v>
      </c>
      <c r="C428" s="4" t="str">
        <f>IF(L428="","",L428)</f>
        <v/>
      </c>
      <c r="D428" s="50" t="str">
        <f t="shared" ref="D428" si="352">_xlfn.CONCAT(K428, U428)</f>
        <v>apples</v>
      </c>
      <c r="G428" s="41">
        <f>totRice</f>
        <v>78</v>
      </c>
      <c r="I428" s="25">
        <v>0.5</v>
      </c>
      <c r="J428" s="19"/>
      <c r="K428" s="19" t="s">
        <v>344</v>
      </c>
      <c r="L428" s="20"/>
      <c r="M428" s="11">
        <f t="shared" ref="M428" si="353">INDEX(itemGPerQty, MATCH(K428, itemNames, 0))</f>
        <v>0</v>
      </c>
      <c r="N428" s="11">
        <f t="shared" ref="N428" si="354">INDEX(itemMlPerQty, MATCH(K428, itemNames, 0))</f>
        <v>0</v>
      </c>
      <c r="O428" s="11">
        <f t="shared" ref="O428" si="355">IF(J428 = "", I428 * M428, IF(ISNA(CONVERT(I428, J428, "kg")), CONVERT(I428, J428, "l") * IF(N428 &lt;&gt; 0, M428 / N428, 0), CONVERT(I428, J428, "kg")))</f>
        <v>0</v>
      </c>
      <c r="P428" s="11">
        <f t="shared" ref="P428" si="356">IF(J428 = "", I428 * N428, IF(ISNA(CONVERT(I428, J428, "l")), CONVERT(I428, J428, "kg") * IF(M428 &lt;&gt; 0, N428 / M428, 0), CONVERT(I428, J428, "l")))</f>
        <v>0</v>
      </c>
      <c r="Q428" s="11">
        <f t="shared" si="346"/>
        <v>0.5</v>
      </c>
      <c r="R428" s="11">
        <f t="shared" ref="R428" si="357">G428 * IF(L428 = "", Q428 * M428, IF(ISNA(CONVERT(Q428, L428, "kg")), CONVERT(Q428, L428, "l") * IF(N428 &lt;&gt; 0, M428 / N428, 0), CONVERT(Q428, L428, "kg")))</f>
        <v>0</v>
      </c>
      <c r="S428" s="11">
        <f t="shared" ref="S428" si="358">G428 * IF(R428 = 0, IF(L428 = "", Q428 * N428, IF(ISNA(CONVERT(Q428, L428, "l")), CONVERT(Q428, L428, "kg") * IF(M428 &lt;&gt; 0, N428 / M428, 0), CONVERT(Q428, L428, "l"))), 0)</f>
        <v>0</v>
      </c>
      <c r="T428" s="11">
        <f t="shared" ref="T428" si="359">G428 * IF(AND(R428 = 0, S428 = 0, J428 = "", L428 = ""), Q428, 0)</f>
        <v>39</v>
      </c>
      <c r="W428" s="12"/>
      <c r="Z428" s="13"/>
    </row>
    <row r="429" spans="1:26" s="41" customFormat="1" x14ac:dyDescent="0.25">
      <c r="A429" s="49" t="s">
        <v>21</v>
      </c>
      <c r="B429" s="16">
        <f>Q429</f>
        <v>0.5</v>
      </c>
      <c r="C429" s="4" t="str">
        <f>IF(L429="","",L429)</f>
        <v>cup</v>
      </c>
      <c r="D429" s="49" t="str">
        <f t="shared" si="341"/>
        <v>brown rice</v>
      </c>
      <c r="G429" s="41">
        <f>totRice</f>
        <v>78</v>
      </c>
      <c r="I429" s="25">
        <v>0.5</v>
      </c>
      <c r="J429" s="19" t="s">
        <v>16</v>
      </c>
      <c r="K429" s="19" t="s">
        <v>436</v>
      </c>
      <c r="L429" s="20" t="s">
        <v>16</v>
      </c>
      <c r="M429" s="11">
        <f t="shared" si="342"/>
        <v>0.85899999999999999</v>
      </c>
      <c r="N429" s="11">
        <f t="shared" si="343"/>
        <v>1</v>
      </c>
      <c r="O429" s="11">
        <f t="shared" si="344"/>
        <v>0.10161464757675</v>
      </c>
      <c r="P429" s="11">
        <f t="shared" si="345"/>
        <v>0.11829411825</v>
      </c>
      <c r="Q429" s="11">
        <f t="shared" si="346"/>
        <v>0.5</v>
      </c>
      <c r="R429" s="11">
        <f t="shared" si="347"/>
        <v>7.9259425109864994</v>
      </c>
      <c r="S429" s="11">
        <f t="shared" si="348"/>
        <v>0</v>
      </c>
      <c r="T429" s="11">
        <f t="shared" si="349"/>
        <v>0</v>
      </c>
      <c r="W429" s="12"/>
      <c r="Z429" s="13"/>
    </row>
    <row r="430" spans="1:26" ht="15.75" x14ac:dyDescent="0.25">
      <c r="A430" s="130" t="s">
        <v>119</v>
      </c>
      <c r="B430" s="130"/>
      <c r="C430" s="130"/>
      <c r="D430" s="130"/>
      <c r="M430" s="8"/>
      <c r="N430" s="8"/>
      <c r="O430" s="8"/>
      <c r="P430" s="8"/>
      <c r="Q430" s="8"/>
      <c r="R430" s="8"/>
      <c r="S430" s="8"/>
      <c r="T430" s="8"/>
      <c r="W430" s="8"/>
      <c r="Z430" s="8"/>
    </row>
    <row r="431" spans="1:26" x14ac:dyDescent="0.25">
      <c r="A431" s="129"/>
      <c r="B431" s="129"/>
      <c r="C431" s="129"/>
      <c r="D431" s="129"/>
    </row>
    <row r="432" spans="1:26" x14ac:dyDescent="0.25">
      <c r="C432" s="42" t="s">
        <v>330</v>
      </c>
      <c r="D432" s="5" t="s">
        <v>329</v>
      </c>
      <c r="M432" s="8"/>
      <c r="N432" s="8"/>
      <c r="O432" s="8"/>
      <c r="P432" s="8"/>
      <c r="Q432" s="8"/>
      <c r="R432" s="8"/>
      <c r="S432" s="8"/>
      <c r="T432" s="8"/>
      <c r="W432" s="8"/>
      <c r="Z432" s="8"/>
    </row>
    <row r="433" spans="3:26" x14ac:dyDescent="0.25">
      <c r="C433" s="42" t="s">
        <v>332</v>
      </c>
      <c r="D433" s="5" t="s">
        <v>331</v>
      </c>
      <c r="M433" s="8"/>
      <c r="N433" s="8"/>
      <c r="O433" s="8"/>
      <c r="P433" s="8"/>
      <c r="Q433" s="8"/>
      <c r="R433" s="8"/>
      <c r="S433" s="8"/>
      <c r="T433" s="8"/>
      <c r="W433" s="8"/>
      <c r="Z433" s="8"/>
    </row>
    <row r="434" spans="3:26" x14ac:dyDescent="0.25">
      <c r="C434" s="42" t="s">
        <v>333</v>
      </c>
      <c r="D434" s="5" t="s">
        <v>334</v>
      </c>
      <c r="M434" s="8"/>
      <c r="N434" s="8"/>
      <c r="O434" s="8"/>
      <c r="P434" s="8"/>
      <c r="Q434" s="8"/>
      <c r="R434" s="8"/>
      <c r="S434" s="8"/>
      <c r="T434" s="8"/>
      <c r="W434" s="8"/>
      <c r="Z434" s="8"/>
    </row>
    <row r="435" spans="3:26" x14ac:dyDescent="0.25">
      <c r="C435" s="42" t="s">
        <v>336</v>
      </c>
      <c r="D435" s="5" t="s">
        <v>335</v>
      </c>
      <c r="M435" s="8"/>
      <c r="N435" s="8"/>
      <c r="O435" s="8"/>
      <c r="P435" s="8"/>
      <c r="Q435" s="8"/>
      <c r="R435" s="8"/>
      <c r="S435" s="8"/>
      <c r="T435" s="8"/>
      <c r="W435" s="8"/>
      <c r="Z435" s="8"/>
    </row>
  </sheetData>
  <mergeCells count="312">
    <mergeCell ref="A431:D431"/>
    <mergeCell ref="W166:Z166"/>
    <mergeCell ref="W142:Z142"/>
    <mergeCell ref="W105:Z105"/>
    <mergeCell ref="W78:Z78"/>
    <mergeCell ref="W55:Z55"/>
    <mergeCell ref="W33:Z33"/>
    <mergeCell ref="W15:Z15"/>
    <mergeCell ref="W3:Z3"/>
    <mergeCell ref="W324:Z324"/>
    <mergeCell ref="W235:Z235"/>
    <mergeCell ref="W167:Z167"/>
    <mergeCell ref="W80:Z80"/>
    <mergeCell ref="W34:Z34"/>
    <mergeCell ref="W4:Z4"/>
    <mergeCell ref="W5:Z5"/>
    <mergeCell ref="W16:Z16"/>
    <mergeCell ref="W17:Z17"/>
    <mergeCell ref="A288:D288"/>
    <mergeCell ref="A322:D322"/>
    <mergeCell ref="A357:D357"/>
    <mergeCell ref="A262:D262"/>
    <mergeCell ref="A267:D267"/>
    <mergeCell ref="A268:D268"/>
    <mergeCell ref="W393:Z393"/>
    <mergeCell ref="AB393:AD393"/>
    <mergeCell ref="W391:Z391"/>
    <mergeCell ref="W356:Z356"/>
    <mergeCell ref="W323:Z323"/>
    <mergeCell ref="W289:Z289"/>
    <mergeCell ref="W260:Z260"/>
    <mergeCell ref="W233:Z233"/>
    <mergeCell ref="W200:Z200"/>
    <mergeCell ref="AB200:AD200"/>
    <mergeCell ref="AB233:AD233"/>
    <mergeCell ref="AB260:AD260"/>
    <mergeCell ref="AB289:AD289"/>
    <mergeCell ref="AB323:AD323"/>
    <mergeCell ref="AB356:AD356"/>
    <mergeCell ref="AB391:AD391"/>
    <mergeCell ref="W357:Z357"/>
    <mergeCell ref="AB357:AD357"/>
    <mergeCell ref="W358:Z358"/>
    <mergeCell ref="AB358:AD358"/>
    <mergeCell ref="W392:Z392"/>
    <mergeCell ref="AB392:AD392"/>
    <mergeCell ref="W290:Z290"/>
    <mergeCell ref="AB290:AD290"/>
    <mergeCell ref="AB3:AD3"/>
    <mergeCell ref="AB15:AD15"/>
    <mergeCell ref="AB33:AD33"/>
    <mergeCell ref="AB55:AD55"/>
    <mergeCell ref="AB78:AD78"/>
    <mergeCell ref="AB105:AD105"/>
    <mergeCell ref="AB142:AD142"/>
    <mergeCell ref="AB166:AD166"/>
    <mergeCell ref="W262:Z262"/>
    <mergeCell ref="AB262:AD262"/>
    <mergeCell ref="AB106:AD106"/>
    <mergeCell ref="W107:Z107"/>
    <mergeCell ref="AB107:AD107"/>
    <mergeCell ref="W143:Z143"/>
    <mergeCell ref="AB143:AD143"/>
    <mergeCell ref="W144:Z144"/>
    <mergeCell ref="AB144:AD144"/>
    <mergeCell ref="AB167:AD167"/>
    <mergeCell ref="W168:Z168"/>
    <mergeCell ref="AB168:AD168"/>
    <mergeCell ref="W291:Z291"/>
    <mergeCell ref="AB291:AD291"/>
    <mergeCell ref="AB324:AD324"/>
    <mergeCell ref="W325:Z325"/>
    <mergeCell ref="AB325:AD325"/>
    <mergeCell ref="W201:Z201"/>
    <mergeCell ref="AB201:AD201"/>
    <mergeCell ref="W202:Z202"/>
    <mergeCell ref="AB202:AD202"/>
    <mergeCell ref="W234:Z234"/>
    <mergeCell ref="AB234:AD234"/>
    <mergeCell ref="AB235:AD235"/>
    <mergeCell ref="W261:Z261"/>
    <mergeCell ref="AB261:AD261"/>
    <mergeCell ref="A239:D239"/>
    <mergeCell ref="A242:D242"/>
    <mergeCell ref="A243:D243"/>
    <mergeCell ref="AB4:AD4"/>
    <mergeCell ref="AB5:AD5"/>
    <mergeCell ref="AB16:AD16"/>
    <mergeCell ref="AB17:AD17"/>
    <mergeCell ref="A79:D79"/>
    <mergeCell ref="A56:D56"/>
    <mergeCell ref="A34:D34"/>
    <mergeCell ref="A16:D16"/>
    <mergeCell ref="A4:D4"/>
    <mergeCell ref="A72:D72"/>
    <mergeCell ref="AB34:AD34"/>
    <mergeCell ref="W35:Z35"/>
    <mergeCell ref="AB35:AD35"/>
    <mergeCell ref="W56:Z56"/>
    <mergeCell ref="AB56:AD56"/>
    <mergeCell ref="W57:Z57"/>
    <mergeCell ref="AB57:AD57"/>
    <mergeCell ref="W79:Z79"/>
    <mergeCell ref="AB79:AD79"/>
    <mergeCell ref="AB80:AD80"/>
    <mergeCell ref="W106:Z106"/>
    <mergeCell ref="A390:D390"/>
    <mergeCell ref="A261:D261"/>
    <mergeCell ref="A234:D234"/>
    <mergeCell ref="A201:D201"/>
    <mergeCell ref="A167:D167"/>
    <mergeCell ref="A143:D143"/>
    <mergeCell ref="A123:D123"/>
    <mergeCell ref="A124:D124"/>
    <mergeCell ref="A128:D128"/>
    <mergeCell ref="A131:D131"/>
    <mergeCell ref="A132:D132"/>
    <mergeCell ref="A159:D159"/>
    <mergeCell ref="A160:D160"/>
    <mergeCell ref="A155:D155"/>
    <mergeCell ref="A309:D309"/>
    <mergeCell ref="A365:D365"/>
    <mergeCell ref="A315:D315"/>
    <mergeCell ref="A354:D354"/>
    <mergeCell ref="A202:D202"/>
    <mergeCell ref="A158:D158"/>
    <mergeCell ref="A270:D270"/>
    <mergeCell ref="A205:D205"/>
    <mergeCell ref="A209:D209"/>
    <mergeCell ref="A286:D286"/>
    <mergeCell ref="A1:D1"/>
    <mergeCell ref="A2:D2"/>
    <mergeCell ref="A3:D3"/>
    <mergeCell ref="A5:D5"/>
    <mergeCell ref="A11:D11"/>
    <mergeCell ref="A12:D12"/>
    <mergeCell ref="A316:D316"/>
    <mergeCell ref="A317:D317"/>
    <mergeCell ref="A13:D13"/>
    <mergeCell ref="A14:D14"/>
    <mergeCell ref="A15:D15"/>
    <mergeCell ref="A17:D17"/>
    <mergeCell ref="A29:D29"/>
    <mergeCell ref="A30:D30"/>
    <mergeCell ref="A276:D276"/>
    <mergeCell ref="A223:D223"/>
    <mergeCell ref="A225:D225"/>
    <mergeCell ref="A229:D229"/>
    <mergeCell ref="A83:D83"/>
    <mergeCell ref="A87:D87"/>
    <mergeCell ref="A101:D101"/>
    <mergeCell ref="A103:D103"/>
    <mergeCell ref="A164:D164"/>
    <mergeCell ref="A105:D105"/>
    <mergeCell ref="A387:D387"/>
    <mergeCell ref="A193:D193"/>
    <mergeCell ref="A194:D194"/>
    <mergeCell ref="A214:D214"/>
    <mergeCell ref="A218:D218"/>
    <mergeCell ref="A219:D219"/>
    <mergeCell ref="A318:D318"/>
    <mergeCell ref="A271:D271"/>
    <mergeCell ref="A272:D272"/>
    <mergeCell ref="A273:D273"/>
    <mergeCell ref="A278:D278"/>
    <mergeCell ref="A346:D346"/>
    <mergeCell ref="A352:D352"/>
    <mergeCell ref="A324:D324"/>
    <mergeCell ref="A325:D325"/>
    <mergeCell ref="A279:D279"/>
    <mergeCell ref="A281:D281"/>
    <mergeCell ref="A282:D282"/>
    <mergeCell ref="A308:D308"/>
    <mergeCell ref="A287:D287"/>
    <mergeCell ref="A210:D210"/>
    <mergeCell ref="A211:D211"/>
    <mergeCell ref="A212:D212"/>
    <mergeCell ref="A213:D213"/>
    <mergeCell ref="A140:D140"/>
    <mergeCell ref="A141:D141"/>
    <mergeCell ref="A161:D161"/>
    <mergeCell ref="A166:D166"/>
    <mergeCell ref="A198:D198"/>
    <mergeCell ref="A106:D106"/>
    <mergeCell ref="A97:D97"/>
    <mergeCell ref="A98:D98"/>
    <mergeCell ref="A100:D100"/>
    <mergeCell ref="A129:D129"/>
    <mergeCell ref="A107:D107"/>
    <mergeCell ref="A109:D109"/>
    <mergeCell ref="A110:D110"/>
    <mergeCell ref="A114:D114"/>
    <mergeCell ref="A80:D80"/>
    <mergeCell ref="A82:D82"/>
    <mergeCell ref="A156:D156"/>
    <mergeCell ref="A88:D88"/>
    <mergeCell ref="A430:D430"/>
    <mergeCell ref="A168:D168"/>
    <mergeCell ref="A172:D172"/>
    <mergeCell ref="A173:D173"/>
    <mergeCell ref="A417:D417"/>
    <mergeCell ref="A353:D353"/>
    <mergeCell ref="A321:D321"/>
    <mergeCell ref="A327:D327"/>
    <mergeCell ref="A302:D302"/>
    <mergeCell ref="A303:D303"/>
    <mergeCell ref="A305:D305"/>
    <mergeCell ref="A304:D304"/>
    <mergeCell ref="A306:D306"/>
    <mergeCell ref="A307:D307"/>
    <mergeCell ref="A356:D356"/>
    <mergeCell ref="A364:D364"/>
    <mergeCell ref="A402:D402"/>
    <mergeCell ref="A403:D403"/>
    <mergeCell ref="A368:D368"/>
    <mergeCell ref="A355:D355"/>
    <mergeCell ref="A416:D416"/>
    <mergeCell ref="A388:D388"/>
    <mergeCell ref="A285:D285"/>
    <mergeCell ref="A104:D104"/>
    <mergeCell ref="A319:D319"/>
    <mergeCell ref="A320:D320"/>
    <mergeCell ref="A199:D199"/>
    <mergeCell ref="A231:D231"/>
    <mergeCell ref="A232:D232"/>
    <mergeCell ref="A235:D235"/>
    <mergeCell ref="A238:D238"/>
    <mergeCell ref="A258:D258"/>
    <mergeCell ref="A259:D259"/>
    <mergeCell ref="A378:D378"/>
    <mergeCell ref="A379:D379"/>
    <mergeCell ref="A385:D385"/>
    <mergeCell ref="A386:D386"/>
    <mergeCell ref="A408:D408"/>
    <mergeCell ref="A409:D409"/>
    <mergeCell ref="A414:D414"/>
    <mergeCell ref="A415:D415"/>
    <mergeCell ref="A245:D245"/>
    <mergeCell ref="A246:D246"/>
    <mergeCell ref="A250:D250"/>
    <mergeCell ref="A392:D392"/>
    <mergeCell ref="A395:D395"/>
    <mergeCell ref="A393:D393"/>
    <mergeCell ref="A65:D65"/>
    <mergeCell ref="A60:D60"/>
    <mergeCell ref="A64:D64"/>
    <mergeCell ref="A57:D57"/>
    <mergeCell ref="A61:D61"/>
    <mergeCell ref="A76:D76"/>
    <mergeCell ref="A77:D77"/>
    <mergeCell ref="A251:D251"/>
    <mergeCell ref="A323:D323"/>
    <mergeCell ref="A328:D328"/>
    <mergeCell ref="A338:D338"/>
    <mergeCell ref="A337:D337"/>
    <mergeCell ref="A343:D343"/>
    <mergeCell ref="A289:D289"/>
    <mergeCell ref="A291:D291"/>
    <mergeCell ref="A290:D290"/>
    <mergeCell ref="A294:D294"/>
    <mergeCell ref="A295:D295"/>
    <mergeCell ref="A299:D299"/>
    <mergeCell ref="A300:D300"/>
    <mergeCell ref="A344:D344"/>
    <mergeCell ref="A369:D369"/>
    <mergeCell ref="A372:D372"/>
    <mergeCell ref="A373:D373"/>
    <mergeCell ref="A233:D233"/>
    <mergeCell ref="A260:D260"/>
    <mergeCell ref="A345:D345"/>
    <mergeCell ref="A165:D165"/>
    <mergeCell ref="A115:D115"/>
    <mergeCell ref="A118:D118"/>
    <mergeCell ref="A119:D119"/>
    <mergeCell ref="A200:D200"/>
    <mergeCell ref="A204:D204"/>
    <mergeCell ref="A135:D135"/>
    <mergeCell ref="A136:D136"/>
    <mergeCell ref="A138:D138"/>
    <mergeCell ref="A142:D142"/>
    <mergeCell ref="A144:D144"/>
    <mergeCell ref="A148:D148"/>
    <mergeCell ref="A149:D149"/>
    <mergeCell ref="A179:D179"/>
    <mergeCell ref="A180:D180"/>
    <mergeCell ref="A186:D186"/>
    <mergeCell ref="A187:D187"/>
    <mergeCell ref="A191:D191"/>
    <mergeCell ref="A418:D418"/>
    <mergeCell ref="A45:D45"/>
    <mergeCell ref="A46:D46"/>
    <mergeCell ref="A48:D48"/>
    <mergeCell ref="A49:D49"/>
    <mergeCell ref="A26:D26"/>
    <mergeCell ref="A27:D27"/>
    <mergeCell ref="A32:D32"/>
    <mergeCell ref="A33:D33"/>
    <mergeCell ref="A35:D35"/>
    <mergeCell ref="A39:D39"/>
    <mergeCell ref="A40:D40"/>
    <mergeCell ref="A53:D53"/>
    <mergeCell ref="A54:D54"/>
    <mergeCell ref="A55:D55"/>
    <mergeCell ref="A78:D78"/>
    <mergeCell ref="A31:D31"/>
    <mergeCell ref="A192:D192"/>
    <mergeCell ref="A396:D396"/>
    <mergeCell ref="A358:D358"/>
    <mergeCell ref="A389:D389"/>
    <mergeCell ref="A391:D391"/>
    <mergeCell ref="A95:D95"/>
    <mergeCell ref="A96:D96"/>
  </mergeCells>
  <conditionalFormatting sqref="M31:T31 M55:T57 M78:T80 M200:T202 M233:T235 M260:T262 M287:T291 M47:P47 M53:T53 M13:T13 M28:P28 M321:T325 M142:T144 M356:T358 M15:T17 Q14:T14 M33:T35 M105:T107 M389:T393 M430:T1048576 M166:T169 M18:P22 R18:T22 R28:T28 M39:T40 M36:P38 R36:T38 M41:P44 R41:T44 R47:T47 M52:P52 R52:T52 M60:T61 M58:P59 R58:T59 M64:T65 M62:P63 R62:T63 M71:T76 M66:P70 R66:T70 M82:T83 M81:P81 R81:T81 M87:T88 M84:P86 R84:T86 M95:T98 M89:P94 R89:T94 M100:T103 M99:P99 R99:T99 M109:T111 M108:P108 R108:T108 M114:T115 M112:P113 R112:T113 M118:T119 M116:P117 R116:T117 M123:T129 M120:P122 R120:T122 M131:T132 M130:P130 R130:T130 M135:T140 M133:P134 R133:T134 M148:T149 M145:P147 R145:T147 M155:T156 M150:P154 R150:T154 M158:T164 M157:P157 R157:T157 M172:T173 M170:P171 R170:T171 M179:T180 M174:P178 R174:T178 M186:T187 M181:P185 R181:T185 M191:T194 M188:P190 R188:T190 M196:T198 M195:P195 R195:T195 M204:T205 M203:P203 R203:T203 M208:T214 M206:P207 R206:T207 M218:T219 M215:P217 R215:T217 M222:T231 M220:P221 R220:T221 M238:T239 M236:P237 R236:T237 M242:T243 M240:P241 R240:T241 M245:T246 M244:P244 R244:T244 M250:T251 M247:P249 R247:T249 M256:T258 M252:P255 R252:T255 M267:T268 M263:P266 R263:T266 M270:T273 M269:P269 R269:T269 M275:T276 M274:P274 R274:T274 M278:T279 M277:P277 R277:T277 M281:T285 M280:P280 R280:T280 M294:T295 M292:P293 R292:T293 M299:T300 M296:P298 R296:T298 M302:T309 M301:P301 R301:T301 M315:T319 M310:P314 R310:T314 M327:T328 M326:P326 R326:T326 M337:T338 M329:P336 R329:T336 M343:T346 M339:P342 R339:T342 M349:T354 M347:P348 R347:T348 M364:T365 M359:P363 R359:T363 M368:T369 M366:P367 R366:T367 M372:T373 M370:P371 R370:T371 M378:T379 M374:P377 R374:T377 M382:T387 M380:P381 R380:T381 M395:T396 M394:P394 R394:T394 M402:T403 M397:P401 R397:T401 M408:T409 M404:P407 R404:T407 M411:T418 M410:P410 R410:T410 M419:P419 R419:T419 M423:P427 R423:T427 M429:P429 R429:T429">
    <cfRule type="cellIs" dxfId="461" priority="651" operator="equal">
      <formula>0</formula>
    </cfRule>
    <cfRule type="cellIs" dxfId="460" priority="652" operator="equal">
      <formula>0</formula>
    </cfRule>
  </conditionalFormatting>
  <conditionalFormatting sqref="Q32:T32">
    <cfRule type="cellIs" dxfId="459" priority="465" operator="equal">
      <formula>0</formula>
    </cfRule>
    <cfRule type="cellIs" dxfId="458" priority="466" operator="equal">
      <formula>0</formula>
    </cfRule>
  </conditionalFormatting>
  <conditionalFormatting sqref="Q54:T54">
    <cfRule type="cellIs" dxfId="457" priority="463" operator="equal">
      <formula>0</formula>
    </cfRule>
    <cfRule type="cellIs" dxfId="456" priority="464" operator="equal">
      <formula>0</formula>
    </cfRule>
  </conditionalFormatting>
  <conditionalFormatting sqref="Q77:T77">
    <cfRule type="cellIs" dxfId="455" priority="461" operator="equal">
      <formula>0</formula>
    </cfRule>
    <cfRule type="cellIs" dxfId="454" priority="462" operator="equal">
      <formula>0</formula>
    </cfRule>
  </conditionalFormatting>
  <conditionalFormatting sqref="Q104:T104">
    <cfRule type="cellIs" dxfId="453" priority="459" operator="equal">
      <formula>0</formula>
    </cfRule>
    <cfRule type="cellIs" dxfId="452" priority="460" operator="equal">
      <formula>0</formula>
    </cfRule>
  </conditionalFormatting>
  <conditionalFormatting sqref="Q141:T141">
    <cfRule type="cellIs" dxfId="451" priority="457" operator="equal">
      <formula>0</formula>
    </cfRule>
    <cfRule type="cellIs" dxfId="450" priority="458" operator="equal">
      <formula>0</formula>
    </cfRule>
  </conditionalFormatting>
  <conditionalFormatting sqref="Q232:T232">
    <cfRule type="cellIs" dxfId="449" priority="451" operator="equal">
      <formula>0</formula>
    </cfRule>
    <cfRule type="cellIs" dxfId="448" priority="452" operator="equal">
      <formula>0</formula>
    </cfRule>
  </conditionalFormatting>
  <conditionalFormatting sqref="Q199:T199">
    <cfRule type="cellIs" dxfId="447" priority="453" operator="equal">
      <formula>0</formula>
    </cfRule>
    <cfRule type="cellIs" dxfId="446" priority="454" operator="equal">
      <formula>0</formula>
    </cfRule>
  </conditionalFormatting>
  <conditionalFormatting sqref="Q259:T259">
    <cfRule type="cellIs" dxfId="445" priority="449" operator="equal">
      <formula>0</formula>
    </cfRule>
    <cfRule type="cellIs" dxfId="444" priority="450" operator="equal">
      <formula>0</formula>
    </cfRule>
  </conditionalFormatting>
  <conditionalFormatting sqref="Q286:T286">
    <cfRule type="cellIs" dxfId="443" priority="447" operator="equal">
      <formula>0</formula>
    </cfRule>
    <cfRule type="cellIs" dxfId="442" priority="448" operator="equal">
      <formula>0</formula>
    </cfRule>
  </conditionalFormatting>
  <conditionalFormatting sqref="Q320:T320">
    <cfRule type="cellIs" dxfId="441" priority="445" operator="equal">
      <formula>0</formula>
    </cfRule>
    <cfRule type="cellIs" dxfId="440" priority="446" operator="equal">
      <formula>0</formula>
    </cfRule>
  </conditionalFormatting>
  <conditionalFormatting sqref="Q388:T388">
    <cfRule type="cellIs" dxfId="439" priority="441" operator="equal">
      <formula>0</formula>
    </cfRule>
    <cfRule type="cellIs" dxfId="438" priority="442" operator="equal">
      <formula>0</formula>
    </cfRule>
  </conditionalFormatting>
  <conditionalFormatting sqref="M45:T46">
    <cfRule type="cellIs" dxfId="437" priority="439" operator="equal">
      <formula>0</formula>
    </cfRule>
    <cfRule type="cellIs" dxfId="436" priority="440" operator="equal">
      <formula>0</formula>
    </cfRule>
  </conditionalFormatting>
  <conditionalFormatting sqref="M48:T49">
    <cfRule type="cellIs" dxfId="435" priority="437" operator="equal">
      <formula>0</formula>
    </cfRule>
    <cfRule type="cellIs" dxfId="434" priority="438" operator="equal">
      <formula>0</formula>
    </cfRule>
  </conditionalFormatting>
  <conditionalFormatting sqref="M51:P51 R51:T51">
    <cfRule type="cellIs" dxfId="433" priority="435" operator="equal">
      <formula>0</formula>
    </cfRule>
    <cfRule type="cellIs" dxfId="432" priority="436" operator="equal">
      <formula>0</formula>
    </cfRule>
  </conditionalFormatting>
  <conditionalFormatting sqref="M50:P50 R50:T50">
    <cfRule type="cellIs" dxfId="431" priority="433" operator="equal">
      <formula>0</formula>
    </cfRule>
    <cfRule type="cellIs" dxfId="430" priority="434" operator="equal">
      <formula>0</formula>
    </cfRule>
  </conditionalFormatting>
  <conditionalFormatting sqref="Q355:T355">
    <cfRule type="cellIs" dxfId="429" priority="431" operator="equal">
      <formula>0</formula>
    </cfRule>
    <cfRule type="cellIs" dxfId="428" priority="432" operator="equal">
      <formula>0</formula>
    </cfRule>
  </conditionalFormatting>
  <conditionalFormatting sqref="Q165:T165">
    <cfRule type="cellIs" dxfId="427" priority="429" operator="equal">
      <formula>0</formula>
    </cfRule>
    <cfRule type="cellIs" dxfId="426" priority="430" operator="equal">
      <formula>0</formula>
    </cfRule>
  </conditionalFormatting>
  <conditionalFormatting sqref="M2:T2">
    <cfRule type="cellIs" dxfId="425" priority="427" operator="equal">
      <formula>0</formula>
    </cfRule>
    <cfRule type="cellIs" dxfId="424" priority="428" operator="equal">
      <formula>0</formula>
    </cfRule>
  </conditionalFormatting>
  <conditionalFormatting sqref="M6:P6 R6:T6">
    <cfRule type="cellIs" dxfId="423" priority="425" operator="equal">
      <formula>0</formula>
    </cfRule>
    <cfRule type="cellIs" dxfId="422" priority="426" operator="equal">
      <formula>0</formula>
    </cfRule>
  </conditionalFormatting>
  <conditionalFormatting sqref="M7:P7 R7:T7">
    <cfRule type="cellIs" dxfId="421" priority="423" operator="equal">
      <formula>0</formula>
    </cfRule>
    <cfRule type="cellIs" dxfId="420" priority="424" operator="equal">
      <formula>0</formula>
    </cfRule>
  </conditionalFormatting>
  <conditionalFormatting sqref="M8:P8 R8:T8">
    <cfRule type="cellIs" dxfId="419" priority="421" operator="equal">
      <formula>0</formula>
    </cfRule>
    <cfRule type="cellIs" dxfId="418" priority="422" operator="equal">
      <formula>0</formula>
    </cfRule>
  </conditionalFormatting>
  <conditionalFormatting sqref="M9:P9 R9:T9">
    <cfRule type="cellIs" dxfId="417" priority="419" operator="equal">
      <formula>0</formula>
    </cfRule>
    <cfRule type="cellIs" dxfId="416" priority="420" operator="equal">
      <formula>0</formula>
    </cfRule>
  </conditionalFormatting>
  <conditionalFormatting sqref="M388:P388">
    <cfRule type="cellIs" dxfId="415" priority="383" operator="equal">
      <formula>0</formula>
    </cfRule>
    <cfRule type="cellIs" dxfId="414" priority="384" operator="equal">
      <formula>0</formula>
    </cfRule>
  </conditionalFormatting>
  <conditionalFormatting sqref="M355:P355">
    <cfRule type="cellIs" dxfId="413" priority="385" operator="equal">
      <formula>0</formula>
    </cfRule>
    <cfRule type="cellIs" dxfId="412" priority="386" operator="equal">
      <formula>0</formula>
    </cfRule>
  </conditionalFormatting>
  <conditionalFormatting sqref="M14:P14">
    <cfRule type="cellIs" dxfId="411" priority="409" operator="equal">
      <formula>0</formula>
    </cfRule>
    <cfRule type="cellIs" dxfId="410" priority="410" operator="equal">
      <formula>0</formula>
    </cfRule>
  </conditionalFormatting>
  <conditionalFormatting sqref="M32:P32">
    <cfRule type="cellIs" dxfId="409" priority="407" operator="equal">
      <formula>0</formula>
    </cfRule>
    <cfRule type="cellIs" dxfId="408" priority="408" operator="equal">
      <formula>0</formula>
    </cfRule>
  </conditionalFormatting>
  <conditionalFormatting sqref="M54:P54">
    <cfRule type="cellIs" dxfId="407" priority="405" operator="equal">
      <formula>0</formula>
    </cfRule>
    <cfRule type="cellIs" dxfId="406" priority="406" operator="equal">
      <formula>0</formula>
    </cfRule>
  </conditionalFormatting>
  <conditionalFormatting sqref="M77:P77">
    <cfRule type="cellIs" dxfId="405" priority="403" operator="equal">
      <formula>0</formula>
    </cfRule>
    <cfRule type="cellIs" dxfId="404" priority="404" operator="equal">
      <formula>0</formula>
    </cfRule>
  </conditionalFormatting>
  <conditionalFormatting sqref="M104:P104">
    <cfRule type="cellIs" dxfId="403" priority="401" operator="equal">
      <formula>0</formula>
    </cfRule>
    <cfRule type="cellIs" dxfId="402" priority="402" operator="equal">
      <formula>0</formula>
    </cfRule>
  </conditionalFormatting>
  <conditionalFormatting sqref="M141:P141">
    <cfRule type="cellIs" dxfId="401" priority="399" operator="equal">
      <formula>0</formula>
    </cfRule>
    <cfRule type="cellIs" dxfId="400" priority="400" operator="equal">
      <formula>0</formula>
    </cfRule>
  </conditionalFormatting>
  <conditionalFormatting sqref="M165:P165">
    <cfRule type="cellIs" dxfId="399" priority="397" operator="equal">
      <formula>0</formula>
    </cfRule>
    <cfRule type="cellIs" dxfId="398" priority="398" operator="equal">
      <formula>0</formula>
    </cfRule>
  </conditionalFormatting>
  <conditionalFormatting sqref="M199:P199">
    <cfRule type="cellIs" dxfId="397" priority="395" operator="equal">
      <formula>0</formula>
    </cfRule>
    <cfRule type="cellIs" dxfId="396" priority="396" operator="equal">
      <formula>0</formula>
    </cfRule>
  </conditionalFormatting>
  <conditionalFormatting sqref="M232:P232">
    <cfRule type="cellIs" dxfId="395" priority="393" operator="equal">
      <formula>0</formula>
    </cfRule>
    <cfRule type="cellIs" dxfId="394" priority="394" operator="equal">
      <formula>0</formula>
    </cfRule>
  </conditionalFormatting>
  <conditionalFormatting sqref="M259:P259">
    <cfRule type="cellIs" dxfId="393" priority="391" operator="equal">
      <formula>0</formula>
    </cfRule>
    <cfRule type="cellIs" dxfId="392" priority="392" operator="equal">
      <formula>0</formula>
    </cfRule>
  </conditionalFormatting>
  <conditionalFormatting sqref="M286:P286">
    <cfRule type="cellIs" dxfId="391" priority="389" operator="equal">
      <formula>0</formula>
    </cfRule>
    <cfRule type="cellIs" dxfId="390" priority="390" operator="equal">
      <formula>0</formula>
    </cfRule>
  </conditionalFormatting>
  <conditionalFormatting sqref="M320:P320">
    <cfRule type="cellIs" dxfId="389" priority="387" operator="equal">
      <formula>0</formula>
    </cfRule>
    <cfRule type="cellIs" dxfId="388" priority="388" operator="equal">
      <formula>0</formula>
    </cfRule>
  </conditionalFormatting>
  <conditionalFormatting sqref="M421:P421">
    <cfRule type="cellIs" dxfId="387" priority="371" operator="equal">
      <formula>0</formula>
    </cfRule>
    <cfRule type="cellIs" dxfId="386" priority="372" operator="equal">
      <formula>0</formula>
    </cfRule>
  </conditionalFormatting>
  <conditionalFormatting sqref="M420:P423">
    <cfRule type="cellIs" dxfId="385" priority="375" operator="equal">
      <formula>0</formula>
    </cfRule>
    <cfRule type="cellIs" dxfId="384" priority="376" operator="equal">
      <formula>0</formula>
    </cfRule>
  </conditionalFormatting>
  <conditionalFormatting sqref="R420:T423">
    <cfRule type="cellIs" dxfId="383" priority="369" operator="equal">
      <formula>0</formula>
    </cfRule>
    <cfRule type="cellIs" dxfId="382" priority="370" operator="equal">
      <formula>0</formula>
    </cfRule>
  </conditionalFormatting>
  <conditionalFormatting sqref="R421:T421">
    <cfRule type="cellIs" dxfId="381" priority="365" operator="equal">
      <formula>0</formula>
    </cfRule>
    <cfRule type="cellIs" dxfId="380" priority="366" operator="equal">
      <formula>0</formula>
    </cfRule>
  </conditionalFormatting>
  <conditionalFormatting sqref="M422:P423 R422:T423">
    <cfRule type="cellIs" dxfId="379" priority="357" operator="equal">
      <formula>0</formula>
    </cfRule>
    <cfRule type="cellIs" dxfId="378" priority="358" operator="equal">
      <formula>0</formula>
    </cfRule>
  </conditionalFormatting>
  <conditionalFormatting sqref="M426:P426 R426:T426">
    <cfRule type="cellIs" dxfId="377" priority="355" operator="equal">
      <formula>0</formula>
    </cfRule>
    <cfRule type="cellIs" dxfId="376" priority="356" operator="equal">
      <formula>0</formula>
    </cfRule>
  </conditionalFormatting>
  <conditionalFormatting sqref="M428:P428 R428:T428">
    <cfRule type="cellIs" dxfId="375" priority="353" operator="equal">
      <formula>0</formula>
    </cfRule>
    <cfRule type="cellIs" dxfId="374" priority="354" operator="equal">
      <formula>0</formula>
    </cfRule>
  </conditionalFormatting>
  <conditionalFormatting sqref="Q6">
    <cfRule type="cellIs" dxfId="373" priority="351" operator="equal">
      <formula>0</formula>
    </cfRule>
    <cfRule type="cellIs" dxfId="372" priority="352" operator="equal">
      <formula>0</formula>
    </cfRule>
  </conditionalFormatting>
  <conditionalFormatting sqref="Q7">
    <cfRule type="cellIs" dxfId="371" priority="349" operator="equal">
      <formula>0</formula>
    </cfRule>
    <cfRule type="cellIs" dxfId="370" priority="350" operator="equal">
      <formula>0</formula>
    </cfRule>
  </conditionalFormatting>
  <conditionalFormatting sqref="Q8">
    <cfRule type="cellIs" dxfId="369" priority="347" operator="equal">
      <formula>0</formula>
    </cfRule>
    <cfRule type="cellIs" dxfId="368" priority="348" operator="equal">
      <formula>0</formula>
    </cfRule>
  </conditionalFormatting>
  <conditionalFormatting sqref="Q9">
    <cfRule type="cellIs" dxfId="367" priority="345" operator="equal">
      <formula>0</formula>
    </cfRule>
    <cfRule type="cellIs" dxfId="366" priority="346" operator="equal">
      <formula>0</formula>
    </cfRule>
  </conditionalFormatting>
  <conditionalFormatting sqref="Q18">
    <cfRule type="cellIs" dxfId="365" priority="341" operator="equal">
      <formula>0</formula>
    </cfRule>
    <cfRule type="cellIs" dxfId="364" priority="342" operator="equal">
      <formula>0</formula>
    </cfRule>
  </conditionalFormatting>
  <conditionalFormatting sqref="Q19">
    <cfRule type="cellIs" dxfId="363" priority="339" operator="equal">
      <formula>0</formula>
    </cfRule>
    <cfRule type="cellIs" dxfId="362" priority="340" operator="equal">
      <formula>0</formula>
    </cfRule>
  </conditionalFormatting>
  <conditionalFormatting sqref="Q20">
    <cfRule type="cellIs" dxfId="361" priority="337" operator="equal">
      <formula>0</formula>
    </cfRule>
    <cfRule type="cellIs" dxfId="360" priority="338" operator="equal">
      <formula>0</formula>
    </cfRule>
  </conditionalFormatting>
  <conditionalFormatting sqref="Q21">
    <cfRule type="cellIs" dxfId="359" priority="335" operator="equal">
      <formula>0</formula>
    </cfRule>
    <cfRule type="cellIs" dxfId="358" priority="336" operator="equal">
      <formula>0</formula>
    </cfRule>
  </conditionalFormatting>
  <conditionalFormatting sqref="Q22">
    <cfRule type="cellIs" dxfId="357" priority="333" operator="equal">
      <formula>0</formula>
    </cfRule>
    <cfRule type="cellIs" dxfId="356" priority="334" operator="equal">
      <formula>0</formula>
    </cfRule>
  </conditionalFormatting>
  <conditionalFormatting sqref="Q28">
    <cfRule type="cellIs" dxfId="355" priority="329" operator="equal">
      <formula>0</formula>
    </cfRule>
    <cfRule type="cellIs" dxfId="354" priority="330" operator="equal">
      <formula>0</formula>
    </cfRule>
  </conditionalFormatting>
  <conditionalFormatting sqref="Q36">
    <cfRule type="cellIs" dxfId="353" priority="327" operator="equal">
      <formula>0</formula>
    </cfRule>
    <cfRule type="cellIs" dxfId="352" priority="328" operator="equal">
      <formula>0</formula>
    </cfRule>
  </conditionalFormatting>
  <conditionalFormatting sqref="Q37">
    <cfRule type="cellIs" dxfId="351" priority="325" operator="equal">
      <formula>0</formula>
    </cfRule>
    <cfRule type="cellIs" dxfId="350" priority="326" operator="equal">
      <formula>0</formula>
    </cfRule>
  </conditionalFormatting>
  <conditionalFormatting sqref="Q38">
    <cfRule type="cellIs" dxfId="349" priority="323" operator="equal">
      <formula>0</formula>
    </cfRule>
    <cfRule type="cellIs" dxfId="348" priority="324" operator="equal">
      <formula>0</formula>
    </cfRule>
  </conditionalFormatting>
  <conditionalFormatting sqref="Q41">
    <cfRule type="cellIs" dxfId="347" priority="321" operator="equal">
      <formula>0</formula>
    </cfRule>
    <cfRule type="cellIs" dxfId="346" priority="322" operator="equal">
      <formula>0</formula>
    </cfRule>
  </conditionalFormatting>
  <conditionalFormatting sqref="Q43">
    <cfRule type="cellIs" dxfId="345" priority="317" operator="equal">
      <formula>0</formula>
    </cfRule>
    <cfRule type="cellIs" dxfId="344" priority="318" operator="equal">
      <formula>0</formula>
    </cfRule>
  </conditionalFormatting>
  <conditionalFormatting sqref="Q44">
    <cfRule type="cellIs" dxfId="343" priority="315" operator="equal">
      <formula>0</formula>
    </cfRule>
    <cfRule type="cellIs" dxfId="342" priority="316" operator="equal">
      <formula>0</formula>
    </cfRule>
  </conditionalFormatting>
  <conditionalFormatting sqref="Q42">
    <cfRule type="cellIs" dxfId="341" priority="313" operator="equal">
      <formula>0</formula>
    </cfRule>
    <cfRule type="cellIs" dxfId="340" priority="314" operator="equal">
      <formula>0</formula>
    </cfRule>
  </conditionalFormatting>
  <conditionalFormatting sqref="Q47">
    <cfRule type="cellIs" dxfId="339" priority="311" operator="equal">
      <formula>0</formula>
    </cfRule>
    <cfRule type="cellIs" dxfId="338" priority="312" operator="equal">
      <formula>0</formula>
    </cfRule>
  </conditionalFormatting>
  <conditionalFormatting sqref="Q50">
    <cfRule type="cellIs" dxfId="337" priority="309" operator="equal">
      <formula>0</formula>
    </cfRule>
    <cfRule type="cellIs" dxfId="336" priority="310" operator="equal">
      <formula>0</formula>
    </cfRule>
  </conditionalFormatting>
  <conditionalFormatting sqref="Q51">
    <cfRule type="cellIs" dxfId="335" priority="307" operator="equal">
      <formula>0</formula>
    </cfRule>
    <cfRule type="cellIs" dxfId="334" priority="308" operator="equal">
      <formula>0</formula>
    </cfRule>
  </conditionalFormatting>
  <conditionalFormatting sqref="Q52">
    <cfRule type="cellIs" dxfId="333" priority="305" operator="equal">
      <formula>0</formula>
    </cfRule>
    <cfRule type="cellIs" dxfId="332" priority="306" operator="equal">
      <formula>0</formula>
    </cfRule>
  </conditionalFormatting>
  <conditionalFormatting sqref="Q58">
    <cfRule type="cellIs" dxfId="331" priority="303" operator="equal">
      <formula>0</formula>
    </cfRule>
    <cfRule type="cellIs" dxfId="330" priority="304" operator="equal">
      <formula>0</formula>
    </cfRule>
  </conditionalFormatting>
  <conditionalFormatting sqref="Q59">
    <cfRule type="cellIs" dxfId="329" priority="301" operator="equal">
      <formula>0</formula>
    </cfRule>
    <cfRule type="cellIs" dxfId="328" priority="302" operator="equal">
      <formula>0</formula>
    </cfRule>
  </conditionalFormatting>
  <conditionalFormatting sqref="Q62">
    <cfRule type="cellIs" dxfId="327" priority="299" operator="equal">
      <formula>0</formula>
    </cfRule>
    <cfRule type="cellIs" dxfId="326" priority="300" operator="equal">
      <formula>0</formula>
    </cfRule>
  </conditionalFormatting>
  <conditionalFormatting sqref="Q63">
    <cfRule type="cellIs" dxfId="325" priority="297" operator="equal">
      <formula>0</formula>
    </cfRule>
    <cfRule type="cellIs" dxfId="324" priority="298" operator="equal">
      <formula>0</formula>
    </cfRule>
  </conditionalFormatting>
  <conditionalFormatting sqref="Q66">
    <cfRule type="cellIs" dxfId="323" priority="295" operator="equal">
      <formula>0</formula>
    </cfRule>
    <cfRule type="cellIs" dxfId="322" priority="296" operator="equal">
      <formula>0</formula>
    </cfRule>
  </conditionalFormatting>
  <conditionalFormatting sqref="Q67">
    <cfRule type="cellIs" dxfId="321" priority="293" operator="equal">
      <formula>0</formula>
    </cfRule>
    <cfRule type="cellIs" dxfId="320" priority="294" operator="equal">
      <formula>0</formula>
    </cfRule>
  </conditionalFormatting>
  <conditionalFormatting sqref="Q68">
    <cfRule type="cellIs" dxfId="319" priority="291" operator="equal">
      <formula>0</formula>
    </cfRule>
    <cfRule type="cellIs" dxfId="318" priority="292" operator="equal">
      <formula>0</formula>
    </cfRule>
  </conditionalFormatting>
  <conditionalFormatting sqref="Q69">
    <cfRule type="cellIs" dxfId="317" priority="289" operator="equal">
      <formula>0</formula>
    </cfRule>
    <cfRule type="cellIs" dxfId="316" priority="290" operator="equal">
      <formula>0</formula>
    </cfRule>
  </conditionalFormatting>
  <conditionalFormatting sqref="Q70">
    <cfRule type="cellIs" dxfId="315" priority="287" operator="equal">
      <formula>0</formula>
    </cfRule>
    <cfRule type="cellIs" dxfId="314" priority="288" operator="equal">
      <formula>0</formula>
    </cfRule>
  </conditionalFormatting>
  <conditionalFormatting sqref="Q81">
    <cfRule type="cellIs" dxfId="313" priority="285" operator="equal">
      <formula>0</formula>
    </cfRule>
    <cfRule type="cellIs" dxfId="312" priority="286" operator="equal">
      <formula>0</formula>
    </cfRule>
  </conditionalFormatting>
  <conditionalFormatting sqref="Q84">
    <cfRule type="cellIs" dxfId="311" priority="283" operator="equal">
      <formula>0</formula>
    </cfRule>
    <cfRule type="cellIs" dxfId="310" priority="284" operator="equal">
      <formula>0</formula>
    </cfRule>
  </conditionalFormatting>
  <conditionalFormatting sqref="Q85">
    <cfRule type="cellIs" dxfId="309" priority="281" operator="equal">
      <formula>0</formula>
    </cfRule>
    <cfRule type="cellIs" dxfId="308" priority="282" operator="equal">
      <formula>0</formula>
    </cfRule>
  </conditionalFormatting>
  <conditionalFormatting sqref="Q86">
    <cfRule type="cellIs" dxfId="307" priority="279" operator="equal">
      <formula>0</formula>
    </cfRule>
    <cfRule type="cellIs" dxfId="306" priority="280" operator="equal">
      <formula>0</formula>
    </cfRule>
  </conditionalFormatting>
  <conditionalFormatting sqref="Q89">
    <cfRule type="cellIs" dxfId="305" priority="277" operator="equal">
      <formula>0</formula>
    </cfRule>
    <cfRule type="cellIs" dxfId="304" priority="278" operator="equal">
      <formula>0</formula>
    </cfRule>
  </conditionalFormatting>
  <conditionalFormatting sqref="Q90">
    <cfRule type="cellIs" dxfId="303" priority="275" operator="equal">
      <formula>0</formula>
    </cfRule>
    <cfRule type="cellIs" dxfId="302" priority="276" operator="equal">
      <formula>0</formula>
    </cfRule>
  </conditionalFormatting>
  <conditionalFormatting sqref="Q91">
    <cfRule type="cellIs" dxfId="301" priority="273" operator="equal">
      <formula>0</formula>
    </cfRule>
    <cfRule type="cellIs" dxfId="300" priority="274" operator="equal">
      <formula>0</formula>
    </cfRule>
  </conditionalFormatting>
  <conditionalFormatting sqref="Q92">
    <cfRule type="cellIs" dxfId="299" priority="271" operator="equal">
      <formula>0</formula>
    </cfRule>
    <cfRule type="cellIs" dxfId="298" priority="272" operator="equal">
      <formula>0</formula>
    </cfRule>
  </conditionalFormatting>
  <conditionalFormatting sqref="Q93">
    <cfRule type="cellIs" dxfId="297" priority="269" operator="equal">
      <formula>0</formula>
    </cfRule>
    <cfRule type="cellIs" dxfId="296" priority="270" operator="equal">
      <formula>0</formula>
    </cfRule>
  </conditionalFormatting>
  <conditionalFormatting sqref="Q94">
    <cfRule type="cellIs" dxfId="295" priority="267" operator="equal">
      <formula>0</formula>
    </cfRule>
    <cfRule type="cellIs" dxfId="294" priority="268" operator="equal">
      <formula>0</formula>
    </cfRule>
  </conditionalFormatting>
  <conditionalFormatting sqref="Q99">
    <cfRule type="cellIs" dxfId="293" priority="265" operator="equal">
      <formula>0</formula>
    </cfRule>
    <cfRule type="cellIs" dxfId="292" priority="266" operator="equal">
      <formula>0</formula>
    </cfRule>
  </conditionalFormatting>
  <conditionalFormatting sqref="Q108">
    <cfRule type="cellIs" dxfId="291" priority="263" operator="equal">
      <formula>0</formula>
    </cfRule>
    <cfRule type="cellIs" dxfId="290" priority="264" operator="equal">
      <formula>0</formula>
    </cfRule>
  </conditionalFormatting>
  <conditionalFormatting sqref="Q112">
    <cfRule type="cellIs" dxfId="289" priority="261" operator="equal">
      <formula>0</formula>
    </cfRule>
    <cfRule type="cellIs" dxfId="288" priority="262" operator="equal">
      <formula>0</formula>
    </cfRule>
  </conditionalFormatting>
  <conditionalFormatting sqref="Q113">
    <cfRule type="cellIs" dxfId="287" priority="259" operator="equal">
      <formula>0</formula>
    </cfRule>
    <cfRule type="cellIs" dxfId="286" priority="260" operator="equal">
      <formula>0</formula>
    </cfRule>
  </conditionalFormatting>
  <conditionalFormatting sqref="Q116">
    <cfRule type="cellIs" dxfId="285" priority="257" operator="equal">
      <formula>0</formula>
    </cfRule>
    <cfRule type="cellIs" dxfId="284" priority="258" operator="equal">
      <formula>0</formula>
    </cfRule>
  </conditionalFormatting>
  <conditionalFormatting sqref="Q117">
    <cfRule type="cellIs" dxfId="283" priority="255" operator="equal">
      <formula>0</formula>
    </cfRule>
    <cfRule type="cellIs" dxfId="282" priority="256" operator="equal">
      <formula>0</formula>
    </cfRule>
  </conditionalFormatting>
  <conditionalFormatting sqref="Q120">
    <cfRule type="cellIs" dxfId="281" priority="253" operator="equal">
      <formula>0</formula>
    </cfRule>
    <cfRule type="cellIs" dxfId="280" priority="254" operator="equal">
      <formula>0</formula>
    </cfRule>
  </conditionalFormatting>
  <conditionalFormatting sqref="Q121">
    <cfRule type="cellIs" dxfId="279" priority="251" operator="equal">
      <formula>0</formula>
    </cfRule>
    <cfRule type="cellIs" dxfId="278" priority="252" operator="equal">
      <formula>0</formula>
    </cfRule>
  </conditionalFormatting>
  <conditionalFormatting sqref="Q122">
    <cfRule type="cellIs" dxfId="277" priority="249" operator="equal">
      <formula>0</formula>
    </cfRule>
    <cfRule type="cellIs" dxfId="276" priority="250" operator="equal">
      <formula>0</formula>
    </cfRule>
  </conditionalFormatting>
  <conditionalFormatting sqref="Q130">
    <cfRule type="cellIs" dxfId="275" priority="247" operator="equal">
      <formula>0</formula>
    </cfRule>
    <cfRule type="cellIs" dxfId="274" priority="248" operator="equal">
      <formula>0</formula>
    </cfRule>
  </conditionalFormatting>
  <conditionalFormatting sqref="Q133">
    <cfRule type="cellIs" dxfId="273" priority="245" operator="equal">
      <formula>0</formula>
    </cfRule>
    <cfRule type="cellIs" dxfId="272" priority="246" operator="equal">
      <formula>0</formula>
    </cfRule>
  </conditionalFormatting>
  <conditionalFormatting sqref="Q134">
    <cfRule type="cellIs" dxfId="271" priority="243" operator="equal">
      <formula>0</formula>
    </cfRule>
    <cfRule type="cellIs" dxfId="270" priority="244" operator="equal">
      <formula>0</formula>
    </cfRule>
  </conditionalFormatting>
  <conditionalFormatting sqref="Q145">
    <cfRule type="cellIs" dxfId="269" priority="241" operator="equal">
      <formula>0</formula>
    </cfRule>
    <cfRule type="cellIs" dxfId="268" priority="242" operator="equal">
      <formula>0</formula>
    </cfRule>
  </conditionalFormatting>
  <conditionalFormatting sqref="Q146">
    <cfRule type="cellIs" dxfId="267" priority="239" operator="equal">
      <formula>0</formula>
    </cfRule>
    <cfRule type="cellIs" dxfId="266" priority="240" operator="equal">
      <formula>0</formula>
    </cfRule>
  </conditionalFormatting>
  <conditionalFormatting sqref="Q147">
    <cfRule type="cellIs" dxfId="265" priority="237" operator="equal">
      <formula>0</formula>
    </cfRule>
    <cfRule type="cellIs" dxfId="264" priority="238" operator="equal">
      <formula>0</formula>
    </cfRule>
  </conditionalFormatting>
  <conditionalFormatting sqref="Q150">
    <cfRule type="cellIs" dxfId="263" priority="235" operator="equal">
      <formula>0</formula>
    </cfRule>
    <cfRule type="cellIs" dxfId="262" priority="236" operator="equal">
      <formula>0</formula>
    </cfRule>
  </conditionalFormatting>
  <conditionalFormatting sqref="Q151">
    <cfRule type="cellIs" dxfId="261" priority="233" operator="equal">
      <formula>0</formula>
    </cfRule>
    <cfRule type="cellIs" dxfId="260" priority="234" operator="equal">
      <formula>0</formula>
    </cfRule>
  </conditionalFormatting>
  <conditionalFormatting sqref="Q152">
    <cfRule type="cellIs" dxfId="259" priority="231" operator="equal">
      <formula>0</formula>
    </cfRule>
    <cfRule type="cellIs" dxfId="258" priority="232" operator="equal">
      <formula>0</formula>
    </cfRule>
  </conditionalFormatting>
  <conditionalFormatting sqref="Q153">
    <cfRule type="cellIs" dxfId="257" priority="229" operator="equal">
      <formula>0</formula>
    </cfRule>
    <cfRule type="cellIs" dxfId="256" priority="230" operator="equal">
      <formula>0</formula>
    </cfRule>
  </conditionalFormatting>
  <conditionalFormatting sqref="Q154">
    <cfRule type="cellIs" dxfId="255" priority="227" operator="equal">
      <formula>0</formula>
    </cfRule>
    <cfRule type="cellIs" dxfId="254" priority="228" operator="equal">
      <formula>0</formula>
    </cfRule>
  </conditionalFormatting>
  <conditionalFormatting sqref="Q157">
    <cfRule type="cellIs" dxfId="253" priority="225" operator="equal">
      <formula>0</formula>
    </cfRule>
    <cfRule type="cellIs" dxfId="252" priority="226" operator="equal">
      <formula>0</formula>
    </cfRule>
  </conditionalFormatting>
  <conditionalFormatting sqref="Q170">
    <cfRule type="cellIs" dxfId="251" priority="223" operator="equal">
      <formula>0</formula>
    </cfRule>
    <cfRule type="cellIs" dxfId="250" priority="224" operator="equal">
      <formula>0</formula>
    </cfRule>
  </conditionalFormatting>
  <conditionalFormatting sqref="Q171">
    <cfRule type="cellIs" dxfId="249" priority="221" operator="equal">
      <formula>0</formula>
    </cfRule>
    <cfRule type="cellIs" dxfId="248" priority="222" operator="equal">
      <formula>0</formula>
    </cfRule>
  </conditionalFormatting>
  <conditionalFormatting sqref="Q174">
    <cfRule type="cellIs" dxfId="247" priority="219" operator="equal">
      <formula>0</formula>
    </cfRule>
    <cfRule type="cellIs" dxfId="246" priority="220" operator="equal">
      <formula>0</formula>
    </cfRule>
  </conditionalFormatting>
  <conditionalFormatting sqref="Q175">
    <cfRule type="cellIs" dxfId="245" priority="217" operator="equal">
      <formula>0</formula>
    </cfRule>
    <cfRule type="cellIs" dxfId="244" priority="218" operator="equal">
      <formula>0</formula>
    </cfRule>
  </conditionalFormatting>
  <conditionalFormatting sqref="Q176">
    <cfRule type="cellIs" dxfId="243" priority="215" operator="equal">
      <formula>0</formula>
    </cfRule>
    <cfRule type="cellIs" dxfId="242" priority="216" operator="equal">
      <formula>0</formula>
    </cfRule>
  </conditionalFormatting>
  <conditionalFormatting sqref="Q177">
    <cfRule type="cellIs" dxfId="241" priority="213" operator="equal">
      <formula>0</formula>
    </cfRule>
    <cfRule type="cellIs" dxfId="240" priority="214" operator="equal">
      <formula>0</formula>
    </cfRule>
  </conditionalFormatting>
  <conditionalFormatting sqref="Q178">
    <cfRule type="cellIs" dxfId="239" priority="211" operator="equal">
      <formula>0</formula>
    </cfRule>
    <cfRule type="cellIs" dxfId="238" priority="212" operator="equal">
      <formula>0</formula>
    </cfRule>
  </conditionalFormatting>
  <conditionalFormatting sqref="Q181">
    <cfRule type="cellIs" dxfId="237" priority="209" operator="equal">
      <formula>0</formula>
    </cfRule>
    <cfRule type="cellIs" dxfId="236" priority="210" operator="equal">
      <formula>0</formula>
    </cfRule>
  </conditionalFormatting>
  <conditionalFormatting sqref="Q182">
    <cfRule type="cellIs" dxfId="235" priority="207" operator="equal">
      <formula>0</formula>
    </cfRule>
    <cfRule type="cellIs" dxfId="234" priority="208" operator="equal">
      <formula>0</formula>
    </cfRule>
  </conditionalFormatting>
  <conditionalFormatting sqref="Q183">
    <cfRule type="cellIs" dxfId="233" priority="205" operator="equal">
      <formula>0</formula>
    </cfRule>
    <cfRule type="cellIs" dxfId="232" priority="206" operator="equal">
      <formula>0</formula>
    </cfRule>
  </conditionalFormatting>
  <conditionalFormatting sqref="Q184">
    <cfRule type="cellIs" dxfId="231" priority="203" operator="equal">
      <formula>0</formula>
    </cfRule>
    <cfRule type="cellIs" dxfId="230" priority="204" operator="equal">
      <formula>0</formula>
    </cfRule>
  </conditionalFormatting>
  <conditionalFormatting sqref="Q185">
    <cfRule type="cellIs" dxfId="229" priority="201" operator="equal">
      <formula>0</formula>
    </cfRule>
    <cfRule type="cellIs" dxfId="228" priority="202" operator="equal">
      <formula>0</formula>
    </cfRule>
  </conditionalFormatting>
  <conditionalFormatting sqref="Q188">
    <cfRule type="cellIs" dxfId="227" priority="199" operator="equal">
      <formula>0</formula>
    </cfRule>
    <cfRule type="cellIs" dxfId="226" priority="200" operator="equal">
      <formula>0</formula>
    </cfRule>
  </conditionalFormatting>
  <conditionalFormatting sqref="Q189">
    <cfRule type="cellIs" dxfId="225" priority="197" operator="equal">
      <formula>0</formula>
    </cfRule>
    <cfRule type="cellIs" dxfId="224" priority="198" operator="equal">
      <formula>0</formula>
    </cfRule>
  </conditionalFormatting>
  <conditionalFormatting sqref="Q190">
    <cfRule type="cellIs" dxfId="223" priority="195" operator="equal">
      <formula>0</formula>
    </cfRule>
    <cfRule type="cellIs" dxfId="222" priority="196" operator="equal">
      <formula>0</formula>
    </cfRule>
  </conditionalFormatting>
  <conditionalFormatting sqref="Q195">
    <cfRule type="cellIs" dxfId="221" priority="193" operator="equal">
      <formula>0</formula>
    </cfRule>
    <cfRule type="cellIs" dxfId="220" priority="194" operator="equal">
      <formula>0</formula>
    </cfRule>
  </conditionalFormatting>
  <conditionalFormatting sqref="Q203">
    <cfRule type="cellIs" dxfId="219" priority="191" operator="equal">
      <formula>0</formula>
    </cfRule>
    <cfRule type="cellIs" dxfId="218" priority="192" operator="equal">
      <formula>0</formula>
    </cfRule>
  </conditionalFormatting>
  <conditionalFormatting sqref="Q206">
    <cfRule type="cellIs" dxfId="217" priority="189" operator="equal">
      <formula>0</formula>
    </cfRule>
    <cfRule type="cellIs" dxfId="216" priority="190" operator="equal">
      <formula>0</formula>
    </cfRule>
  </conditionalFormatting>
  <conditionalFormatting sqref="Q207">
    <cfRule type="cellIs" dxfId="215" priority="187" operator="equal">
      <formula>0</formula>
    </cfRule>
    <cfRule type="cellIs" dxfId="214" priority="188" operator="equal">
      <formula>0</formula>
    </cfRule>
  </conditionalFormatting>
  <conditionalFormatting sqref="Q215">
    <cfRule type="cellIs" dxfId="213" priority="185" operator="equal">
      <formula>0</formula>
    </cfRule>
    <cfRule type="cellIs" dxfId="212" priority="186" operator="equal">
      <formula>0</formula>
    </cfRule>
  </conditionalFormatting>
  <conditionalFormatting sqref="Q216">
    <cfRule type="cellIs" dxfId="211" priority="183" operator="equal">
      <formula>0</formula>
    </cfRule>
    <cfRule type="cellIs" dxfId="210" priority="184" operator="equal">
      <formula>0</formula>
    </cfRule>
  </conditionalFormatting>
  <conditionalFormatting sqref="Q217">
    <cfRule type="cellIs" dxfId="209" priority="181" operator="equal">
      <formula>0</formula>
    </cfRule>
    <cfRule type="cellIs" dxfId="208" priority="182" operator="equal">
      <formula>0</formula>
    </cfRule>
  </conditionalFormatting>
  <conditionalFormatting sqref="Q220">
    <cfRule type="cellIs" dxfId="207" priority="179" operator="equal">
      <formula>0</formula>
    </cfRule>
    <cfRule type="cellIs" dxfId="206" priority="180" operator="equal">
      <formula>0</formula>
    </cfRule>
  </conditionalFormatting>
  <conditionalFormatting sqref="Q221">
    <cfRule type="cellIs" dxfId="205" priority="177" operator="equal">
      <formula>0</formula>
    </cfRule>
    <cfRule type="cellIs" dxfId="204" priority="178" operator="equal">
      <formula>0</formula>
    </cfRule>
  </conditionalFormatting>
  <conditionalFormatting sqref="Q236">
    <cfRule type="cellIs" dxfId="203" priority="175" operator="equal">
      <formula>0</formula>
    </cfRule>
    <cfRule type="cellIs" dxfId="202" priority="176" operator="equal">
      <formula>0</formula>
    </cfRule>
  </conditionalFormatting>
  <conditionalFormatting sqref="Q237">
    <cfRule type="cellIs" dxfId="201" priority="173" operator="equal">
      <formula>0</formula>
    </cfRule>
    <cfRule type="cellIs" dxfId="200" priority="174" operator="equal">
      <formula>0</formula>
    </cfRule>
  </conditionalFormatting>
  <conditionalFormatting sqref="Q240">
    <cfRule type="cellIs" dxfId="199" priority="171" operator="equal">
      <formula>0</formula>
    </cfRule>
    <cfRule type="cellIs" dxfId="198" priority="172" operator="equal">
      <formula>0</formula>
    </cfRule>
  </conditionalFormatting>
  <conditionalFormatting sqref="Q241">
    <cfRule type="cellIs" dxfId="197" priority="169" operator="equal">
      <formula>0</formula>
    </cfRule>
    <cfRule type="cellIs" dxfId="196" priority="170" operator="equal">
      <formula>0</formula>
    </cfRule>
  </conditionalFormatting>
  <conditionalFormatting sqref="Q244">
    <cfRule type="cellIs" dxfId="195" priority="167" operator="equal">
      <formula>0</formula>
    </cfRule>
    <cfRule type="cellIs" dxfId="194" priority="168" operator="equal">
      <formula>0</formula>
    </cfRule>
  </conditionalFormatting>
  <conditionalFormatting sqref="Q247">
    <cfRule type="cellIs" dxfId="193" priority="165" operator="equal">
      <formula>0</formula>
    </cfRule>
    <cfRule type="cellIs" dxfId="192" priority="166" operator="equal">
      <formula>0</formula>
    </cfRule>
  </conditionalFormatting>
  <conditionalFormatting sqref="Q248">
    <cfRule type="cellIs" dxfId="191" priority="163" operator="equal">
      <formula>0</formula>
    </cfRule>
    <cfRule type="cellIs" dxfId="190" priority="164" operator="equal">
      <formula>0</formula>
    </cfRule>
  </conditionalFormatting>
  <conditionalFormatting sqref="Q249">
    <cfRule type="cellIs" dxfId="189" priority="161" operator="equal">
      <formula>0</formula>
    </cfRule>
    <cfRule type="cellIs" dxfId="188" priority="162" operator="equal">
      <formula>0</formula>
    </cfRule>
  </conditionalFormatting>
  <conditionalFormatting sqref="Q252">
    <cfRule type="cellIs" dxfId="187" priority="159" operator="equal">
      <formula>0</formula>
    </cfRule>
    <cfRule type="cellIs" dxfId="186" priority="160" operator="equal">
      <formula>0</formula>
    </cfRule>
  </conditionalFormatting>
  <conditionalFormatting sqref="Q253">
    <cfRule type="cellIs" dxfId="185" priority="157" operator="equal">
      <formula>0</formula>
    </cfRule>
    <cfRule type="cellIs" dxfId="184" priority="158" operator="equal">
      <formula>0</formula>
    </cfRule>
  </conditionalFormatting>
  <conditionalFormatting sqref="Q254">
    <cfRule type="cellIs" dxfId="183" priority="155" operator="equal">
      <formula>0</formula>
    </cfRule>
    <cfRule type="cellIs" dxfId="182" priority="156" operator="equal">
      <formula>0</formula>
    </cfRule>
  </conditionalFormatting>
  <conditionalFormatting sqref="Q255">
    <cfRule type="cellIs" dxfId="181" priority="153" operator="equal">
      <formula>0</formula>
    </cfRule>
    <cfRule type="cellIs" dxfId="180" priority="154" operator="equal">
      <formula>0</formula>
    </cfRule>
  </conditionalFormatting>
  <conditionalFormatting sqref="Q263">
    <cfRule type="cellIs" dxfId="179" priority="151" operator="equal">
      <formula>0</formula>
    </cfRule>
    <cfRule type="cellIs" dxfId="178" priority="152" operator="equal">
      <formula>0</formula>
    </cfRule>
  </conditionalFormatting>
  <conditionalFormatting sqref="Q264">
    <cfRule type="cellIs" dxfId="177" priority="149" operator="equal">
      <formula>0</formula>
    </cfRule>
    <cfRule type="cellIs" dxfId="176" priority="150" operator="equal">
      <formula>0</formula>
    </cfRule>
  </conditionalFormatting>
  <conditionalFormatting sqref="Q265">
    <cfRule type="cellIs" dxfId="175" priority="147" operator="equal">
      <formula>0</formula>
    </cfRule>
    <cfRule type="cellIs" dxfId="174" priority="148" operator="equal">
      <formula>0</formula>
    </cfRule>
  </conditionalFormatting>
  <conditionalFormatting sqref="Q266">
    <cfRule type="cellIs" dxfId="173" priority="145" operator="equal">
      <formula>0</formula>
    </cfRule>
    <cfRule type="cellIs" dxfId="172" priority="146" operator="equal">
      <formula>0</formula>
    </cfRule>
  </conditionalFormatting>
  <conditionalFormatting sqref="Q269">
    <cfRule type="cellIs" dxfId="171" priority="143" operator="equal">
      <formula>0</formula>
    </cfRule>
    <cfRule type="cellIs" dxfId="170" priority="144" operator="equal">
      <formula>0</formula>
    </cfRule>
  </conditionalFormatting>
  <conditionalFormatting sqref="Q274">
    <cfRule type="cellIs" dxfId="169" priority="141" operator="equal">
      <formula>0</formula>
    </cfRule>
    <cfRule type="cellIs" dxfId="168" priority="142" operator="equal">
      <formula>0</formula>
    </cfRule>
  </conditionalFormatting>
  <conditionalFormatting sqref="Q277">
    <cfRule type="cellIs" dxfId="167" priority="139" operator="equal">
      <formula>0</formula>
    </cfRule>
    <cfRule type="cellIs" dxfId="166" priority="140" operator="equal">
      <formula>0</formula>
    </cfRule>
  </conditionalFormatting>
  <conditionalFormatting sqref="Q280">
    <cfRule type="cellIs" dxfId="165" priority="137" operator="equal">
      <formula>0</formula>
    </cfRule>
    <cfRule type="cellIs" dxfId="164" priority="138" operator="equal">
      <formula>0</formula>
    </cfRule>
  </conditionalFormatting>
  <conditionalFormatting sqref="Q292">
    <cfRule type="cellIs" dxfId="163" priority="135" operator="equal">
      <formula>0</formula>
    </cfRule>
    <cfRule type="cellIs" dxfId="162" priority="136" operator="equal">
      <formula>0</formula>
    </cfRule>
  </conditionalFormatting>
  <conditionalFormatting sqref="Q293">
    <cfRule type="cellIs" dxfId="161" priority="133" operator="equal">
      <formula>0</formula>
    </cfRule>
    <cfRule type="cellIs" dxfId="160" priority="134" operator="equal">
      <formula>0</formula>
    </cfRule>
  </conditionalFormatting>
  <conditionalFormatting sqref="Q296">
    <cfRule type="cellIs" dxfId="159" priority="131" operator="equal">
      <formula>0</formula>
    </cfRule>
    <cfRule type="cellIs" dxfId="158" priority="132" operator="equal">
      <formula>0</formula>
    </cfRule>
  </conditionalFormatting>
  <conditionalFormatting sqref="Q297">
    <cfRule type="cellIs" dxfId="157" priority="129" operator="equal">
      <formula>0</formula>
    </cfRule>
    <cfRule type="cellIs" dxfId="156" priority="130" operator="equal">
      <formula>0</formula>
    </cfRule>
  </conditionalFormatting>
  <conditionalFormatting sqref="Q298">
    <cfRule type="cellIs" dxfId="155" priority="127" operator="equal">
      <formula>0</formula>
    </cfRule>
    <cfRule type="cellIs" dxfId="154" priority="128" operator="equal">
      <formula>0</formula>
    </cfRule>
  </conditionalFormatting>
  <conditionalFormatting sqref="Q301">
    <cfRule type="cellIs" dxfId="153" priority="125" operator="equal">
      <formula>0</formula>
    </cfRule>
    <cfRule type="cellIs" dxfId="152" priority="126" operator="equal">
      <formula>0</formula>
    </cfRule>
  </conditionalFormatting>
  <conditionalFormatting sqref="Q310">
    <cfRule type="cellIs" dxfId="151" priority="123" operator="equal">
      <formula>0</formula>
    </cfRule>
    <cfRule type="cellIs" dxfId="150" priority="124" operator="equal">
      <formula>0</formula>
    </cfRule>
  </conditionalFormatting>
  <conditionalFormatting sqref="Q311">
    <cfRule type="cellIs" dxfId="149" priority="121" operator="equal">
      <formula>0</formula>
    </cfRule>
    <cfRule type="cellIs" dxfId="148" priority="122" operator="equal">
      <formula>0</formula>
    </cfRule>
  </conditionalFormatting>
  <conditionalFormatting sqref="Q312">
    <cfRule type="cellIs" dxfId="147" priority="119" operator="equal">
      <formula>0</formula>
    </cfRule>
    <cfRule type="cellIs" dxfId="146" priority="120" operator="equal">
      <formula>0</formula>
    </cfRule>
  </conditionalFormatting>
  <conditionalFormatting sqref="Q313">
    <cfRule type="cellIs" dxfId="145" priority="117" operator="equal">
      <formula>0</formula>
    </cfRule>
    <cfRule type="cellIs" dxfId="144" priority="118" operator="equal">
      <formula>0</formula>
    </cfRule>
  </conditionalFormatting>
  <conditionalFormatting sqref="Q314">
    <cfRule type="cellIs" dxfId="143" priority="115" operator="equal">
      <formula>0</formula>
    </cfRule>
    <cfRule type="cellIs" dxfId="142" priority="116" operator="equal">
      <formula>0</formula>
    </cfRule>
  </conditionalFormatting>
  <conditionalFormatting sqref="Q326">
    <cfRule type="cellIs" dxfId="141" priority="113" operator="equal">
      <formula>0</formula>
    </cfRule>
    <cfRule type="cellIs" dxfId="140" priority="114" operator="equal">
      <formula>0</formula>
    </cfRule>
  </conditionalFormatting>
  <conditionalFormatting sqref="Q329">
    <cfRule type="cellIs" dxfId="139" priority="111" operator="equal">
      <formula>0</formula>
    </cfRule>
    <cfRule type="cellIs" dxfId="138" priority="112" operator="equal">
      <formula>0</formula>
    </cfRule>
  </conditionalFormatting>
  <conditionalFormatting sqref="Q330">
    <cfRule type="cellIs" dxfId="137" priority="109" operator="equal">
      <formula>0</formula>
    </cfRule>
    <cfRule type="cellIs" dxfId="136" priority="110" operator="equal">
      <formula>0</formula>
    </cfRule>
  </conditionalFormatting>
  <conditionalFormatting sqref="Q331">
    <cfRule type="cellIs" dxfId="135" priority="107" operator="equal">
      <formula>0</formula>
    </cfRule>
    <cfRule type="cellIs" dxfId="134" priority="108" operator="equal">
      <formula>0</formula>
    </cfRule>
  </conditionalFormatting>
  <conditionalFormatting sqref="Q332">
    <cfRule type="cellIs" dxfId="133" priority="105" operator="equal">
      <formula>0</formula>
    </cfRule>
    <cfRule type="cellIs" dxfId="132" priority="106" operator="equal">
      <formula>0</formula>
    </cfRule>
  </conditionalFormatting>
  <conditionalFormatting sqref="Q333">
    <cfRule type="cellIs" dxfId="131" priority="103" operator="equal">
      <formula>0</formula>
    </cfRule>
    <cfRule type="cellIs" dxfId="130" priority="104" operator="equal">
      <formula>0</formula>
    </cfRule>
  </conditionalFormatting>
  <conditionalFormatting sqref="Q334">
    <cfRule type="cellIs" dxfId="129" priority="101" operator="equal">
      <formula>0</formula>
    </cfRule>
    <cfRule type="cellIs" dxfId="128" priority="102" operator="equal">
      <formula>0</formula>
    </cfRule>
  </conditionalFormatting>
  <conditionalFormatting sqref="Q335">
    <cfRule type="cellIs" dxfId="127" priority="99" operator="equal">
      <formula>0</formula>
    </cfRule>
    <cfRule type="cellIs" dxfId="126" priority="100" operator="equal">
      <formula>0</formula>
    </cfRule>
  </conditionalFormatting>
  <conditionalFormatting sqref="Q336">
    <cfRule type="cellIs" dxfId="125" priority="97" operator="equal">
      <formula>0</formula>
    </cfRule>
    <cfRule type="cellIs" dxfId="124" priority="98" operator="equal">
      <formula>0</formula>
    </cfRule>
  </conditionalFormatting>
  <conditionalFormatting sqref="Q339">
    <cfRule type="cellIs" dxfId="123" priority="95" operator="equal">
      <formula>0</formula>
    </cfRule>
    <cfRule type="cellIs" dxfId="122" priority="96" operator="equal">
      <formula>0</formula>
    </cfRule>
  </conditionalFormatting>
  <conditionalFormatting sqref="Q340">
    <cfRule type="cellIs" dxfId="121" priority="93" operator="equal">
      <formula>0</formula>
    </cfRule>
    <cfRule type="cellIs" dxfId="120" priority="94" operator="equal">
      <formula>0</formula>
    </cfRule>
  </conditionalFormatting>
  <conditionalFormatting sqref="Q341">
    <cfRule type="cellIs" dxfId="119" priority="91" operator="equal">
      <formula>0</formula>
    </cfRule>
    <cfRule type="cellIs" dxfId="118" priority="92" operator="equal">
      <formula>0</formula>
    </cfRule>
  </conditionalFormatting>
  <conditionalFormatting sqref="Q342">
    <cfRule type="cellIs" dxfId="117" priority="89" operator="equal">
      <formula>0</formula>
    </cfRule>
    <cfRule type="cellIs" dxfId="116" priority="90" operator="equal">
      <formula>0</formula>
    </cfRule>
  </conditionalFormatting>
  <conditionalFormatting sqref="Q347">
    <cfRule type="cellIs" dxfId="115" priority="87" operator="equal">
      <formula>0</formula>
    </cfRule>
    <cfRule type="cellIs" dxfId="114" priority="88" operator="equal">
      <formula>0</formula>
    </cfRule>
  </conditionalFormatting>
  <conditionalFormatting sqref="Q348">
    <cfRule type="cellIs" dxfId="113" priority="85" operator="equal">
      <formula>0</formula>
    </cfRule>
    <cfRule type="cellIs" dxfId="112" priority="86" operator="equal">
      <formula>0</formula>
    </cfRule>
  </conditionalFormatting>
  <conditionalFormatting sqref="Q359">
    <cfRule type="cellIs" dxfId="111" priority="83" operator="equal">
      <formula>0</formula>
    </cfRule>
    <cfRule type="cellIs" dxfId="110" priority="84" operator="equal">
      <formula>0</formula>
    </cfRule>
  </conditionalFormatting>
  <conditionalFormatting sqref="Q360">
    <cfRule type="cellIs" dxfId="109" priority="81" operator="equal">
      <formula>0</formula>
    </cfRule>
    <cfRule type="cellIs" dxfId="108" priority="82" operator="equal">
      <formula>0</formula>
    </cfRule>
  </conditionalFormatting>
  <conditionalFormatting sqref="Q361">
    <cfRule type="cellIs" dxfId="107" priority="79" operator="equal">
      <formula>0</formula>
    </cfRule>
    <cfRule type="cellIs" dxfId="106" priority="80" operator="equal">
      <formula>0</formula>
    </cfRule>
  </conditionalFormatting>
  <conditionalFormatting sqref="Q362">
    <cfRule type="cellIs" dxfId="105" priority="77" operator="equal">
      <formula>0</formula>
    </cfRule>
    <cfRule type="cellIs" dxfId="104" priority="78" operator="equal">
      <formula>0</formula>
    </cfRule>
  </conditionalFormatting>
  <conditionalFormatting sqref="Q363">
    <cfRule type="cellIs" dxfId="103" priority="75" operator="equal">
      <formula>0</formula>
    </cfRule>
    <cfRule type="cellIs" dxfId="102" priority="76" operator="equal">
      <formula>0</formula>
    </cfRule>
  </conditionalFormatting>
  <conditionalFormatting sqref="Q366">
    <cfRule type="cellIs" dxfId="101" priority="73" operator="equal">
      <formula>0</formula>
    </cfRule>
    <cfRule type="cellIs" dxfId="100" priority="74" operator="equal">
      <formula>0</formula>
    </cfRule>
  </conditionalFormatting>
  <conditionalFormatting sqref="Q367">
    <cfRule type="cellIs" dxfId="99" priority="71" operator="equal">
      <formula>0</formula>
    </cfRule>
    <cfRule type="cellIs" dxfId="98" priority="72" operator="equal">
      <formula>0</formula>
    </cfRule>
  </conditionalFormatting>
  <conditionalFormatting sqref="Q370">
    <cfRule type="cellIs" dxfId="97" priority="69" operator="equal">
      <formula>0</formula>
    </cfRule>
    <cfRule type="cellIs" dxfId="96" priority="70" operator="equal">
      <formula>0</formula>
    </cfRule>
  </conditionalFormatting>
  <conditionalFormatting sqref="Q371">
    <cfRule type="cellIs" dxfId="95" priority="67" operator="equal">
      <formula>0</formula>
    </cfRule>
    <cfRule type="cellIs" dxfId="94" priority="68" operator="equal">
      <formula>0</formula>
    </cfRule>
  </conditionalFormatting>
  <conditionalFormatting sqref="Q374">
    <cfRule type="cellIs" dxfId="93" priority="65" operator="equal">
      <formula>0</formula>
    </cfRule>
    <cfRule type="cellIs" dxfId="92" priority="66" operator="equal">
      <formula>0</formula>
    </cfRule>
  </conditionalFormatting>
  <conditionalFormatting sqref="Q375">
    <cfRule type="cellIs" dxfId="91" priority="63" operator="equal">
      <formula>0</formula>
    </cfRule>
    <cfRule type="cellIs" dxfId="90" priority="64" operator="equal">
      <formula>0</formula>
    </cfRule>
  </conditionalFormatting>
  <conditionalFormatting sqref="Q376">
    <cfRule type="cellIs" dxfId="89" priority="61" operator="equal">
      <formula>0</formula>
    </cfRule>
    <cfRule type="cellIs" dxfId="88" priority="62" operator="equal">
      <formula>0</formula>
    </cfRule>
  </conditionalFormatting>
  <conditionalFormatting sqref="Q377">
    <cfRule type="cellIs" dxfId="87" priority="59" operator="equal">
      <formula>0</formula>
    </cfRule>
    <cfRule type="cellIs" dxfId="86" priority="60" operator="equal">
      <formula>0</formula>
    </cfRule>
  </conditionalFormatting>
  <conditionalFormatting sqref="Q380">
    <cfRule type="cellIs" dxfId="85" priority="57" operator="equal">
      <formula>0</formula>
    </cfRule>
    <cfRule type="cellIs" dxfId="84" priority="58" operator="equal">
      <formula>0</formula>
    </cfRule>
  </conditionalFormatting>
  <conditionalFormatting sqref="Q381">
    <cfRule type="cellIs" dxfId="83" priority="55" operator="equal">
      <formula>0</formula>
    </cfRule>
    <cfRule type="cellIs" dxfId="82" priority="56" operator="equal">
      <formula>0</formula>
    </cfRule>
  </conditionalFormatting>
  <conditionalFormatting sqref="Q394">
    <cfRule type="cellIs" dxfId="81" priority="53" operator="equal">
      <formula>0</formula>
    </cfRule>
    <cfRule type="cellIs" dxfId="80" priority="54" operator="equal">
      <formula>0</formula>
    </cfRule>
  </conditionalFormatting>
  <conditionalFormatting sqref="Q397">
    <cfRule type="cellIs" dxfId="79" priority="51" operator="equal">
      <formula>0</formula>
    </cfRule>
    <cfRule type="cellIs" dxfId="78" priority="52" operator="equal">
      <formula>0</formula>
    </cfRule>
  </conditionalFormatting>
  <conditionalFormatting sqref="Q398">
    <cfRule type="cellIs" dxfId="77" priority="49" operator="equal">
      <formula>0</formula>
    </cfRule>
    <cfRule type="cellIs" dxfId="76" priority="50" operator="equal">
      <formula>0</formula>
    </cfRule>
  </conditionalFormatting>
  <conditionalFormatting sqref="Q399">
    <cfRule type="cellIs" dxfId="75" priority="47" operator="equal">
      <formula>0</formula>
    </cfRule>
    <cfRule type="cellIs" dxfId="74" priority="48" operator="equal">
      <formula>0</formula>
    </cfRule>
  </conditionalFormatting>
  <conditionalFormatting sqref="Q400">
    <cfRule type="cellIs" dxfId="73" priority="45" operator="equal">
      <formula>0</formula>
    </cfRule>
    <cfRule type="cellIs" dxfId="72" priority="46" operator="equal">
      <formula>0</formula>
    </cfRule>
  </conditionalFormatting>
  <conditionalFormatting sqref="Q401">
    <cfRule type="cellIs" dxfId="71" priority="43" operator="equal">
      <formula>0</formula>
    </cfRule>
    <cfRule type="cellIs" dxfId="70" priority="44" operator="equal">
      <formula>0</formula>
    </cfRule>
  </conditionalFormatting>
  <conditionalFormatting sqref="Q404">
    <cfRule type="cellIs" dxfId="69" priority="41" operator="equal">
      <formula>0</formula>
    </cfRule>
    <cfRule type="cellIs" dxfId="68" priority="42" operator="equal">
      <formula>0</formula>
    </cfRule>
  </conditionalFormatting>
  <conditionalFormatting sqref="Q405">
    <cfRule type="cellIs" dxfId="67" priority="39" operator="equal">
      <formula>0</formula>
    </cfRule>
    <cfRule type="cellIs" dxfId="66" priority="40" operator="equal">
      <formula>0</formula>
    </cfRule>
  </conditionalFormatting>
  <conditionalFormatting sqref="Q406">
    <cfRule type="cellIs" dxfId="65" priority="37" operator="equal">
      <formula>0</formula>
    </cfRule>
    <cfRule type="cellIs" dxfId="64" priority="38" operator="equal">
      <formula>0</formula>
    </cfRule>
  </conditionalFormatting>
  <conditionalFormatting sqref="Q407">
    <cfRule type="cellIs" dxfId="63" priority="35" operator="equal">
      <formula>0</formula>
    </cfRule>
    <cfRule type="cellIs" dxfId="62" priority="36" operator="equal">
      <formula>0</formula>
    </cfRule>
  </conditionalFormatting>
  <conditionalFormatting sqref="Q410">
    <cfRule type="cellIs" dxfId="61" priority="33" operator="equal">
      <formula>0</formula>
    </cfRule>
    <cfRule type="cellIs" dxfId="60" priority="34" operator="equal">
      <formula>0</formula>
    </cfRule>
  </conditionalFormatting>
  <conditionalFormatting sqref="Q419">
    <cfRule type="cellIs" dxfId="59" priority="31" operator="equal">
      <formula>0</formula>
    </cfRule>
    <cfRule type="cellIs" dxfId="58" priority="32" operator="equal">
      <formula>0</formula>
    </cfRule>
  </conditionalFormatting>
  <conditionalFormatting sqref="Q420">
    <cfRule type="cellIs" dxfId="57" priority="19" operator="equal">
      <formula>0</formula>
    </cfRule>
    <cfRule type="cellIs" dxfId="56" priority="20" operator="equal">
      <formula>0</formula>
    </cfRule>
  </conditionalFormatting>
  <conditionalFormatting sqref="Q421">
    <cfRule type="cellIs" dxfId="55" priority="17" operator="equal">
      <formula>0</formula>
    </cfRule>
    <cfRule type="cellIs" dxfId="54" priority="18" operator="equal">
      <formula>0</formula>
    </cfRule>
  </conditionalFormatting>
  <conditionalFormatting sqref="Q422">
    <cfRule type="cellIs" dxfId="53" priority="15" operator="equal">
      <formula>0</formula>
    </cfRule>
    <cfRule type="cellIs" dxfId="52" priority="16" operator="equal">
      <formula>0</formula>
    </cfRule>
  </conditionalFormatting>
  <conditionalFormatting sqref="Q423">
    <cfRule type="cellIs" dxfId="51" priority="13" operator="equal">
      <formula>0</formula>
    </cfRule>
    <cfRule type="cellIs" dxfId="50" priority="14" operator="equal">
      <formula>0</formula>
    </cfRule>
  </conditionalFormatting>
  <conditionalFormatting sqref="Q424">
    <cfRule type="cellIs" dxfId="49" priority="11" operator="equal">
      <formula>0</formula>
    </cfRule>
    <cfRule type="cellIs" dxfId="48" priority="12" operator="equal">
      <formula>0</formula>
    </cfRule>
  </conditionalFormatting>
  <conditionalFormatting sqref="Q425">
    <cfRule type="cellIs" dxfId="47" priority="9" operator="equal">
      <formula>0</formula>
    </cfRule>
    <cfRule type="cellIs" dxfId="46" priority="10" operator="equal">
      <formula>0</formula>
    </cfRule>
  </conditionalFormatting>
  <conditionalFormatting sqref="Q426">
    <cfRule type="cellIs" dxfId="45" priority="7" operator="equal">
      <formula>0</formula>
    </cfRule>
    <cfRule type="cellIs" dxfId="44" priority="8" operator="equal">
      <formula>0</formula>
    </cfRule>
  </conditionalFormatting>
  <conditionalFormatting sqref="Q427">
    <cfRule type="cellIs" dxfId="43" priority="5" operator="equal">
      <formula>0</formula>
    </cfRule>
    <cfRule type="cellIs" dxfId="42" priority="6" operator="equal">
      <formula>0</formula>
    </cfRule>
  </conditionalFormatting>
  <conditionalFormatting sqref="Q428">
    <cfRule type="cellIs" dxfId="41" priority="3" operator="equal">
      <formula>0</formula>
    </cfRule>
    <cfRule type="cellIs" dxfId="40" priority="4" operator="equal">
      <formula>0</formula>
    </cfRule>
  </conditionalFormatting>
  <conditionalFormatting sqref="Q429">
    <cfRule type="cellIs" dxfId="39" priority="1" operator="equal">
      <formula>0</formula>
    </cfRule>
    <cfRule type="cellIs" dxfId="38" priority="2" operator="equal">
      <formula>0</formula>
    </cfRule>
  </conditionalFormatting>
  <dataValidations count="2">
    <dataValidation type="list" allowBlank="1" showInputMessage="1" showErrorMessage="1" sqref="K58:K59 K252:K255 K62:K63 K139:L139 L74 K81 K84:K86 K89:K94 K236:K237 K240:K241 K244 K99 K247:K249 L382:L384 L337 L343 L345 L349:L352 K394 K410 K412:L413 L411:T411 K397:K408 K66:K70 K108 K112:K113 K116:K117 K130 K133:K134 K145:K147 K150:K154 L155:L156 K157 K161 K203 L208 K206:K208 K220:K221 K215:K217 K226:L230 K263:K266 K269 K274:K277 K280 L283:L284 K292:K293 K296:K298 K301 K310:K314 K326 K18:K25 K356:K386 K50:K52 M196:T196 L169:U169 K41:K44 K47 K28 K329:K354 K162:L164 L158:L164 K166:K197 L166:L169 L172:L173 L179:L180 L186:L187 L191:L194 L196:L197 K36:K38 K120:K122 K419:K429 K6:K10" xr:uid="{E7201FAD-AA48-42E3-BC0A-8F8918B06E93}">
      <formula1>itemNames</formula1>
    </dataValidation>
    <dataValidation type="list" allowBlank="1" showInputMessage="1" showErrorMessage="1" sqref="J58:J59 L240:L241 L236:L237 L84:L86 L244 L66:L70 L419:L429 L81 L62:L63 J81 L247:L249 J84:J86 J89:J94 L58:L59 J133:J134 J252:J255 J236:J237 J240:J241 L206:L207 J244 J99 L150:L154 J346:J348 L338:L342 J338:J342 J344 L344 L6:L9 L346:L348 L50:L52 L166:L197 L394 J394 J410 L410 J62:J63 J66:J70 L99 L108 J108 J112:J113 L112:L113 L89:L94 J116:J117 L133:L134 J130 L130 J145:J147 L116:L117 L145:L147 J157 J150:J154 L292:L293 J356:J386 J166:J197 J203 J206:J207 L203 J220:J221 L215:L217 J215:J217 L220:L221 J247:J249 L252:L255 J263:J266 L269 L263:L266 L274:L277 J274:J277 L280 J280 J269 J292:J293 L296:L298 J296:J298 J301 L301 J310:J314 L310:L314 J326 L326 J329:J336 L329:L336 L397:L408 L356:L386 J50:J52 J41:J44 L41:L44 L47 J47 L28 J18:J22 J28 J353:J354 L353:L354 L161:L164 J161:J164 L157 J6:J9 L18:L22 L36:L38 J36:J38 J120:J122 L120:L122 J419:J429 J397:J408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2" max="16383" man="1"/>
    <brk id="30" max="16383" man="1"/>
    <brk id="52" max="16383" man="1"/>
    <brk id="75" max="16383" man="1"/>
    <brk id="102" max="16383" man="1"/>
    <brk id="139" max="16383" man="1"/>
    <brk id="163" max="16383" man="1"/>
    <brk id="197" max="16383" man="1"/>
    <brk id="230" max="16383" man="1"/>
    <brk id="257" max="16383" man="1"/>
    <brk id="284" max="16383" man="1"/>
    <brk id="318" max="16383" man="1"/>
    <brk id="353" max="16383" man="1"/>
    <brk id="386" max="16383" man="1"/>
    <brk id="415" max="16383" man="1"/>
    <brk id="4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2"/>
  <sheetViews>
    <sheetView zoomScale="85" zoomScaleNormal="85" workbookViewId="0">
      <selection activeCell="P55" sqref="P55"/>
    </sheetView>
  </sheetViews>
  <sheetFormatPr defaultRowHeight="12.75" x14ac:dyDescent="0.2"/>
  <cols>
    <col min="1" max="1" width="29.7109375" style="68" customWidth="1"/>
    <col min="2" max="2" width="9.5703125" style="75" bestFit="1" customWidth="1"/>
    <col min="3" max="3" width="23.42578125" style="68" bestFit="1" customWidth="1"/>
    <col min="4" max="4" width="11.7109375" style="73" bestFit="1" customWidth="1"/>
    <col min="5" max="6" width="11.7109375" style="119" bestFit="1" customWidth="1"/>
    <col min="7" max="8" width="12.42578125" style="74" bestFit="1" customWidth="1"/>
    <col min="9" max="11" width="8.140625" style="74" bestFit="1" customWidth="1"/>
    <col min="12" max="12" width="5.85546875" style="73" bestFit="1" customWidth="1"/>
    <col min="13" max="13" width="9.140625" style="68"/>
    <col min="14" max="14" width="10.5703125" style="68" bestFit="1" customWidth="1"/>
    <col min="15" max="15" width="9.140625" style="68"/>
    <col min="16" max="16" width="8.7109375" style="68" bestFit="1" customWidth="1"/>
    <col min="17" max="17" width="9.140625" style="68"/>
    <col min="18" max="18" width="12.85546875" style="68" bestFit="1" customWidth="1"/>
    <col min="19" max="16384" width="9.140625" style="68"/>
  </cols>
  <sheetData>
    <row r="1" spans="1:18" ht="26.25" thickBot="1" x14ac:dyDescent="0.25">
      <c r="A1" s="63" t="s">
        <v>117</v>
      </c>
      <c r="B1" s="64" t="s">
        <v>162</v>
      </c>
      <c r="C1" s="63" t="s">
        <v>118</v>
      </c>
      <c r="D1" s="65" t="s">
        <v>38</v>
      </c>
      <c r="E1" s="115" t="s">
        <v>111</v>
      </c>
      <c r="F1" s="115" t="s">
        <v>112</v>
      </c>
      <c r="G1" s="66" t="s">
        <v>113</v>
      </c>
      <c r="H1" s="66" t="s">
        <v>114</v>
      </c>
      <c r="I1" s="66" t="s">
        <v>84</v>
      </c>
      <c r="J1" s="66" t="s">
        <v>85</v>
      </c>
      <c r="K1" s="66" t="s">
        <v>83</v>
      </c>
      <c r="L1" s="67" t="s">
        <v>337</v>
      </c>
      <c r="N1" s="63" t="s">
        <v>166</v>
      </c>
      <c r="P1" s="63" t="s">
        <v>97</v>
      </c>
      <c r="R1" s="63" t="s">
        <v>161</v>
      </c>
    </row>
    <row r="2" spans="1:18" ht="13.5" thickBot="1" x14ac:dyDescent="0.25">
      <c r="A2" s="88" t="s">
        <v>344</v>
      </c>
      <c r="B2" s="85"/>
      <c r="C2" s="76" t="s">
        <v>344</v>
      </c>
      <c r="D2" s="77"/>
      <c r="E2" s="116"/>
      <c r="F2" s="116"/>
      <c r="G2" s="78">
        <f t="shared" ref="G2:G33" si="0">IF(D2&lt;&gt;0, E2/D2, 0)</f>
        <v>0</v>
      </c>
      <c r="H2" s="78">
        <f t="shared" ref="H2:H33" si="1">IF(D2&lt;&gt;0, F2/D2, 0)</f>
        <v>0</v>
      </c>
      <c r="I2" s="78">
        <f>SUMIF(recipes!K:K,A2,recipes!R:R)</f>
        <v>0</v>
      </c>
      <c r="J2" s="78">
        <f>SUMIF(recipes!K:K,A2,recipes!S:S)</f>
        <v>0</v>
      </c>
      <c r="K2" s="78">
        <f>SUMIF(recipes!K:K,A2,recipes!T:T)</f>
        <v>39</v>
      </c>
      <c r="L2" s="79">
        <f>COUNTIF(recipes!K:K,A2)</f>
        <v>1</v>
      </c>
      <c r="N2" s="1" t="s">
        <v>16</v>
      </c>
      <c r="P2" s="91">
        <v>0.25</v>
      </c>
      <c r="R2" s="1" t="s">
        <v>163</v>
      </c>
    </row>
    <row r="3" spans="1:18" ht="13.5" thickBot="1" x14ac:dyDescent="0.25">
      <c r="A3" s="89" t="s">
        <v>347</v>
      </c>
      <c r="B3" s="70" t="s">
        <v>163</v>
      </c>
      <c r="C3" s="62" t="s">
        <v>344</v>
      </c>
      <c r="D3" s="61"/>
      <c r="E3" s="117"/>
      <c r="F3" s="117"/>
      <c r="G3" s="69">
        <f t="shared" si="0"/>
        <v>0</v>
      </c>
      <c r="H3" s="69">
        <f t="shared" si="1"/>
        <v>0</v>
      </c>
      <c r="I3" s="69">
        <f>SUMIF(recipes!K:K,A3,recipes!R:R)</f>
        <v>0</v>
      </c>
      <c r="J3" s="69">
        <f>SUMIF(recipes!K:K,A3,recipes!S:S)</f>
        <v>0</v>
      </c>
      <c r="K3" s="69">
        <f>SUMIF(recipes!K:K,A3,recipes!T:T)</f>
        <v>18</v>
      </c>
      <c r="L3" s="80">
        <f>COUNTIF(recipes!K:K,A3)</f>
        <v>1</v>
      </c>
      <c r="N3" s="2" t="s">
        <v>155</v>
      </c>
      <c r="P3" s="71" t="s">
        <v>98</v>
      </c>
      <c r="R3" s="90" t="s">
        <v>164</v>
      </c>
    </row>
    <row r="4" spans="1:18" ht="13.5" thickBot="1" x14ac:dyDescent="0.25">
      <c r="A4" s="89" t="s">
        <v>348</v>
      </c>
      <c r="B4" s="70" t="s">
        <v>163</v>
      </c>
      <c r="C4" s="62" t="s">
        <v>345</v>
      </c>
      <c r="D4" s="61"/>
      <c r="E4" s="117"/>
      <c r="F4" s="117"/>
      <c r="G4" s="69">
        <f t="shared" si="0"/>
        <v>0</v>
      </c>
      <c r="H4" s="69">
        <f t="shared" si="1"/>
        <v>0</v>
      </c>
      <c r="I4" s="69">
        <f>SUMIF(recipes!K:K,A4,recipes!R:R)</f>
        <v>0</v>
      </c>
      <c r="J4" s="69">
        <f>SUMIF(recipes!K:K,A4,recipes!S:S)</f>
        <v>0</v>
      </c>
      <c r="K4" s="69">
        <f>SUMIF(recipes!K:K,A4,recipes!T:T)</f>
        <v>18</v>
      </c>
      <c r="L4" s="80">
        <f>COUNTIF(recipes!K:K,A4)</f>
        <v>1</v>
      </c>
      <c r="N4" s="2" t="s">
        <v>0</v>
      </c>
      <c r="R4" s="71" t="s">
        <v>165</v>
      </c>
    </row>
    <row r="5" spans="1:18" x14ac:dyDescent="0.2">
      <c r="A5" s="89" t="s">
        <v>62</v>
      </c>
      <c r="B5" s="70"/>
      <c r="C5" s="62" t="s">
        <v>62</v>
      </c>
      <c r="D5" s="61"/>
      <c r="E5" s="117"/>
      <c r="F5" s="117"/>
      <c r="G5" s="69">
        <f t="shared" si="0"/>
        <v>0</v>
      </c>
      <c r="H5" s="69">
        <f t="shared" si="1"/>
        <v>0</v>
      </c>
      <c r="I5" s="69">
        <f>SUMIF(recipes!K:K,A5,recipes!R:R)</f>
        <v>0</v>
      </c>
      <c r="J5" s="69">
        <f>SUMIF(recipes!K:K,A5,recipes!S:S)</f>
        <v>0</v>
      </c>
      <c r="K5" s="69">
        <f>SUMIF(recipes!K:K,A5,recipes!T:T)</f>
        <v>5</v>
      </c>
      <c r="L5" s="80">
        <f>COUNTIF(recipes!K:K,A5)</f>
        <v>2</v>
      </c>
      <c r="N5" s="2" t="s">
        <v>12</v>
      </c>
    </row>
    <row r="6" spans="1:18" x14ac:dyDescent="0.2">
      <c r="A6" s="89" t="s">
        <v>34</v>
      </c>
      <c r="B6" s="70"/>
      <c r="C6" s="62" t="s">
        <v>34</v>
      </c>
      <c r="D6" s="61">
        <v>1</v>
      </c>
      <c r="E6" s="117">
        <v>1.6E-2</v>
      </c>
      <c r="F6" s="117">
        <v>2.2180100000000001E-2</v>
      </c>
      <c r="G6" s="69">
        <f t="shared" si="0"/>
        <v>1.6E-2</v>
      </c>
      <c r="H6" s="69">
        <f t="shared" si="1"/>
        <v>2.2180100000000001E-2</v>
      </c>
      <c r="I6" s="69">
        <f>SUMIF(recipes!K:K,A6,recipes!R:R)</f>
        <v>2.1333378704334063E-2</v>
      </c>
      <c r="J6" s="69">
        <f>SUMIF(recipes!K:K,A6,recipes!S:S)</f>
        <v>0</v>
      </c>
      <c r="K6" s="69">
        <f>SUMIF(recipes!K:K,A6,recipes!T:T)</f>
        <v>0</v>
      </c>
      <c r="L6" s="80">
        <f>COUNTIF(recipes!K:K,A6)</f>
        <v>1</v>
      </c>
      <c r="N6" s="2" t="s">
        <v>542</v>
      </c>
    </row>
    <row r="7" spans="1:18" x14ac:dyDescent="0.2">
      <c r="A7" s="89" t="s">
        <v>432</v>
      </c>
      <c r="B7" s="70" t="s">
        <v>163</v>
      </c>
      <c r="C7" s="62" t="s">
        <v>2</v>
      </c>
      <c r="D7" s="61">
        <v>1</v>
      </c>
      <c r="E7" s="117">
        <v>0.27300000000000002</v>
      </c>
      <c r="F7" s="117">
        <v>1.1000000000000001</v>
      </c>
      <c r="G7" s="69">
        <f t="shared" si="0"/>
        <v>0.27300000000000002</v>
      </c>
      <c r="H7" s="69">
        <f t="shared" si="1"/>
        <v>1.1000000000000001</v>
      </c>
      <c r="I7" s="69">
        <f>SUMIF(recipes!K:K,A7,recipes!R:R)</f>
        <v>1.4538417960078407</v>
      </c>
      <c r="J7" s="69">
        <f>SUMIF(recipes!K:K,A7,recipes!S:S)</f>
        <v>0</v>
      </c>
      <c r="K7" s="69">
        <f>SUMIF(recipes!K:K,A7,recipes!T:T)</f>
        <v>0</v>
      </c>
      <c r="L7" s="80">
        <f>COUNTIF(recipes!K:K,A7)</f>
        <v>3</v>
      </c>
      <c r="N7" s="2" t="s">
        <v>1</v>
      </c>
    </row>
    <row r="8" spans="1:18" x14ac:dyDescent="0.2">
      <c r="A8" s="89" t="s">
        <v>436</v>
      </c>
      <c r="B8" s="70"/>
      <c r="C8" s="62" t="s">
        <v>436</v>
      </c>
      <c r="D8" s="61">
        <v>1</v>
      </c>
      <c r="E8" s="117">
        <v>0.85899999999999999</v>
      </c>
      <c r="F8" s="117">
        <v>1</v>
      </c>
      <c r="G8" s="69">
        <f t="shared" si="0"/>
        <v>0.85899999999999999</v>
      </c>
      <c r="H8" s="69">
        <f t="shared" si="1"/>
        <v>1</v>
      </c>
      <c r="I8" s="69">
        <f>SUMIF(recipes!K:K,A8,recipes!R:R)</f>
        <v>7.9259425109864994</v>
      </c>
      <c r="J8" s="69">
        <f>SUMIF(recipes!K:K,A8,recipes!S:S)</f>
        <v>0</v>
      </c>
      <c r="K8" s="69">
        <f>SUMIF(recipes!K:K,A8,recipes!T:T)</f>
        <v>0</v>
      </c>
      <c r="L8" s="80">
        <f>COUNTIF(recipes!K:K,A8)</f>
        <v>1</v>
      </c>
      <c r="N8" s="2" t="s">
        <v>15</v>
      </c>
    </row>
    <row r="9" spans="1:18" ht="13.5" thickBot="1" x14ac:dyDescent="0.25">
      <c r="A9" s="89" t="s">
        <v>441</v>
      </c>
      <c r="B9" s="70"/>
      <c r="C9" s="62" t="s">
        <v>441</v>
      </c>
      <c r="D9" s="61"/>
      <c r="E9" s="117"/>
      <c r="F9" s="117"/>
      <c r="G9" s="69">
        <f t="shared" si="0"/>
        <v>0</v>
      </c>
      <c r="H9" s="69">
        <f t="shared" si="1"/>
        <v>0</v>
      </c>
      <c r="I9" s="69">
        <f>SUMIF(recipes!K:K,A9,recipes!R:R)</f>
        <v>1.4849999999999999</v>
      </c>
      <c r="J9" s="69">
        <f>SUMIF(recipes!K:K,A9,recipes!S:S)</f>
        <v>0</v>
      </c>
      <c r="K9" s="69">
        <f>SUMIF(recipes!K:K,A9,recipes!T:T)</f>
        <v>0</v>
      </c>
      <c r="L9" s="80">
        <f>COUNTIF(recipes!K:K,A9)</f>
        <v>1</v>
      </c>
      <c r="N9" s="90" t="s">
        <v>13</v>
      </c>
    </row>
    <row r="10" spans="1:18" ht="13.5" thickBot="1" x14ac:dyDescent="0.25">
      <c r="A10" s="89" t="s">
        <v>5</v>
      </c>
      <c r="B10" s="70" t="s">
        <v>163</v>
      </c>
      <c r="C10" s="62" t="s">
        <v>43</v>
      </c>
      <c r="D10" s="61">
        <v>3</v>
      </c>
      <c r="E10" s="117">
        <v>0.44500000000000001</v>
      </c>
      <c r="F10" s="117">
        <v>0.6</v>
      </c>
      <c r="G10" s="69">
        <f t="shared" si="0"/>
        <v>0.14833333333333334</v>
      </c>
      <c r="H10" s="69">
        <f t="shared" si="1"/>
        <v>0.19999999999999998</v>
      </c>
      <c r="I10" s="69">
        <f>SUMIF(recipes!K:K,A10,recipes!R:R)</f>
        <v>3.9200137398000008</v>
      </c>
      <c r="J10" s="69">
        <f>SUMIF(recipes!K:K,A10,recipes!S:S)</f>
        <v>0</v>
      </c>
      <c r="K10" s="69">
        <f>SUMIF(recipes!K:K,A10,recipes!T:T)</f>
        <v>0</v>
      </c>
      <c r="L10" s="80">
        <f>COUNTIF(recipes!K:K,A10)</f>
        <v>4</v>
      </c>
      <c r="N10" s="71" t="s">
        <v>37</v>
      </c>
    </row>
    <row r="11" spans="1:18" x14ac:dyDescent="0.2">
      <c r="A11" s="89" t="s">
        <v>71</v>
      </c>
      <c r="B11" s="70" t="s">
        <v>163</v>
      </c>
      <c r="C11" s="62" t="s">
        <v>43</v>
      </c>
      <c r="D11" s="61">
        <v>2</v>
      </c>
      <c r="E11" s="117">
        <v>0.253</v>
      </c>
      <c r="F11" s="117">
        <v>0.4</v>
      </c>
      <c r="G11" s="69">
        <f t="shared" si="0"/>
        <v>0.1265</v>
      </c>
      <c r="H11" s="69">
        <f t="shared" si="1"/>
        <v>0.2</v>
      </c>
      <c r="I11" s="69">
        <f>SUMIF(recipes!K:K,A11,recipes!R:R)</f>
        <v>2.7374972085518747</v>
      </c>
      <c r="J11" s="69">
        <f>SUMIF(recipes!K:K,A11,recipes!S:S)</f>
        <v>0</v>
      </c>
      <c r="K11" s="69">
        <f>SUMIF(recipes!K:K,A11,recipes!T:T)</f>
        <v>0</v>
      </c>
      <c r="L11" s="80">
        <f>COUNTIF(recipes!K:K,A11)</f>
        <v>3</v>
      </c>
    </row>
    <row r="12" spans="1:18" x14ac:dyDescent="0.2">
      <c r="A12" s="89" t="s">
        <v>268</v>
      </c>
      <c r="B12" s="70" t="s">
        <v>163</v>
      </c>
      <c r="C12" s="62" t="s">
        <v>43</v>
      </c>
      <c r="D12" s="61">
        <v>1</v>
      </c>
      <c r="E12" s="117">
        <v>0.157</v>
      </c>
      <c r="F12" s="117">
        <v>0.29573529999999998</v>
      </c>
      <c r="G12" s="69">
        <f t="shared" si="0"/>
        <v>0.157</v>
      </c>
      <c r="H12" s="69">
        <f t="shared" si="1"/>
        <v>0.29573529999999998</v>
      </c>
      <c r="I12" s="69">
        <f>SUMIF(recipes!K:K,A12,recipes!R:R)</f>
        <v>0.6531199903379814</v>
      </c>
      <c r="J12" s="69">
        <f>SUMIF(recipes!K:K,A12,recipes!S:S)</f>
        <v>0</v>
      </c>
      <c r="K12" s="69">
        <f>SUMIF(recipes!K:K,A12,recipes!T:T)</f>
        <v>0</v>
      </c>
      <c r="L12" s="80">
        <f>COUNTIF(recipes!K:K,A12)</f>
        <v>1</v>
      </c>
    </row>
    <row r="13" spans="1:18" x14ac:dyDescent="0.2">
      <c r="A13" s="89" t="s">
        <v>425</v>
      </c>
      <c r="B13" s="70" t="s">
        <v>163</v>
      </c>
      <c r="C13" s="62" t="s">
        <v>43</v>
      </c>
      <c r="D13" s="61">
        <v>2</v>
      </c>
      <c r="E13" s="117">
        <v>0.28999999999999998</v>
      </c>
      <c r="F13" s="117">
        <v>0.55000000000000004</v>
      </c>
      <c r="G13" s="69">
        <f t="shared" si="0"/>
        <v>0.14499999999999999</v>
      </c>
      <c r="H13" s="69">
        <f t="shared" si="1"/>
        <v>0.27500000000000002</v>
      </c>
      <c r="I13" s="69">
        <f>SUMIF(recipes!K:K,A13,recipes!R:R)</f>
        <v>0.92272727272727262</v>
      </c>
      <c r="J13" s="69">
        <f>SUMIF(recipes!K:K,A13,recipes!S:S)</f>
        <v>0</v>
      </c>
      <c r="K13" s="69">
        <f>SUMIF(recipes!K:K,A13,recipes!T:T)</f>
        <v>0</v>
      </c>
      <c r="L13" s="80">
        <f>COUNTIF(recipes!K:K,A13)</f>
        <v>1</v>
      </c>
    </row>
    <row r="14" spans="1:18" x14ac:dyDescent="0.2">
      <c r="A14" s="89" t="s">
        <v>148</v>
      </c>
      <c r="B14" s="70"/>
      <c r="C14" s="62" t="s">
        <v>148</v>
      </c>
      <c r="D14" s="61"/>
      <c r="E14" s="117"/>
      <c r="F14" s="117"/>
      <c r="G14" s="69">
        <f t="shared" si="0"/>
        <v>0</v>
      </c>
      <c r="H14" s="69">
        <f t="shared" si="1"/>
        <v>0</v>
      </c>
      <c r="I14" s="69">
        <f>SUMIF(recipes!K:K,A14,recipes!R:R)</f>
        <v>0</v>
      </c>
      <c r="J14" s="69">
        <f>SUMIF(recipes!K:K,A14,recipes!S:S)</f>
        <v>0.47317647299999999</v>
      </c>
      <c r="K14" s="69">
        <f>SUMIF(recipes!K:K,A14,recipes!T:T)</f>
        <v>0</v>
      </c>
      <c r="L14" s="80">
        <f>COUNTIF(recipes!K:K,A14)</f>
        <v>1</v>
      </c>
    </row>
    <row r="15" spans="1:18" x14ac:dyDescent="0.2">
      <c r="A15" s="89" t="s">
        <v>132</v>
      </c>
      <c r="B15" s="70" t="s">
        <v>163</v>
      </c>
      <c r="C15" s="62" t="s">
        <v>129</v>
      </c>
      <c r="D15" s="61">
        <v>1</v>
      </c>
      <c r="E15" s="117">
        <v>0.68899999999999995</v>
      </c>
      <c r="F15" s="117">
        <v>2.2000000000000002</v>
      </c>
      <c r="G15" s="69">
        <f t="shared" si="0"/>
        <v>0.68899999999999995</v>
      </c>
      <c r="H15" s="69">
        <f t="shared" si="1"/>
        <v>2.2000000000000002</v>
      </c>
      <c r="I15" s="69">
        <f>SUMIF(recipes!K:K,A15,recipes!R:R)</f>
        <v>1.9919561117972155</v>
      </c>
      <c r="J15" s="69">
        <f>SUMIF(recipes!K:K,A15,recipes!S:S)</f>
        <v>0</v>
      </c>
      <c r="K15" s="69">
        <f>SUMIF(recipes!K:K,A15,recipes!T:T)</f>
        <v>0</v>
      </c>
      <c r="L15" s="80">
        <f>COUNTIF(recipes!K:K,A15)</f>
        <v>3</v>
      </c>
    </row>
    <row r="16" spans="1:18" x14ac:dyDescent="0.2">
      <c r="A16" s="89" t="s">
        <v>122</v>
      </c>
      <c r="B16" s="70" t="s">
        <v>163</v>
      </c>
      <c r="C16" s="62" t="s">
        <v>423</v>
      </c>
      <c r="D16" s="61">
        <v>2</v>
      </c>
      <c r="E16" s="117">
        <v>0.20899999999999999</v>
      </c>
      <c r="F16" s="117">
        <v>0.4</v>
      </c>
      <c r="G16" s="69">
        <f t="shared" si="0"/>
        <v>0.1045</v>
      </c>
      <c r="H16" s="69">
        <f t="shared" si="1"/>
        <v>0.2</v>
      </c>
      <c r="I16" s="69">
        <f>SUMIF(recipes!K:K,A16,recipes!R:R)</f>
        <v>1.4834082428549999</v>
      </c>
      <c r="J16" s="69">
        <f>SUMIF(recipes!K:K,A16,recipes!S:S)</f>
        <v>0</v>
      </c>
      <c r="K16" s="69">
        <f>SUMIF(recipes!K:K,A16,recipes!T:T)</f>
        <v>0</v>
      </c>
      <c r="L16" s="80">
        <f>COUNTIF(recipes!K:K,A16)</f>
        <v>2</v>
      </c>
    </row>
    <row r="17" spans="1:12" x14ac:dyDescent="0.2">
      <c r="A17" s="89" t="s">
        <v>72</v>
      </c>
      <c r="B17" s="70" t="s">
        <v>163</v>
      </c>
      <c r="C17" s="62" t="s">
        <v>423</v>
      </c>
      <c r="D17" s="61">
        <v>3</v>
      </c>
      <c r="E17" s="117">
        <v>0.16400000000000001</v>
      </c>
      <c r="F17" s="117">
        <v>0.33</v>
      </c>
      <c r="G17" s="69">
        <f t="shared" si="0"/>
        <v>5.4666666666666669E-2</v>
      </c>
      <c r="H17" s="69">
        <f t="shared" si="1"/>
        <v>0.11</v>
      </c>
      <c r="I17" s="69">
        <f>SUMIF(recipes!K:K,A17,recipes!R:R)</f>
        <v>0.55849162495000004</v>
      </c>
      <c r="J17" s="69">
        <f>SUMIF(recipes!K:K,A17,recipes!S:S)</f>
        <v>0</v>
      </c>
      <c r="K17" s="69">
        <f>SUMIF(recipes!K:K,A17,recipes!T:T)</f>
        <v>0</v>
      </c>
      <c r="L17" s="80">
        <f>COUNTIF(recipes!K:K,A17)</f>
        <v>3</v>
      </c>
    </row>
    <row r="18" spans="1:12" x14ac:dyDescent="0.2">
      <c r="A18" s="89" t="s">
        <v>142</v>
      </c>
      <c r="B18" s="70" t="s">
        <v>163</v>
      </c>
      <c r="C18" s="62" t="s">
        <v>423</v>
      </c>
      <c r="D18" s="61">
        <v>2</v>
      </c>
      <c r="E18" s="117">
        <v>0.2</v>
      </c>
      <c r="F18" s="117">
        <v>0.4</v>
      </c>
      <c r="G18" s="69">
        <f t="shared" si="0"/>
        <v>0.1</v>
      </c>
      <c r="H18" s="69">
        <f t="shared" si="1"/>
        <v>0.2</v>
      </c>
      <c r="I18" s="69">
        <f>SUMIF(recipes!K:K,A18,recipes!R:R)</f>
        <v>2.1766117757999996</v>
      </c>
      <c r="J18" s="69">
        <f>SUMIF(recipes!K:K,A18,recipes!S:S)</f>
        <v>0</v>
      </c>
      <c r="K18" s="69">
        <f>SUMIF(recipes!K:K,A18,recipes!T:T)</f>
        <v>0</v>
      </c>
      <c r="L18" s="80">
        <f>COUNTIF(recipes!K:K,A18)</f>
        <v>3</v>
      </c>
    </row>
    <row r="19" spans="1:12" x14ac:dyDescent="0.2">
      <c r="A19" s="89" t="s">
        <v>159</v>
      </c>
      <c r="B19" s="70"/>
      <c r="C19" s="62" t="s">
        <v>159</v>
      </c>
      <c r="D19" s="61"/>
      <c r="E19" s="117"/>
      <c r="F19" s="117"/>
      <c r="G19" s="69">
        <f t="shared" si="0"/>
        <v>0</v>
      </c>
      <c r="H19" s="69">
        <f t="shared" si="1"/>
        <v>0</v>
      </c>
      <c r="I19" s="69">
        <f>SUMIF(recipes!K:K,A19,recipes!R:R)</f>
        <v>1.98</v>
      </c>
      <c r="J19" s="69">
        <f>SUMIF(recipes!K:K,A19,recipes!S:S)</f>
        <v>0</v>
      </c>
      <c r="K19" s="69">
        <f>SUMIF(recipes!K:K,A19,recipes!T:T)</f>
        <v>0</v>
      </c>
      <c r="L19" s="80">
        <f>COUNTIF(recipes!K:K,A19)</f>
        <v>1</v>
      </c>
    </row>
    <row r="20" spans="1:12" x14ac:dyDescent="0.2">
      <c r="A20" s="89" t="s">
        <v>87</v>
      </c>
      <c r="B20" s="70"/>
      <c r="C20" s="62" t="s">
        <v>87</v>
      </c>
      <c r="D20" s="61"/>
      <c r="E20" s="117"/>
      <c r="F20" s="117"/>
      <c r="G20" s="69">
        <f t="shared" si="0"/>
        <v>0</v>
      </c>
      <c r="H20" s="69">
        <f t="shared" si="1"/>
        <v>0</v>
      </c>
      <c r="I20" s="69">
        <f>SUMIF(recipes!K:K,A20,recipes!R:R)</f>
        <v>0</v>
      </c>
      <c r="J20" s="69">
        <f>SUMIF(recipes!K:K,A20,recipes!S:S)</f>
        <v>5.9147059124999998E-2</v>
      </c>
      <c r="K20" s="69">
        <f>SUMIF(recipes!K:K,A20,recipes!T:T)</f>
        <v>0</v>
      </c>
      <c r="L20" s="80">
        <f>COUNTIF(recipes!K:K,A20)</f>
        <v>1</v>
      </c>
    </row>
    <row r="21" spans="1:12" x14ac:dyDescent="0.2">
      <c r="A21" s="89" t="s">
        <v>76</v>
      </c>
      <c r="B21" s="70"/>
      <c r="C21" s="62" t="s">
        <v>76</v>
      </c>
      <c r="D21" s="61">
        <v>1</v>
      </c>
      <c r="E21" s="117">
        <v>1.0999999999999999E-2</v>
      </c>
      <c r="F21" s="117">
        <v>2.2180100000000001E-2</v>
      </c>
      <c r="G21" s="69">
        <f t="shared" si="0"/>
        <v>1.0999999999999999E-2</v>
      </c>
      <c r="H21" s="69">
        <f t="shared" si="1"/>
        <v>2.2180100000000001E-2</v>
      </c>
      <c r="I21" s="69">
        <f>SUMIF(recipes!K:K,A21,recipes!R:R)</f>
        <v>1.0388910983621014E-2</v>
      </c>
      <c r="J21" s="69">
        <f>SUMIF(recipes!K:K,A21,recipes!S:S)</f>
        <v>0</v>
      </c>
      <c r="K21" s="69">
        <f>SUMIF(recipes!K:K,A21,recipes!T:T)</f>
        <v>0</v>
      </c>
      <c r="L21" s="80">
        <f>COUNTIF(recipes!K:K,A21)</f>
        <v>3</v>
      </c>
    </row>
    <row r="22" spans="1:12" x14ac:dyDescent="0.2">
      <c r="A22" s="89" t="s">
        <v>267</v>
      </c>
      <c r="B22" s="70" t="s">
        <v>163</v>
      </c>
      <c r="C22" s="62" t="s">
        <v>128</v>
      </c>
      <c r="D22" s="60"/>
      <c r="E22" s="120"/>
      <c r="F22" s="120"/>
      <c r="G22" s="69">
        <f t="shared" si="0"/>
        <v>0</v>
      </c>
      <c r="H22" s="69">
        <f t="shared" si="1"/>
        <v>0</v>
      </c>
      <c r="I22" s="69">
        <f>SUMIF(recipes!K:K,A22,recipes!R:R)</f>
        <v>0</v>
      </c>
      <c r="J22" s="69">
        <f>SUMIF(recipes!K:K,A22,recipes!S:S)</f>
        <v>0</v>
      </c>
      <c r="K22" s="69">
        <f>SUMIF(recipes!K:K,A22,recipes!T:T)</f>
        <v>3.9000000000000004</v>
      </c>
      <c r="L22" s="80">
        <f>COUNTIF(recipes!K:K,A22)</f>
        <v>1</v>
      </c>
    </row>
    <row r="23" spans="1:12" x14ac:dyDescent="0.2">
      <c r="A23" s="89" t="s">
        <v>35</v>
      </c>
      <c r="B23" s="70"/>
      <c r="C23" s="62" t="s">
        <v>35</v>
      </c>
      <c r="D23" s="61">
        <v>1</v>
      </c>
      <c r="E23" s="117">
        <v>1.0999999999999999E-2</v>
      </c>
      <c r="F23" s="117">
        <v>2.2180100000000001E-2</v>
      </c>
      <c r="G23" s="69">
        <f t="shared" si="0"/>
        <v>1.0999999999999999E-2</v>
      </c>
      <c r="H23" s="69">
        <f t="shared" si="1"/>
        <v>2.2180100000000001E-2</v>
      </c>
      <c r="I23" s="69">
        <f>SUMIF(recipes!K:K,A23,recipes!R:R)</f>
        <v>3.1166732950863047E-2</v>
      </c>
      <c r="J23" s="69">
        <f>SUMIF(recipes!K:K,A23,recipes!S:S)</f>
        <v>0</v>
      </c>
      <c r="K23" s="69">
        <f>SUMIF(recipes!K:K,A23,recipes!T:T)</f>
        <v>0</v>
      </c>
      <c r="L23" s="80">
        <f>COUNTIF(recipes!K:K,A23)</f>
        <v>1</v>
      </c>
    </row>
    <row r="24" spans="1:12" x14ac:dyDescent="0.2">
      <c r="A24" s="89" t="s">
        <v>9</v>
      </c>
      <c r="B24" s="70"/>
      <c r="C24" s="62" t="s">
        <v>9</v>
      </c>
      <c r="D24" s="61">
        <v>1</v>
      </c>
      <c r="E24" s="117">
        <v>1.2E-2</v>
      </c>
      <c r="F24" s="117">
        <v>2.2180100000000001E-2</v>
      </c>
      <c r="G24" s="69">
        <f t="shared" si="0"/>
        <v>1.2E-2</v>
      </c>
      <c r="H24" s="69">
        <f t="shared" si="1"/>
        <v>2.2180100000000001E-2</v>
      </c>
      <c r="I24" s="69">
        <f>SUMIF(recipes!K:K,A24,recipes!R:R)</f>
        <v>5.0000106338282967E-2</v>
      </c>
      <c r="J24" s="69">
        <f>SUMIF(recipes!K:K,A24,recipes!S:S)</f>
        <v>0</v>
      </c>
      <c r="K24" s="69">
        <f>SUMIF(recipes!K:K,A24,recipes!T:T)</f>
        <v>0</v>
      </c>
      <c r="L24" s="80">
        <f>COUNTIF(recipes!K:K,A24)</f>
        <v>2</v>
      </c>
    </row>
    <row r="25" spans="1:12" x14ac:dyDescent="0.2">
      <c r="A25" s="89" t="s">
        <v>50</v>
      </c>
      <c r="B25" s="70"/>
      <c r="C25" s="62" t="s">
        <v>50</v>
      </c>
      <c r="D25" s="61"/>
      <c r="E25" s="117"/>
      <c r="F25" s="117"/>
      <c r="G25" s="69">
        <f t="shared" si="0"/>
        <v>0</v>
      </c>
      <c r="H25" s="69">
        <f t="shared" si="1"/>
        <v>0</v>
      </c>
      <c r="I25" s="69">
        <f>SUMIF(recipes!K:K,A25,recipes!R:R)</f>
        <v>0</v>
      </c>
      <c r="J25" s="69">
        <f>SUMIF(recipes!K:K,A25,recipes!S:S)</f>
        <v>8.7488358289062484E-2</v>
      </c>
      <c r="K25" s="69">
        <f>SUMIF(recipes!K:K,A25,recipes!T:T)</f>
        <v>0</v>
      </c>
      <c r="L25" s="80">
        <f>COUNTIF(recipes!K:K,A25)</f>
        <v>2</v>
      </c>
    </row>
    <row r="26" spans="1:12" x14ac:dyDescent="0.2">
      <c r="A26" s="89" t="s">
        <v>75</v>
      </c>
      <c r="B26" s="70"/>
      <c r="C26" s="62" t="s">
        <v>75</v>
      </c>
      <c r="D26" s="61">
        <v>1</v>
      </c>
      <c r="E26" s="117">
        <v>3.0000000000000001E-3</v>
      </c>
      <c r="F26" s="117">
        <v>2.2180100000000001E-2</v>
      </c>
      <c r="G26" s="69">
        <f t="shared" si="0"/>
        <v>3.0000000000000001E-3</v>
      </c>
      <c r="H26" s="69">
        <f t="shared" si="1"/>
        <v>2.2180100000000001E-2</v>
      </c>
      <c r="I26" s="69">
        <f>SUMIF(recipes!K:K,A26,recipes!R:R)</f>
        <v>1.5000031901484889E-3</v>
      </c>
      <c r="J26" s="69">
        <f>SUMIF(recipes!K:K,A26,recipes!S:S)</f>
        <v>0</v>
      </c>
      <c r="K26" s="69">
        <f>SUMIF(recipes!K:K,A26,recipes!T:T)</f>
        <v>0</v>
      </c>
      <c r="L26" s="80">
        <f>COUNTIF(recipes!K:K,A26)</f>
        <v>1</v>
      </c>
    </row>
    <row r="27" spans="1:12" x14ac:dyDescent="0.2">
      <c r="A27" s="89" t="s">
        <v>244</v>
      </c>
      <c r="B27" s="70"/>
      <c r="C27" s="62" t="s">
        <v>244</v>
      </c>
      <c r="D27" s="61">
        <v>1</v>
      </c>
      <c r="E27" s="117">
        <v>1.02</v>
      </c>
      <c r="F27" s="117">
        <v>1.2</v>
      </c>
      <c r="G27" s="69">
        <f t="shared" si="0"/>
        <v>1.02</v>
      </c>
      <c r="H27" s="69">
        <f t="shared" si="1"/>
        <v>1.2</v>
      </c>
      <c r="I27" s="69">
        <f>SUMIF(recipes!K:K,A27,recipes!R:R)</f>
        <v>0.40220000205000001</v>
      </c>
      <c r="J27" s="69">
        <f>SUMIF(recipes!K:K,A27,recipes!S:S)</f>
        <v>0</v>
      </c>
      <c r="K27" s="69">
        <f>SUMIF(recipes!K:K,A27,recipes!T:T)</f>
        <v>0</v>
      </c>
      <c r="L27" s="80">
        <f>COUNTIF(recipes!K:K,A27)</f>
        <v>1</v>
      </c>
    </row>
    <row r="28" spans="1:12" x14ac:dyDescent="0.2">
      <c r="A28" s="89" t="s">
        <v>68</v>
      </c>
      <c r="B28" s="70" t="s">
        <v>164</v>
      </c>
      <c r="C28" s="62" t="s">
        <v>69</v>
      </c>
      <c r="D28" s="61">
        <v>1</v>
      </c>
      <c r="E28" s="117">
        <v>0.76300000000000001</v>
      </c>
      <c r="F28" s="117">
        <v>0.946353</v>
      </c>
      <c r="G28" s="69">
        <f t="shared" si="0"/>
        <v>0.76300000000000001</v>
      </c>
      <c r="H28" s="69">
        <f t="shared" si="1"/>
        <v>0.946353</v>
      </c>
      <c r="I28" s="69">
        <f>SUMIF(recipes!K:K,A28,recipes!R:R)</f>
        <v>0.38149997823116744</v>
      </c>
      <c r="J28" s="69">
        <f>SUMIF(recipes!K:K,A28,recipes!S:S)</f>
        <v>0</v>
      </c>
      <c r="K28" s="69">
        <f>SUMIF(recipes!K:K,A28,recipes!T:T)</f>
        <v>0</v>
      </c>
      <c r="L28" s="80">
        <f>COUNTIF(recipes!K:K,A28)</f>
        <v>1</v>
      </c>
    </row>
    <row r="29" spans="1:12" x14ac:dyDescent="0.2">
      <c r="A29" s="89" t="s">
        <v>31</v>
      </c>
      <c r="B29" s="70" t="s">
        <v>164</v>
      </c>
      <c r="C29" s="62" t="s">
        <v>70</v>
      </c>
      <c r="D29" s="61">
        <v>1</v>
      </c>
      <c r="E29" s="117">
        <v>0.80800000000000005</v>
      </c>
      <c r="F29" s="117">
        <v>0.946353</v>
      </c>
      <c r="G29" s="69">
        <f t="shared" si="0"/>
        <v>0.80800000000000005</v>
      </c>
      <c r="H29" s="69">
        <f t="shared" si="1"/>
        <v>0.946353</v>
      </c>
      <c r="I29" s="69">
        <f>SUMIF(recipes!K:K,A29,recipes!R:R)</f>
        <v>0.85849995101299414</v>
      </c>
      <c r="J29" s="69">
        <f>SUMIF(recipes!K:K,A29,recipes!S:S)</f>
        <v>0</v>
      </c>
      <c r="K29" s="69">
        <f>SUMIF(recipes!K:K,A29,recipes!T:T)</f>
        <v>0</v>
      </c>
      <c r="L29" s="80">
        <f>COUNTIF(recipes!K:K,A29)</f>
        <v>1</v>
      </c>
    </row>
    <row r="30" spans="1:12" x14ac:dyDescent="0.2">
      <c r="A30" s="89" t="s">
        <v>246</v>
      </c>
      <c r="B30" s="70"/>
      <c r="C30" s="62" t="s">
        <v>246</v>
      </c>
      <c r="D30" s="61">
        <v>1</v>
      </c>
      <c r="E30" s="117">
        <v>3.0000000000000001E-3</v>
      </c>
      <c r="F30" s="117">
        <v>2.2180100000000001E-2</v>
      </c>
      <c r="G30" s="69">
        <f t="shared" si="0"/>
        <v>3.0000000000000001E-3</v>
      </c>
      <c r="H30" s="69">
        <f t="shared" si="1"/>
        <v>2.2180100000000001E-2</v>
      </c>
      <c r="I30" s="69">
        <f>SUMIF(recipes!K:K,A30,recipes!R:R)</f>
        <v>2.0000042535313184E-3</v>
      </c>
      <c r="J30" s="69">
        <f>SUMIF(recipes!K:K,A30,recipes!S:S)</f>
        <v>0</v>
      </c>
      <c r="K30" s="69">
        <f>SUMIF(recipes!K:K,A30,recipes!T:T)</f>
        <v>0</v>
      </c>
      <c r="L30" s="80">
        <f>COUNTIF(recipes!K:K,A30)</f>
        <v>1</v>
      </c>
    </row>
    <row r="31" spans="1:12" x14ac:dyDescent="0.2">
      <c r="A31" s="89" t="s">
        <v>7</v>
      </c>
      <c r="B31" s="70" t="s">
        <v>164</v>
      </c>
      <c r="C31" s="62" t="s">
        <v>160</v>
      </c>
      <c r="D31" s="61">
        <v>1</v>
      </c>
      <c r="E31" s="117">
        <v>0.84699999999999998</v>
      </c>
      <c r="F31" s="117">
        <v>0.946353</v>
      </c>
      <c r="G31" s="69">
        <f t="shared" si="0"/>
        <v>0.84699999999999998</v>
      </c>
      <c r="H31" s="69">
        <f t="shared" si="1"/>
        <v>0.946353</v>
      </c>
      <c r="I31" s="69">
        <f>SUMIF(recipes!K:K,A31,recipes!R:R)</f>
        <v>1.1646249335451464</v>
      </c>
      <c r="J31" s="69">
        <f>SUMIF(recipes!K:K,A31,recipes!S:S)</f>
        <v>0</v>
      </c>
      <c r="K31" s="69">
        <f>SUMIF(recipes!K:K,A31,recipes!T:T)</f>
        <v>0</v>
      </c>
      <c r="L31" s="80">
        <f>COUNTIF(recipes!K:K,A31)</f>
        <v>2</v>
      </c>
    </row>
    <row r="32" spans="1:12" x14ac:dyDescent="0.2">
      <c r="A32" s="89" t="s">
        <v>57</v>
      </c>
      <c r="B32" s="70" t="s">
        <v>163</v>
      </c>
      <c r="C32" s="62" t="s">
        <v>58</v>
      </c>
      <c r="D32" s="61"/>
      <c r="E32" s="117"/>
      <c r="F32" s="117"/>
      <c r="G32" s="69">
        <f t="shared" si="0"/>
        <v>0</v>
      </c>
      <c r="H32" s="69">
        <f t="shared" si="1"/>
        <v>0</v>
      </c>
      <c r="I32" s="69">
        <f>SUMIF(recipes!K:K,A32,recipes!R:R)</f>
        <v>0</v>
      </c>
      <c r="J32" s="69">
        <f>SUMIF(recipes!K:K,A32,recipes!S:S)</f>
        <v>0</v>
      </c>
      <c r="K32" s="69">
        <f>SUMIF(recipes!K:K,A32,recipes!T:T)</f>
        <v>0</v>
      </c>
      <c r="L32" s="80">
        <f>COUNTIF(recipes!K:K,A32)</f>
        <v>1</v>
      </c>
    </row>
    <row r="33" spans="1:12" x14ac:dyDescent="0.2">
      <c r="A33" s="89" t="s">
        <v>524</v>
      </c>
      <c r="B33" s="70" t="s">
        <v>163</v>
      </c>
      <c r="C33" s="62" t="s">
        <v>527</v>
      </c>
      <c r="D33" s="61"/>
      <c r="E33" s="117"/>
      <c r="F33" s="117"/>
      <c r="G33" s="69">
        <f t="shared" si="0"/>
        <v>0</v>
      </c>
      <c r="H33" s="69">
        <f t="shared" si="1"/>
        <v>0</v>
      </c>
      <c r="I33" s="69">
        <f>SUMIF(recipes!K:K,A33,recipes!R:R)</f>
        <v>0</v>
      </c>
      <c r="J33" s="69">
        <f>SUMIF(recipes!K:K,A33,recipes!S:S)</f>
        <v>9.6113971078124999E-2</v>
      </c>
      <c r="K33" s="69">
        <f>SUMIF(recipes!K:K,A33,recipes!T:T)</f>
        <v>0</v>
      </c>
      <c r="L33" s="80">
        <f>COUNTIF(recipes!K:K,A33)</f>
        <v>1</v>
      </c>
    </row>
    <row r="34" spans="1:12" x14ac:dyDescent="0.2">
      <c r="A34" s="89" t="s">
        <v>526</v>
      </c>
      <c r="B34" s="70"/>
      <c r="C34" s="62" t="s">
        <v>527</v>
      </c>
      <c r="D34" s="61"/>
      <c r="E34" s="117"/>
      <c r="F34" s="117"/>
      <c r="G34" s="69">
        <f t="shared" ref="G34:G65" si="2">IF(D34&lt;&gt;0, E34/D34, 0)</f>
        <v>0</v>
      </c>
      <c r="H34" s="69">
        <f t="shared" ref="H34:H65" si="3">IF(D34&lt;&gt;0, F34/D34, 0)</f>
        <v>0</v>
      </c>
      <c r="I34" s="69">
        <f>SUMIF(recipes!K:K,A34,recipes!R:R)</f>
        <v>0</v>
      </c>
      <c r="J34" s="69">
        <f>SUMIF(recipes!K:K,A34,recipes!S:S)</f>
        <v>0</v>
      </c>
      <c r="K34" s="69">
        <f>SUMIF(recipes!K:K,A34,recipes!T:T)</f>
        <v>0</v>
      </c>
      <c r="L34" s="80">
        <f>COUNTIF(recipes!K:K,A34)</f>
        <v>2</v>
      </c>
    </row>
    <row r="35" spans="1:12" x14ac:dyDescent="0.2">
      <c r="A35" s="89" t="s">
        <v>270</v>
      </c>
      <c r="B35" s="70"/>
      <c r="C35" s="62" t="s">
        <v>270</v>
      </c>
      <c r="D35" s="61"/>
      <c r="E35" s="117"/>
      <c r="F35" s="117"/>
      <c r="G35" s="69">
        <f t="shared" si="2"/>
        <v>0</v>
      </c>
      <c r="H35" s="69">
        <f t="shared" si="3"/>
        <v>0</v>
      </c>
      <c r="I35" s="69">
        <f>SUMIF(recipes!K:K,A35,recipes!R:R)</f>
        <v>0</v>
      </c>
      <c r="J35" s="69">
        <f>SUMIF(recipes!K:K,A35,recipes!S:S)</f>
        <v>0</v>
      </c>
      <c r="K35" s="69">
        <f>SUMIF(recipes!K:K,A35,recipes!T:T)</f>
        <v>0</v>
      </c>
      <c r="L35" s="80">
        <f>COUNTIF(recipes!K:K,A35)</f>
        <v>1</v>
      </c>
    </row>
    <row r="36" spans="1:12" x14ac:dyDescent="0.2">
      <c r="A36" s="89" t="s">
        <v>60</v>
      </c>
      <c r="B36" s="70"/>
      <c r="C36" s="62" t="s">
        <v>63</v>
      </c>
      <c r="D36" s="61"/>
      <c r="E36" s="117"/>
      <c r="F36" s="117"/>
      <c r="G36" s="69">
        <f t="shared" si="2"/>
        <v>0</v>
      </c>
      <c r="H36" s="69">
        <f t="shared" si="3"/>
        <v>0</v>
      </c>
      <c r="I36" s="69">
        <f>SUMIF(recipes!K:K,A36,recipes!R:R)</f>
        <v>0</v>
      </c>
      <c r="J36" s="69">
        <f>SUMIF(recipes!K:K,A36,recipes!S:S)</f>
        <v>0</v>
      </c>
      <c r="K36" s="69">
        <f>SUMIF(recipes!K:K,A36,recipes!T:T)</f>
        <v>2.75</v>
      </c>
      <c r="L36" s="80">
        <f>COUNTIF(recipes!K:K,A36)</f>
        <v>1</v>
      </c>
    </row>
    <row r="37" spans="1:12" x14ac:dyDescent="0.2">
      <c r="A37" s="89" t="s">
        <v>269</v>
      </c>
      <c r="B37" s="70"/>
      <c r="C37" s="62" t="s">
        <v>269</v>
      </c>
      <c r="D37" s="61"/>
      <c r="E37" s="117"/>
      <c r="F37" s="117"/>
      <c r="G37" s="69">
        <f t="shared" si="2"/>
        <v>0</v>
      </c>
      <c r="H37" s="69">
        <f t="shared" si="3"/>
        <v>0</v>
      </c>
      <c r="I37" s="69">
        <f>SUMIF(recipes!K:K,A37,recipes!R:R)</f>
        <v>0</v>
      </c>
      <c r="J37" s="69">
        <f>SUMIF(recipes!K:K,A37,recipes!S:S)</f>
        <v>0</v>
      </c>
      <c r="K37" s="69">
        <f>SUMIF(recipes!K:K,A37,recipes!T:T)</f>
        <v>0</v>
      </c>
      <c r="L37" s="80">
        <f>COUNTIF(recipes!K:K,A37)</f>
        <v>1</v>
      </c>
    </row>
    <row r="38" spans="1:12" x14ac:dyDescent="0.2">
      <c r="A38" s="89" t="s">
        <v>61</v>
      </c>
      <c r="B38" s="70"/>
      <c r="C38" s="62" t="s">
        <v>64</v>
      </c>
      <c r="D38" s="61"/>
      <c r="E38" s="117"/>
      <c r="F38" s="117"/>
      <c r="G38" s="69">
        <f t="shared" si="2"/>
        <v>0</v>
      </c>
      <c r="H38" s="69">
        <f t="shared" si="3"/>
        <v>0</v>
      </c>
      <c r="I38" s="69">
        <f>SUMIF(recipes!K:K,A38,recipes!R:R)</f>
        <v>0</v>
      </c>
      <c r="J38" s="69">
        <f>SUMIF(recipes!K:K,A38,recipes!S:S)</f>
        <v>0</v>
      </c>
      <c r="K38" s="69">
        <f>SUMIF(recipes!K:K,A38,recipes!T:T)</f>
        <v>2.75</v>
      </c>
      <c r="L38" s="80">
        <f>COUNTIF(recipes!K:K,A38)</f>
        <v>1</v>
      </c>
    </row>
    <row r="39" spans="1:12" x14ac:dyDescent="0.2">
      <c r="A39" s="89" t="s">
        <v>420</v>
      </c>
      <c r="B39" s="70"/>
      <c r="C39" s="62" t="s">
        <v>420</v>
      </c>
      <c r="D39" s="61"/>
      <c r="E39" s="117"/>
      <c r="F39" s="117"/>
      <c r="G39" s="69">
        <f t="shared" si="2"/>
        <v>0</v>
      </c>
      <c r="H39" s="69">
        <f t="shared" si="3"/>
        <v>0</v>
      </c>
      <c r="I39" s="69">
        <f>SUMIF(recipes!K:K,A39,recipes!R:R)</f>
        <v>0.75</v>
      </c>
      <c r="J39" s="69">
        <f>SUMIF(recipes!K:K,A39,recipes!S:S)</f>
        <v>0</v>
      </c>
      <c r="K39" s="69">
        <f>SUMIF(recipes!K:K,A39,recipes!T:T)</f>
        <v>0</v>
      </c>
      <c r="L39" s="80">
        <f>COUNTIF(recipes!K:K,A39)</f>
        <v>1</v>
      </c>
    </row>
    <row r="40" spans="1:12" x14ac:dyDescent="0.2">
      <c r="A40" s="89" t="s">
        <v>10</v>
      </c>
      <c r="B40" s="70"/>
      <c r="C40" s="62" t="s">
        <v>10</v>
      </c>
      <c r="D40" s="61">
        <v>1</v>
      </c>
      <c r="E40" s="117">
        <v>0.01</v>
      </c>
      <c r="F40" s="117">
        <v>2.2180100000000001E-2</v>
      </c>
      <c r="G40" s="69">
        <f t="shared" si="2"/>
        <v>0.01</v>
      </c>
      <c r="H40" s="69">
        <f t="shared" si="3"/>
        <v>2.2180100000000001E-2</v>
      </c>
      <c r="I40" s="69">
        <f>SUMIF(recipes!K:K,A40,recipes!R:R)</f>
        <v>2.8333393591693682E-2</v>
      </c>
      <c r="J40" s="69">
        <f>SUMIF(recipes!K:K,A40,recipes!S:S)</f>
        <v>0</v>
      </c>
      <c r="K40" s="69">
        <f>SUMIF(recipes!K:K,A40,recipes!T:T)</f>
        <v>0</v>
      </c>
      <c r="L40" s="80">
        <f>COUNTIF(recipes!K:K,A40)</f>
        <v>1</v>
      </c>
    </row>
    <row r="41" spans="1:12" x14ac:dyDescent="0.2">
      <c r="A41" s="89" t="s">
        <v>8</v>
      </c>
      <c r="B41" s="70"/>
      <c r="C41" s="62" t="s">
        <v>8</v>
      </c>
      <c r="D41" s="61"/>
      <c r="E41" s="117"/>
      <c r="F41" s="117"/>
      <c r="G41" s="69">
        <f t="shared" si="2"/>
        <v>0</v>
      </c>
      <c r="H41" s="69">
        <f t="shared" si="3"/>
        <v>0</v>
      </c>
      <c r="I41" s="69">
        <f>SUMIF(recipes!K:K,A41,recipes!R:R)</f>
        <v>0</v>
      </c>
      <c r="J41" s="69">
        <f>SUMIF(recipes!K:K,A41,recipes!S:S)</f>
        <v>0</v>
      </c>
      <c r="K41" s="69">
        <f>SUMIF(recipes!K:K,A41,recipes!T:T)</f>
        <v>27.5</v>
      </c>
      <c r="L41" s="80">
        <f>COUNTIF(recipes!K:K,A41)</f>
        <v>5</v>
      </c>
    </row>
    <row r="42" spans="1:12" x14ac:dyDescent="0.2">
      <c r="A42" s="89" t="s">
        <v>188</v>
      </c>
      <c r="B42" s="70" t="s">
        <v>163</v>
      </c>
      <c r="C42" s="62" t="s">
        <v>47</v>
      </c>
      <c r="D42" s="61">
        <v>1</v>
      </c>
      <c r="E42" s="117">
        <v>2.4E-2</v>
      </c>
      <c r="F42" s="117">
        <v>3.4501958300000003E-2</v>
      </c>
      <c r="G42" s="69">
        <f t="shared" si="2"/>
        <v>2.4E-2</v>
      </c>
      <c r="H42" s="69">
        <f t="shared" si="3"/>
        <v>3.4501958300000003E-2</v>
      </c>
      <c r="I42" s="69">
        <f>SUMIF(recipes!K:K,A42,recipes!R:R)</f>
        <v>0.36771953846783523</v>
      </c>
      <c r="J42" s="69">
        <f>SUMIF(recipes!K:K,A42,recipes!S:S)</f>
        <v>0</v>
      </c>
      <c r="K42" s="69">
        <f>SUMIF(recipes!K:K,A42,recipes!T:T)</f>
        <v>0</v>
      </c>
      <c r="L42" s="80">
        <f>COUNTIF(recipes!K:K,A42)</f>
        <v>8</v>
      </c>
    </row>
    <row r="43" spans="1:12" x14ac:dyDescent="0.2">
      <c r="A43" s="89" t="s">
        <v>156</v>
      </c>
      <c r="B43" s="70"/>
      <c r="C43" s="62" t="s">
        <v>156</v>
      </c>
      <c r="D43" s="61"/>
      <c r="E43" s="117"/>
      <c r="F43" s="117"/>
      <c r="G43" s="69">
        <f t="shared" si="2"/>
        <v>0</v>
      </c>
      <c r="H43" s="69">
        <f t="shared" si="3"/>
        <v>0</v>
      </c>
      <c r="I43" s="69">
        <f>SUMIF(recipes!K:K,A43,recipes!R:R)</f>
        <v>0</v>
      </c>
      <c r="J43" s="69">
        <f>SUMIF(recipes!K:K,A43,recipes!S:S)</f>
        <v>0.76891176862499999</v>
      </c>
      <c r="K43" s="69">
        <f>SUMIF(recipes!K:K,A43,recipes!T:T)</f>
        <v>0</v>
      </c>
      <c r="L43" s="80">
        <f>COUNTIF(recipes!K:K,A43)</f>
        <v>1</v>
      </c>
    </row>
    <row r="44" spans="1:12" x14ac:dyDescent="0.2">
      <c r="A44" s="89" t="s">
        <v>351</v>
      </c>
      <c r="B44" s="70"/>
      <c r="C44" s="62" t="s">
        <v>351</v>
      </c>
      <c r="D44" s="61"/>
      <c r="E44" s="117"/>
      <c r="F44" s="117"/>
      <c r="G44" s="69">
        <f t="shared" si="2"/>
        <v>0</v>
      </c>
      <c r="H44" s="69">
        <f t="shared" si="3"/>
        <v>0</v>
      </c>
      <c r="I44" s="69">
        <f>SUMIF(recipes!K:K,A44,recipes!R:R)</f>
        <v>0</v>
      </c>
      <c r="J44" s="69">
        <f>SUMIF(recipes!K:K,A44,recipes!S:S)</f>
        <v>0</v>
      </c>
      <c r="K44" s="69">
        <f>SUMIF(recipes!K:K,A44,recipes!T:T)</f>
        <v>0</v>
      </c>
      <c r="L44" s="80">
        <f>COUNTIF(recipes!K:K,A44)</f>
        <v>1</v>
      </c>
    </row>
    <row r="45" spans="1:12" x14ac:dyDescent="0.2">
      <c r="A45" s="89" t="s">
        <v>182</v>
      </c>
      <c r="B45" s="70" t="s">
        <v>163</v>
      </c>
      <c r="C45" s="62" t="s">
        <v>130</v>
      </c>
      <c r="D45" s="61">
        <v>1</v>
      </c>
      <c r="E45" s="117">
        <v>0.223</v>
      </c>
      <c r="F45" s="117">
        <v>0.29573529999999998</v>
      </c>
      <c r="G45" s="69">
        <f t="shared" si="2"/>
        <v>0.223</v>
      </c>
      <c r="H45" s="69">
        <f t="shared" si="3"/>
        <v>0.29573529999999998</v>
      </c>
      <c r="I45" s="69">
        <f>SUMIF(recipes!K:K,A45,recipes!R:R)</f>
        <v>0.49059999274224286</v>
      </c>
      <c r="J45" s="69">
        <f>SUMIF(recipes!K:K,A45,recipes!S:S)</f>
        <v>0</v>
      </c>
      <c r="K45" s="69">
        <f>SUMIF(recipes!K:K,A45,recipes!T:T)</f>
        <v>0</v>
      </c>
      <c r="L45" s="80">
        <f>COUNTIF(recipes!K:K,A45)</f>
        <v>1</v>
      </c>
    </row>
    <row r="46" spans="1:12" x14ac:dyDescent="0.2">
      <c r="A46" s="89" t="s">
        <v>54</v>
      </c>
      <c r="B46" s="70"/>
      <c r="C46" s="62" t="s">
        <v>54</v>
      </c>
      <c r="D46" s="61">
        <v>1</v>
      </c>
      <c r="E46" s="117">
        <v>1.0999999999999999E-2</v>
      </c>
      <c r="F46" s="117">
        <v>2.2180100000000001E-2</v>
      </c>
      <c r="G46" s="69">
        <f t="shared" si="2"/>
        <v>1.0999999999999999E-2</v>
      </c>
      <c r="H46" s="69">
        <f t="shared" si="3"/>
        <v>2.2180100000000001E-2</v>
      </c>
      <c r="I46" s="69">
        <f>SUMIF(recipes!K:K,A46,recipes!R:R)</f>
        <v>0</v>
      </c>
      <c r="J46" s="69">
        <f>SUMIF(recipes!K:K,A46,recipes!S:S)</f>
        <v>0</v>
      </c>
      <c r="K46" s="69">
        <f>SUMIF(recipes!K:K,A46,recipes!T:T)</f>
        <v>0</v>
      </c>
      <c r="L46" s="80">
        <f>COUNTIF(recipes!K:K,A46)</f>
        <v>4</v>
      </c>
    </row>
    <row r="47" spans="1:12" x14ac:dyDescent="0.2">
      <c r="A47" s="89" t="s">
        <v>525</v>
      </c>
      <c r="B47" s="70"/>
      <c r="C47" s="62" t="s">
        <v>525</v>
      </c>
      <c r="D47" s="61">
        <v>1</v>
      </c>
      <c r="E47" s="117">
        <v>1.0999999999999999E-2</v>
      </c>
      <c r="F47" s="117">
        <v>2.2180100000000001E-2</v>
      </c>
      <c r="G47" s="69">
        <f t="shared" si="2"/>
        <v>1.0999999999999999E-2</v>
      </c>
      <c r="H47" s="69">
        <f t="shared" si="3"/>
        <v>2.2180100000000001E-2</v>
      </c>
      <c r="I47" s="69">
        <f>SUMIF(recipes!K:K,A47,recipes!R:R)</f>
        <v>4.0944531523682826E-2</v>
      </c>
      <c r="J47" s="69">
        <f>SUMIF(recipes!K:K,A47,recipes!S:S)</f>
        <v>0</v>
      </c>
      <c r="K47" s="69">
        <f>SUMIF(recipes!K:K,A47,recipes!T:T)</f>
        <v>0</v>
      </c>
      <c r="L47" s="80">
        <f>COUNTIF(recipes!K:K,A47)</f>
        <v>2</v>
      </c>
    </row>
    <row r="48" spans="1:12" x14ac:dyDescent="0.2">
      <c r="A48" s="89" t="s">
        <v>14</v>
      </c>
      <c r="B48" s="70"/>
      <c r="C48" s="62" t="s">
        <v>14</v>
      </c>
      <c r="D48" s="61">
        <v>1</v>
      </c>
      <c r="E48" s="117">
        <v>1.0999999999999999E-2</v>
      </c>
      <c r="F48" s="117">
        <v>2.2180100000000001E-2</v>
      </c>
      <c r="G48" s="69">
        <f t="shared" si="2"/>
        <v>1.0999999999999999E-2</v>
      </c>
      <c r="H48" s="69">
        <f t="shared" si="3"/>
        <v>2.2180100000000001E-2</v>
      </c>
      <c r="I48" s="69">
        <f>SUMIF(recipes!K:K,A48,recipes!R:R)</f>
        <v>2.688894607525439E-2</v>
      </c>
      <c r="J48" s="69">
        <f>SUMIF(recipes!K:K,A48,recipes!S:S)</f>
        <v>0</v>
      </c>
      <c r="K48" s="69">
        <f>SUMIF(recipes!K:K,A48,recipes!T:T)</f>
        <v>0</v>
      </c>
      <c r="L48" s="80">
        <f>COUNTIF(recipes!K:K,A48)</f>
        <v>3</v>
      </c>
    </row>
    <row r="49" spans="1:12" x14ac:dyDescent="0.2">
      <c r="A49" s="89" t="s">
        <v>266</v>
      </c>
      <c r="B49" s="70"/>
      <c r="C49" s="62" t="s">
        <v>266</v>
      </c>
      <c r="D49" s="61">
        <v>1</v>
      </c>
      <c r="E49" s="117">
        <v>1.4E-2</v>
      </c>
      <c r="F49" s="117">
        <v>2.2180100000000001E-2</v>
      </c>
      <c r="G49" s="69">
        <f t="shared" si="2"/>
        <v>1.4E-2</v>
      </c>
      <c r="H49" s="69">
        <f t="shared" si="3"/>
        <v>2.2180100000000001E-2</v>
      </c>
      <c r="I49" s="69">
        <f>SUMIF(recipes!K:K,A49,recipes!R:R)</f>
        <v>7.4666825465169229E-2</v>
      </c>
      <c r="J49" s="69">
        <f>SUMIF(recipes!K:K,A49,recipes!S:S)</f>
        <v>0</v>
      </c>
      <c r="K49" s="69">
        <f>SUMIF(recipes!K:K,A49,recipes!T:T)</f>
        <v>0</v>
      </c>
      <c r="L49" s="80">
        <f>COUNTIF(recipes!K:K,A49)</f>
        <v>6</v>
      </c>
    </row>
    <row r="50" spans="1:12" x14ac:dyDescent="0.2">
      <c r="A50" s="89" t="s">
        <v>535</v>
      </c>
      <c r="B50" s="70"/>
      <c r="C50" s="62" t="s">
        <v>535</v>
      </c>
      <c r="D50" s="61"/>
      <c r="E50" s="117"/>
      <c r="F50" s="117"/>
      <c r="G50" s="69">
        <f t="shared" si="2"/>
        <v>0</v>
      </c>
      <c r="H50" s="69">
        <f t="shared" si="3"/>
        <v>0</v>
      </c>
      <c r="I50" s="69">
        <f>SUMIF(recipes!K:K,A50,recipes!R:R)</f>
        <v>0</v>
      </c>
      <c r="J50" s="69">
        <f>SUMIF(recipes!K:K,A50,recipes!S:S)</f>
        <v>3.3122353109999998</v>
      </c>
      <c r="K50" s="69">
        <f>SUMIF(recipes!K:K,A50,recipes!T:T)</f>
        <v>0</v>
      </c>
      <c r="L50" s="80">
        <f>COUNTIF(recipes!K:K,A50)</f>
        <v>1</v>
      </c>
    </row>
    <row r="51" spans="1:12" x14ac:dyDescent="0.2">
      <c r="A51" s="89" t="s">
        <v>124</v>
      </c>
      <c r="B51" s="70" t="s">
        <v>163</v>
      </c>
      <c r="C51" s="62" t="s">
        <v>3</v>
      </c>
      <c r="D51" s="61">
        <v>2</v>
      </c>
      <c r="E51" s="117">
        <v>0.60299999999999998</v>
      </c>
      <c r="F51" s="117">
        <v>1.1499999999999999</v>
      </c>
      <c r="G51" s="69">
        <f t="shared" si="2"/>
        <v>0.30149999999999999</v>
      </c>
      <c r="H51" s="69">
        <f t="shared" si="3"/>
        <v>0.57499999999999996</v>
      </c>
      <c r="I51" s="69">
        <f>SUMIF(recipes!K:K,A51,recipes!R:R)</f>
        <v>5.5539693001692401</v>
      </c>
      <c r="J51" s="69">
        <f>SUMIF(recipes!K:K,A51,recipes!S:S)</f>
        <v>0</v>
      </c>
      <c r="K51" s="69">
        <f>SUMIF(recipes!K:K,A51,recipes!T:T)</f>
        <v>0</v>
      </c>
      <c r="L51" s="80">
        <f>COUNTIF(recipes!K:K,A51)</f>
        <v>4</v>
      </c>
    </row>
    <row r="52" spans="1:12" x14ac:dyDescent="0.2">
      <c r="A52" s="89" t="s">
        <v>316</v>
      </c>
      <c r="B52" s="70" t="s">
        <v>163</v>
      </c>
      <c r="C52" s="62" t="s">
        <v>127</v>
      </c>
      <c r="D52" s="61"/>
      <c r="E52" s="117"/>
      <c r="F52" s="117"/>
      <c r="G52" s="69">
        <f t="shared" si="2"/>
        <v>0</v>
      </c>
      <c r="H52" s="69">
        <f t="shared" si="3"/>
        <v>0</v>
      </c>
      <c r="I52" s="69">
        <f>SUMIF(recipes!K:K,A52,recipes!R:R)</f>
        <v>0</v>
      </c>
      <c r="J52" s="69">
        <f>SUMIF(recipes!K:K,A52,recipes!S:S)</f>
        <v>0</v>
      </c>
      <c r="K52" s="69">
        <f>SUMIF(recipes!K:K,A52,recipes!T:T)</f>
        <v>4.25</v>
      </c>
      <c r="L52" s="80">
        <f>COUNTIF(recipes!K:K,A52)</f>
        <v>2</v>
      </c>
    </row>
    <row r="53" spans="1:12" x14ac:dyDescent="0.2">
      <c r="A53" s="89" t="s">
        <v>328</v>
      </c>
      <c r="B53" s="70" t="s">
        <v>163</v>
      </c>
      <c r="C53" s="62" t="s">
        <v>131</v>
      </c>
      <c r="D53" s="60"/>
      <c r="E53" s="120"/>
      <c r="F53" s="120"/>
      <c r="G53" s="69">
        <f t="shared" si="2"/>
        <v>0</v>
      </c>
      <c r="H53" s="69">
        <f t="shared" si="3"/>
        <v>0</v>
      </c>
      <c r="I53" s="69">
        <f>SUMIF(recipes!K:K,A53,recipes!R:R)</f>
        <v>0</v>
      </c>
      <c r="J53" s="69">
        <f>SUMIF(recipes!K:K,A53,recipes!S:S)</f>
        <v>0</v>
      </c>
      <c r="K53" s="69">
        <f>SUMIF(recipes!K:K,A53,recipes!T:T)</f>
        <v>7.8000000000000007</v>
      </c>
      <c r="L53" s="80">
        <f>COUNTIF(recipes!K:K,A53)</f>
        <v>1</v>
      </c>
    </row>
    <row r="54" spans="1:12" x14ac:dyDescent="0.2">
      <c r="A54" s="89" t="s">
        <v>434</v>
      </c>
      <c r="B54" s="70"/>
      <c r="C54" s="62" t="s">
        <v>434</v>
      </c>
      <c r="D54" s="61"/>
      <c r="E54" s="117"/>
      <c r="F54" s="117"/>
      <c r="G54" s="69">
        <f t="shared" si="2"/>
        <v>0</v>
      </c>
      <c r="H54" s="69">
        <f t="shared" si="3"/>
        <v>0</v>
      </c>
      <c r="I54" s="69">
        <f>SUMIF(recipes!K:K,A54,recipes!R:R)</f>
        <v>0</v>
      </c>
      <c r="J54" s="69">
        <f>SUMIF(recipes!K:K,A54,recipes!S:S)</f>
        <v>15.458675372910001</v>
      </c>
      <c r="K54" s="69">
        <f>SUMIF(recipes!K:K,A54,recipes!T:T)</f>
        <v>0</v>
      </c>
      <c r="L54" s="80">
        <f>COUNTIF(recipes!K:K,A54)</f>
        <v>1</v>
      </c>
    </row>
    <row r="55" spans="1:12" x14ac:dyDescent="0.2">
      <c r="A55" s="89" t="s">
        <v>41</v>
      </c>
      <c r="B55" s="70"/>
      <c r="C55" s="62" t="s">
        <v>41</v>
      </c>
      <c r="D55" s="61"/>
      <c r="E55" s="117"/>
      <c r="F55" s="117"/>
      <c r="G55" s="69">
        <f t="shared" si="2"/>
        <v>0</v>
      </c>
      <c r="H55" s="69">
        <f t="shared" si="3"/>
        <v>0</v>
      </c>
      <c r="I55" s="69">
        <f>SUMIF(recipes!K:K,A55,recipes!R:R)</f>
        <v>0</v>
      </c>
      <c r="J55" s="69">
        <f>SUMIF(recipes!K:K,A55,recipes!S:S)</f>
        <v>4.8056985539062499E-2</v>
      </c>
      <c r="K55" s="69">
        <f>SUMIF(recipes!K:K,A55,recipes!T:T)</f>
        <v>0</v>
      </c>
      <c r="L55" s="80">
        <f>COUNTIF(recipes!K:K,A55)</f>
        <v>1</v>
      </c>
    </row>
    <row r="56" spans="1:12" x14ac:dyDescent="0.2">
      <c r="A56" s="89" t="s">
        <v>51</v>
      </c>
      <c r="B56" s="70"/>
      <c r="C56" s="62" t="s">
        <v>51</v>
      </c>
      <c r="D56" s="61"/>
      <c r="E56" s="117"/>
      <c r="F56" s="117"/>
      <c r="G56" s="69">
        <f t="shared" si="2"/>
        <v>0</v>
      </c>
      <c r="H56" s="69">
        <f t="shared" si="3"/>
        <v>0</v>
      </c>
      <c r="I56" s="69">
        <f>SUMIF(recipes!K:K,A56,recipes!R:R)</f>
        <v>0</v>
      </c>
      <c r="J56" s="69">
        <f>SUMIF(recipes!K:K,A56,recipes!S:S)</f>
        <v>5.9147059124999998E-2</v>
      </c>
      <c r="K56" s="69">
        <f>SUMIF(recipes!K:K,A56,recipes!T:T)</f>
        <v>0</v>
      </c>
      <c r="L56" s="80">
        <f>COUNTIF(recipes!K:K,A56)</f>
        <v>1</v>
      </c>
    </row>
    <row r="57" spans="1:12" x14ac:dyDescent="0.2">
      <c r="A57" s="89" t="s">
        <v>32</v>
      </c>
      <c r="B57" s="70"/>
      <c r="C57" s="62" t="s">
        <v>32</v>
      </c>
      <c r="D57" s="61"/>
      <c r="E57" s="117"/>
      <c r="F57" s="117"/>
      <c r="G57" s="69">
        <f t="shared" si="2"/>
        <v>0</v>
      </c>
      <c r="H57" s="69">
        <f t="shared" si="3"/>
        <v>0</v>
      </c>
      <c r="I57" s="69">
        <f>SUMIF(recipes!K:K,A57,recipes!R:R)</f>
        <v>0</v>
      </c>
      <c r="J57" s="69">
        <f>SUMIF(recipes!K:K,A57,recipes!S:S)</f>
        <v>0.58407720885937497</v>
      </c>
      <c r="K57" s="69">
        <f>SUMIF(recipes!K:K,A57,recipes!T:T)</f>
        <v>0</v>
      </c>
      <c r="L57" s="80">
        <f>COUNTIF(recipes!K:K,A57)</f>
        <v>7</v>
      </c>
    </row>
    <row r="58" spans="1:12" x14ac:dyDescent="0.2">
      <c r="A58" s="89" t="s">
        <v>442</v>
      </c>
      <c r="B58" s="70"/>
      <c r="C58" s="62" t="s">
        <v>442</v>
      </c>
      <c r="D58" s="61"/>
      <c r="E58" s="117"/>
      <c r="F58" s="117"/>
      <c r="G58" s="69">
        <f t="shared" si="2"/>
        <v>0</v>
      </c>
      <c r="H58" s="69">
        <f t="shared" si="3"/>
        <v>0</v>
      </c>
      <c r="I58" s="69">
        <f>SUMIF(recipes!K:K,A58,recipes!R:R)</f>
        <v>1.0349999999999999</v>
      </c>
      <c r="J58" s="69">
        <f>SUMIF(recipes!K:K,A58,recipes!S:S)</f>
        <v>0</v>
      </c>
      <c r="K58" s="69">
        <f>SUMIF(recipes!K:K,A58,recipes!T:T)</f>
        <v>0</v>
      </c>
      <c r="L58" s="80">
        <f>COUNTIF(recipes!K:K,A58)</f>
        <v>1</v>
      </c>
    </row>
    <row r="59" spans="1:12" x14ac:dyDescent="0.2">
      <c r="A59" s="89" t="s">
        <v>52</v>
      </c>
      <c r="B59" s="70"/>
      <c r="C59" s="62" t="s">
        <v>52</v>
      </c>
      <c r="D59" s="61"/>
      <c r="E59" s="117"/>
      <c r="F59" s="117"/>
      <c r="G59" s="69">
        <f t="shared" si="2"/>
        <v>0</v>
      </c>
      <c r="H59" s="69">
        <f t="shared" si="3"/>
        <v>0</v>
      </c>
      <c r="I59" s="69">
        <f>SUMIF(recipes!K:K,A59,recipes!R:R)</f>
        <v>0</v>
      </c>
      <c r="J59" s="69">
        <f>SUMIF(recipes!K:K,A59,recipes!S:S)</f>
        <v>5.9147059124999998E-2</v>
      </c>
      <c r="K59" s="69">
        <f>SUMIF(recipes!K:K,A59,recipes!T:T)</f>
        <v>0</v>
      </c>
      <c r="L59" s="80">
        <f>COUNTIF(recipes!K:K,A59)</f>
        <v>1</v>
      </c>
    </row>
    <row r="60" spans="1:12" x14ac:dyDescent="0.2">
      <c r="A60" s="89" t="s">
        <v>6</v>
      </c>
      <c r="B60" s="70" t="s">
        <v>163</v>
      </c>
      <c r="C60" s="62" t="s">
        <v>44</v>
      </c>
      <c r="D60" s="61">
        <v>2</v>
      </c>
      <c r="E60" s="117">
        <v>0.37</v>
      </c>
      <c r="F60" s="117">
        <v>0.6</v>
      </c>
      <c r="G60" s="69">
        <f t="shared" si="2"/>
        <v>0.185</v>
      </c>
      <c r="H60" s="69">
        <f t="shared" si="3"/>
        <v>0.3</v>
      </c>
      <c r="I60" s="69">
        <f>SUMIF(recipes!K:K,A60,recipes!R:R)</f>
        <v>1.64133089071875</v>
      </c>
      <c r="J60" s="69">
        <f>SUMIF(recipes!K:K,A60,recipes!S:S)</f>
        <v>0</v>
      </c>
      <c r="K60" s="69">
        <f>SUMIF(recipes!K:K,A60,recipes!T:T)</f>
        <v>0</v>
      </c>
      <c r="L60" s="80">
        <f>COUNTIF(recipes!K:K,A60)</f>
        <v>4</v>
      </c>
    </row>
    <row r="61" spans="1:12" x14ac:dyDescent="0.2">
      <c r="A61" s="89" t="s">
        <v>428</v>
      </c>
      <c r="B61" s="70"/>
      <c r="C61" s="62" t="s">
        <v>428</v>
      </c>
      <c r="D61" s="61"/>
      <c r="E61" s="117"/>
      <c r="F61" s="117"/>
      <c r="G61" s="69">
        <f t="shared" si="2"/>
        <v>0</v>
      </c>
      <c r="H61" s="69">
        <f t="shared" si="3"/>
        <v>0</v>
      </c>
      <c r="I61" s="69">
        <f>SUMIF(recipes!K:K,A61,recipes!R:R)</f>
        <v>0</v>
      </c>
      <c r="J61" s="69">
        <f>SUMIF(recipes!K:K,A61,recipes!S:S)</f>
        <v>0</v>
      </c>
      <c r="K61" s="69">
        <f>SUMIF(recipes!K:K,A61,recipes!T:T)</f>
        <v>1</v>
      </c>
      <c r="L61" s="80">
        <f>COUNTIF(recipes!K:K,A61)</f>
        <v>1</v>
      </c>
    </row>
    <row r="62" spans="1:12" x14ac:dyDescent="0.2">
      <c r="A62" s="89" t="s">
        <v>74</v>
      </c>
      <c r="B62" s="70"/>
      <c r="C62" s="62" t="s">
        <v>74</v>
      </c>
      <c r="D62" s="61">
        <v>1</v>
      </c>
      <c r="E62" s="117">
        <v>1.2E-2</v>
      </c>
      <c r="F62" s="117">
        <v>2.2180100000000001E-2</v>
      </c>
      <c r="G62" s="69">
        <f t="shared" si="2"/>
        <v>1.2E-2</v>
      </c>
      <c r="H62" s="69">
        <f t="shared" si="3"/>
        <v>2.2180100000000001E-2</v>
      </c>
      <c r="I62" s="69">
        <f>SUMIF(recipes!K:K,A62,recipes!R:R)</f>
        <v>8.6666850986357128E-3</v>
      </c>
      <c r="J62" s="69">
        <f>SUMIF(recipes!K:K,A62,recipes!S:S)</f>
        <v>0</v>
      </c>
      <c r="K62" s="69">
        <f>SUMIF(recipes!K:K,A62,recipes!T:T)</f>
        <v>0</v>
      </c>
      <c r="L62" s="80">
        <f>COUNTIF(recipes!K:K,A62)</f>
        <v>1</v>
      </c>
    </row>
    <row r="63" spans="1:12" x14ac:dyDescent="0.2">
      <c r="A63" s="89" t="s">
        <v>79</v>
      </c>
      <c r="B63" s="70"/>
      <c r="C63" s="62" t="s">
        <v>79</v>
      </c>
      <c r="D63" s="61"/>
      <c r="E63" s="117"/>
      <c r="F63" s="117"/>
      <c r="G63" s="69">
        <f t="shared" si="2"/>
        <v>0</v>
      </c>
      <c r="H63" s="69">
        <f t="shared" si="3"/>
        <v>0</v>
      </c>
      <c r="I63" s="69">
        <f>SUMIF(recipes!K:K,A63,recipes!R:R)</f>
        <v>0</v>
      </c>
      <c r="J63" s="69">
        <f>SUMIF(recipes!K:K,A63,recipes!S:S)</f>
        <v>0.70976470949999992</v>
      </c>
      <c r="K63" s="69">
        <f>SUMIF(recipes!K:K,A63,recipes!T:T)</f>
        <v>0</v>
      </c>
      <c r="L63" s="80">
        <f>COUNTIF(recipes!K:K,A63)</f>
        <v>2</v>
      </c>
    </row>
    <row r="64" spans="1:12" x14ac:dyDescent="0.2">
      <c r="A64" s="89" t="s">
        <v>89</v>
      </c>
      <c r="B64" s="70"/>
      <c r="C64" s="62" t="s">
        <v>89</v>
      </c>
      <c r="D64" s="61"/>
      <c r="E64" s="117"/>
      <c r="F64" s="117"/>
      <c r="G64" s="69">
        <f t="shared" si="2"/>
        <v>0</v>
      </c>
      <c r="H64" s="69">
        <f t="shared" si="3"/>
        <v>0</v>
      </c>
      <c r="I64" s="69">
        <f>SUMIF(recipes!K:K,A64,recipes!R:R)</f>
        <v>0</v>
      </c>
      <c r="J64" s="69">
        <f>SUMIF(recipes!K:K,A64,recipes!S:S)</f>
        <v>0.23658823649999999</v>
      </c>
      <c r="K64" s="69">
        <f>SUMIF(recipes!K:K,A64,recipes!T:T)</f>
        <v>0</v>
      </c>
      <c r="L64" s="80">
        <f>COUNTIF(recipes!K:K,A64)</f>
        <v>1</v>
      </c>
    </row>
    <row r="65" spans="1:12" x14ac:dyDescent="0.2">
      <c r="A65" s="89" t="s">
        <v>349</v>
      </c>
      <c r="B65" s="70" t="s">
        <v>163</v>
      </c>
      <c r="C65" s="62" t="s">
        <v>346</v>
      </c>
      <c r="D65" s="61"/>
      <c r="E65" s="117"/>
      <c r="F65" s="117"/>
      <c r="G65" s="69">
        <f t="shared" si="2"/>
        <v>0</v>
      </c>
      <c r="H65" s="69">
        <f t="shared" si="3"/>
        <v>0</v>
      </c>
      <c r="I65" s="69">
        <f>SUMIF(recipes!K:K,A65,recipes!R:R)</f>
        <v>0</v>
      </c>
      <c r="J65" s="69">
        <f>SUMIF(recipes!K:K,A65,recipes!S:S)</f>
        <v>0</v>
      </c>
      <c r="K65" s="69">
        <f>SUMIF(recipes!K:K,A65,recipes!T:T)</f>
        <v>18</v>
      </c>
      <c r="L65" s="80">
        <f>COUNTIF(recipes!K:K,A65)</f>
        <v>1</v>
      </c>
    </row>
    <row r="66" spans="1:12" x14ac:dyDescent="0.2">
      <c r="A66" s="89" t="s">
        <v>4</v>
      </c>
      <c r="B66" s="70" t="s">
        <v>163</v>
      </c>
      <c r="C66" s="62" t="s">
        <v>45</v>
      </c>
      <c r="D66" s="61">
        <v>4</v>
      </c>
      <c r="E66" s="117">
        <v>0.9</v>
      </c>
      <c r="F66" s="117">
        <v>1.35</v>
      </c>
      <c r="G66" s="69">
        <f t="shared" ref="G66:G101" si="4">IF(D66&lt;&gt;0, E66/D66, 0)</f>
        <v>0.22500000000000001</v>
      </c>
      <c r="H66" s="69">
        <f t="shared" ref="H66:H101" si="5">IF(D66&lt;&gt;0, F66/D66, 0)</f>
        <v>0.33750000000000002</v>
      </c>
      <c r="I66" s="69">
        <f>SUMIF(recipes!K:K,A66,recipes!R:R)</f>
        <v>5.1666666666666661</v>
      </c>
      <c r="J66" s="69">
        <f>SUMIF(recipes!K:K,A66,recipes!S:S)</f>
        <v>0</v>
      </c>
      <c r="K66" s="69">
        <f>SUMIF(recipes!K:K,A66,recipes!T:T)</f>
        <v>0</v>
      </c>
      <c r="L66" s="80">
        <f>COUNTIF(recipes!K:K,A66)</f>
        <v>3</v>
      </c>
    </row>
    <row r="67" spans="1:12" x14ac:dyDescent="0.2">
      <c r="A67" s="89" t="s">
        <v>319</v>
      </c>
      <c r="B67" s="70" t="s">
        <v>163</v>
      </c>
      <c r="C67" s="62" t="s">
        <v>320</v>
      </c>
      <c r="D67" s="61">
        <v>2</v>
      </c>
      <c r="E67" s="117">
        <v>0.377</v>
      </c>
      <c r="F67" s="117">
        <v>0.5</v>
      </c>
      <c r="G67" s="69">
        <f t="shared" si="4"/>
        <v>0.1885</v>
      </c>
      <c r="H67" s="69">
        <f t="shared" si="5"/>
        <v>0.25</v>
      </c>
      <c r="I67" s="69">
        <f>SUMIF(recipes!K:K,A67,recipes!R:R)</f>
        <v>1.1595189470864999</v>
      </c>
      <c r="J67" s="69">
        <f>SUMIF(recipes!K:K,A67,recipes!S:S)</f>
        <v>0</v>
      </c>
      <c r="K67" s="69">
        <f>SUMIF(recipes!K:K,A67,recipes!T:T)</f>
        <v>0</v>
      </c>
      <c r="L67" s="80">
        <f>COUNTIF(recipes!K:K,A67)</f>
        <v>1</v>
      </c>
    </row>
    <row r="68" spans="1:12" x14ac:dyDescent="0.2">
      <c r="A68" s="89" t="s">
        <v>544</v>
      </c>
      <c r="B68" s="70" t="s">
        <v>163</v>
      </c>
      <c r="C68" s="62" t="s">
        <v>320</v>
      </c>
      <c r="D68" s="61">
        <v>1</v>
      </c>
      <c r="E68" s="117">
        <v>0.19900000000000001</v>
      </c>
      <c r="F68" s="117">
        <v>0.45</v>
      </c>
      <c r="G68" s="69">
        <f t="shared" si="4"/>
        <v>0.19900000000000001</v>
      </c>
      <c r="H68" s="69">
        <f t="shared" si="5"/>
        <v>0.45</v>
      </c>
      <c r="I68" s="69">
        <f>SUMIF(recipes!K:K,A68,recipes!R:R)</f>
        <v>0.81607169043400007</v>
      </c>
      <c r="J68" s="69">
        <f>SUMIF(recipes!K:K,A68,recipes!S:S)</f>
        <v>0</v>
      </c>
      <c r="K68" s="69">
        <f>SUMIF(recipes!K:K,A68,recipes!T:T)</f>
        <v>0</v>
      </c>
      <c r="L68" s="80">
        <f>COUNTIF(recipes!K:K,A68)</f>
        <v>1</v>
      </c>
    </row>
    <row r="69" spans="1:12" x14ac:dyDescent="0.2">
      <c r="A69" s="89" t="s">
        <v>435</v>
      </c>
      <c r="B69" s="70"/>
      <c r="C69" s="62" t="s">
        <v>435</v>
      </c>
      <c r="D69" s="61"/>
      <c r="E69" s="117"/>
      <c r="F69" s="117"/>
      <c r="G69" s="69">
        <f t="shared" si="4"/>
        <v>0</v>
      </c>
      <c r="H69" s="69">
        <f t="shared" si="5"/>
        <v>0</v>
      </c>
      <c r="I69" s="69">
        <f>SUMIF(recipes!K:K,A69,recipes!R:R)</f>
        <v>0</v>
      </c>
      <c r="J69" s="69">
        <f>SUMIF(recipes!K:K,A69,recipes!S:S)</f>
        <v>7.3342353314999995</v>
      </c>
      <c r="K69" s="69">
        <f>SUMIF(recipes!K:K,A69,recipes!T:T)</f>
        <v>0</v>
      </c>
      <c r="L69" s="80">
        <f>COUNTIF(recipes!K:K,A69)</f>
        <v>1</v>
      </c>
    </row>
    <row r="70" spans="1:12" x14ac:dyDescent="0.2">
      <c r="A70" s="89" t="s">
        <v>11</v>
      </c>
      <c r="B70" s="70"/>
      <c r="C70" s="62" t="s">
        <v>11</v>
      </c>
      <c r="D70" s="61">
        <v>1</v>
      </c>
      <c r="E70" s="117">
        <v>2.5000000000000001E-2</v>
      </c>
      <c r="F70" s="117">
        <v>2.2180100000000001E-2</v>
      </c>
      <c r="G70" s="69">
        <f t="shared" si="4"/>
        <v>2.5000000000000001E-2</v>
      </c>
      <c r="H70" s="69">
        <f t="shared" si="5"/>
        <v>2.2180100000000001E-2</v>
      </c>
      <c r="I70" s="69">
        <f>SUMIF(recipes!K:K,A70,recipes!R:R)</f>
        <v>6.3889024765583793E-2</v>
      </c>
      <c r="J70" s="69">
        <f>SUMIF(recipes!K:K,A70,recipes!S:S)</f>
        <v>0</v>
      </c>
      <c r="K70" s="69">
        <f>SUMIF(recipes!K:K,A70,recipes!T:T)</f>
        <v>0</v>
      </c>
      <c r="L70" s="80">
        <f>COUNTIF(recipes!K:K,A70)</f>
        <v>10</v>
      </c>
    </row>
    <row r="71" spans="1:12" x14ac:dyDescent="0.2">
      <c r="A71" s="89" t="s">
        <v>138</v>
      </c>
      <c r="B71" s="70"/>
      <c r="C71" s="62" t="s">
        <v>138</v>
      </c>
      <c r="D71" s="61"/>
      <c r="E71" s="117"/>
      <c r="F71" s="117"/>
      <c r="G71" s="69">
        <f t="shared" si="4"/>
        <v>0</v>
      </c>
      <c r="H71" s="69">
        <f t="shared" si="5"/>
        <v>0</v>
      </c>
      <c r="I71" s="69">
        <f>SUMIF(recipes!K:K,A71,recipes!R:R)</f>
        <v>0</v>
      </c>
      <c r="J71" s="69">
        <f>SUMIF(recipes!K:K,A71,recipes!S:S)</f>
        <v>9.2417279882812495E-2</v>
      </c>
      <c r="K71" s="69">
        <f>SUMIF(recipes!K:K,A71,recipes!T:T)</f>
        <v>0</v>
      </c>
      <c r="L71" s="80">
        <f>COUNTIF(recipes!K:K,A71)</f>
        <v>1</v>
      </c>
    </row>
    <row r="72" spans="1:12" x14ac:dyDescent="0.2">
      <c r="A72" s="89" t="s">
        <v>152</v>
      </c>
      <c r="B72" s="70" t="s">
        <v>163</v>
      </c>
      <c r="C72" s="62" t="s">
        <v>421</v>
      </c>
      <c r="D72" s="61">
        <v>5</v>
      </c>
      <c r="E72" s="117">
        <v>0.16800000000000001</v>
      </c>
      <c r="F72" s="117">
        <v>1.3</v>
      </c>
      <c r="G72" s="69">
        <f t="shared" si="4"/>
        <v>3.3600000000000005E-2</v>
      </c>
      <c r="H72" s="69">
        <f t="shared" si="5"/>
        <v>0.26</v>
      </c>
      <c r="I72" s="69">
        <f>SUMIF(recipes!K:K,A72,recipes!R:R)</f>
        <v>0.22615384615384615</v>
      </c>
      <c r="J72" s="69">
        <f>SUMIF(recipes!K:K,A72,recipes!S:S)</f>
        <v>0</v>
      </c>
      <c r="K72" s="69">
        <f>SUMIF(recipes!K:K,A72,recipes!T:T)</f>
        <v>0</v>
      </c>
      <c r="L72" s="80">
        <f>COUNTIF(recipes!K:K,A72)</f>
        <v>1</v>
      </c>
    </row>
    <row r="73" spans="1:12" x14ac:dyDescent="0.2">
      <c r="A73" s="89" t="s">
        <v>81</v>
      </c>
      <c r="B73" s="70" t="s">
        <v>163</v>
      </c>
      <c r="C73" s="62" t="s">
        <v>421</v>
      </c>
      <c r="D73" s="61">
        <v>5</v>
      </c>
      <c r="E73" s="117">
        <v>0.155</v>
      </c>
      <c r="F73" s="117">
        <v>1</v>
      </c>
      <c r="G73" s="69">
        <f t="shared" si="4"/>
        <v>3.1E-2</v>
      </c>
      <c r="H73" s="69">
        <f t="shared" si="5"/>
        <v>0.2</v>
      </c>
      <c r="I73" s="69">
        <f>SUMIF(recipes!K:K,A73,recipes!R:R)</f>
        <v>1.0816948541093749</v>
      </c>
      <c r="J73" s="69">
        <f>SUMIF(recipes!K:K,A73,recipes!S:S)</f>
        <v>0</v>
      </c>
      <c r="K73" s="69">
        <f>SUMIF(recipes!K:K,A73,recipes!T:T)</f>
        <v>0</v>
      </c>
      <c r="L73" s="80">
        <f>COUNTIF(recipes!K:K,A73)</f>
        <v>2</v>
      </c>
    </row>
    <row r="74" spans="1:12" x14ac:dyDescent="0.2">
      <c r="A74" s="89" t="s">
        <v>438</v>
      </c>
      <c r="B74" s="70"/>
      <c r="C74" s="62" t="s">
        <v>438</v>
      </c>
      <c r="D74" s="61"/>
      <c r="E74" s="117"/>
      <c r="F74" s="117"/>
      <c r="G74" s="69">
        <f t="shared" si="4"/>
        <v>0</v>
      </c>
      <c r="H74" s="69">
        <f t="shared" si="5"/>
        <v>0</v>
      </c>
      <c r="I74" s="69">
        <f>SUMIF(recipes!K:K,A74,recipes!R:R)</f>
        <v>0</v>
      </c>
      <c r="J74" s="69">
        <f>SUMIF(recipes!K:K,A74,recipes!S:S)</f>
        <v>0</v>
      </c>
      <c r="K74" s="69">
        <f>SUMIF(recipes!K:K,A74,recipes!T:T)</f>
        <v>65</v>
      </c>
      <c r="L74" s="80">
        <f>COUNTIF(recipes!K:K,A74)</f>
        <v>1</v>
      </c>
    </row>
    <row r="75" spans="1:12" x14ac:dyDescent="0.2">
      <c r="A75" s="89" t="s">
        <v>437</v>
      </c>
      <c r="B75" s="70"/>
      <c r="C75" s="62" t="s">
        <v>437</v>
      </c>
      <c r="D75" s="61"/>
      <c r="E75" s="117"/>
      <c r="F75" s="117"/>
      <c r="G75" s="69">
        <f t="shared" si="4"/>
        <v>0</v>
      </c>
      <c r="H75" s="69">
        <f t="shared" si="5"/>
        <v>0</v>
      </c>
      <c r="I75" s="69">
        <f>SUMIF(recipes!K:K,A75,recipes!R:R)</f>
        <v>0</v>
      </c>
      <c r="J75" s="69">
        <f>SUMIF(recipes!K:K,A75,recipes!S:S)</f>
        <v>0</v>
      </c>
      <c r="K75" s="69">
        <f>SUMIF(recipes!K:K,A75,recipes!T:T)</f>
        <v>145</v>
      </c>
      <c r="L75" s="80">
        <f>COUNTIF(recipes!K:K,A75)</f>
        <v>1</v>
      </c>
    </row>
    <row r="76" spans="1:12" x14ac:dyDescent="0.2">
      <c r="A76" s="89" t="s">
        <v>88</v>
      </c>
      <c r="B76" s="70"/>
      <c r="C76" s="62" t="s">
        <v>88</v>
      </c>
      <c r="D76" s="61"/>
      <c r="E76" s="117"/>
      <c r="F76" s="117"/>
      <c r="G76" s="69">
        <f t="shared" si="4"/>
        <v>0</v>
      </c>
      <c r="H76" s="69">
        <f t="shared" si="5"/>
        <v>0</v>
      </c>
      <c r="I76" s="69">
        <f>SUMIF(recipes!K:K,A76,recipes!R:R)</f>
        <v>0</v>
      </c>
      <c r="J76" s="69">
        <f>SUMIF(recipes!K:K,A76,recipes!S:S)</f>
        <v>5.9147059124999998E-2</v>
      </c>
      <c r="K76" s="69">
        <f>SUMIF(recipes!K:K,A76,recipes!T:T)</f>
        <v>0</v>
      </c>
      <c r="L76" s="80">
        <f>COUNTIF(recipes!K:K,A76)</f>
        <v>1</v>
      </c>
    </row>
    <row r="77" spans="1:12" x14ac:dyDescent="0.2">
      <c r="A77" s="89" t="s">
        <v>252</v>
      </c>
      <c r="B77" s="70"/>
      <c r="C77" s="62" t="s">
        <v>252</v>
      </c>
      <c r="D77" s="61"/>
      <c r="E77" s="117"/>
      <c r="F77" s="117"/>
      <c r="G77" s="69">
        <f t="shared" si="4"/>
        <v>0</v>
      </c>
      <c r="H77" s="69">
        <f t="shared" si="5"/>
        <v>0</v>
      </c>
      <c r="I77" s="69">
        <f>SUMIF(recipes!K:K,A77,recipes!R:R)</f>
        <v>0</v>
      </c>
      <c r="J77" s="69">
        <f>SUMIF(recipes!K:K,A77,recipes!S:S)</f>
        <v>11.247404763210001</v>
      </c>
      <c r="K77" s="69">
        <f>SUMIF(recipes!K:K,A77,recipes!T:T)</f>
        <v>0</v>
      </c>
      <c r="L77" s="80">
        <f>COUNTIF(recipes!K:K,A77)</f>
        <v>2</v>
      </c>
    </row>
    <row r="78" spans="1:12" x14ac:dyDescent="0.2">
      <c r="A78" s="89" t="s">
        <v>520</v>
      </c>
      <c r="B78" s="70" t="s">
        <v>163</v>
      </c>
      <c r="C78" s="62" t="s">
        <v>323</v>
      </c>
      <c r="D78" s="61">
        <v>1</v>
      </c>
      <c r="E78" s="117">
        <v>0.13400000000000001</v>
      </c>
      <c r="F78" s="117">
        <v>0.75</v>
      </c>
      <c r="G78" s="69">
        <f t="shared" si="4"/>
        <v>0.13400000000000001</v>
      </c>
      <c r="H78" s="69">
        <f t="shared" si="5"/>
        <v>0.75</v>
      </c>
      <c r="I78" s="69">
        <f>SUMIF(recipes!K:K,A78,recipes!R:R)</f>
        <v>0.274757805322</v>
      </c>
      <c r="J78" s="69">
        <f>SUMIF(recipes!K:K,A78,recipes!S:S)</f>
        <v>0</v>
      </c>
      <c r="K78" s="69">
        <f>SUMIF(recipes!K:K,A78,recipes!T:T)</f>
        <v>0</v>
      </c>
      <c r="L78" s="80">
        <f>COUNTIF(recipes!K:K,A78)</f>
        <v>1</v>
      </c>
    </row>
    <row r="79" spans="1:12" x14ac:dyDescent="0.2">
      <c r="A79" s="89" t="s">
        <v>271</v>
      </c>
      <c r="B79" s="70"/>
      <c r="C79" s="62" t="s">
        <v>271</v>
      </c>
      <c r="D79" s="61"/>
      <c r="E79" s="117"/>
      <c r="F79" s="117"/>
      <c r="G79" s="69">
        <f t="shared" si="4"/>
        <v>0</v>
      </c>
      <c r="H79" s="69">
        <f t="shared" si="5"/>
        <v>0</v>
      </c>
      <c r="I79" s="69">
        <f>SUMIF(recipes!K:K,A79,recipes!R:R)</f>
        <v>0</v>
      </c>
      <c r="J79" s="69">
        <f>SUMIF(recipes!K:K,A79,recipes!S:S)</f>
        <v>0</v>
      </c>
      <c r="K79" s="69">
        <f>SUMIF(recipes!K:K,A79,recipes!T:T)</f>
        <v>0</v>
      </c>
      <c r="L79" s="80">
        <f>COUNTIF(recipes!K:K,A79)</f>
        <v>1</v>
      </c>
    </row>
    <row r="80" spans="1:12" x14ac:dyDescent="0.2">
      <c r="A80" s="89" t="s">
        <v>251</v>
      </c>
      <c r="B80" s="70"/>
      <c r="C80" s="62" t="s">
        <v>251</v>
      </c>
      <c r="D80" s="61"/>
      <c r="E80" s="117"/>
      <c r="F80" s="117"/>
      <c r="G80" s="69">
        <f t="shared" si="4"/>
        <v>0</v>
      </c>
      <c r="H80" s="69">
        <f t="shared" si="5"/>
        <v>0</v>
      </c>
      <c r="I80" s="69">
        <f>SUMIF(recipes!K:K,A80,recipes!R:R)</f>
        <v>0</v>
      </c>
      <c r="J80" s="69">
        <f>SUMIF(recipes!K:K,A80,recipes!S:S)</f>
        <v>2.9573529562499999E-2</v>
      </c>
      <c r="K80" s="69">
        <f>SUMIF(recipes!K:K,A80,recipes!T:T)</f>
        <v>0</v>
      </c>
      <c r="L80" s="80">
        <f>COUNTIF(recipes!K:K,A80)</f>
        <v>1</v>
      </c>
    </row>
    <row r="81" spans="1:12" x14ac:dyDescent="0.2">
      <c r="A81" s="89" t="s">
        <v>136</v>
      </c>
      <c r="B81" s="70"/>
      <c r="C81" s="62" t="s">
        <v>136</v>
      </c>
      <c r="D81" s="61"/>
      <c r="E81" s="117"/>
      <c r="F81" s="117"/>
      <c r="G81" s="69">
        <f t="shared" si="4"/>
        <v>0</v>
      </c>
      <c r="H81" s="69">
        <f t="shared" si="5"/>
        <v>0</v>
      </c>
      <c r="I81" s="69">
        <f>SUMIF(recipes!K:K,A81,recipes!R:R)</f>
        <v>0</v>
      </c>
      <c r="J81" s="69">
        <f>SUMIF(recipes!K:K,A81,recipes!S:S)</f>
        <v>4.4360294343749995E-2</v>
      </c>
      <c r="K81" s="69">
        <f>SUMIF(recipes!K:K,A81,recipes!T:T)</f>
        <v>0</v>
      </c>
      <c r="L81" s="80">
        <f>COUNTIF(recipes!K:K,A81)</f>
        <v>1</v>
      </c>
    </row>
    <row r="82" spans="1:12" x14ac:dyDescent="0.2">
      <c r="A82" s="89" t="s">
        <v>139</v>
      </c>
      <c r="B82" s="70"/>
      <c r="C82" s="62" t="s">
        <v>139</v>
      </c>
      <c r="D82" s="61"/>
      <c r="E82" s="117"/>
      <c r="F82" s="117"/>
      <c r="G82" s="69">
        <f t="shared" si="4"/>
        <v>0</v>
      </c>
      <c r="H82" s="69">
        <f t="shared" si="5"/>
        <v>0</v>
      </c>
      <c r="I82" s="69">
        <f>SUMIF(recipes!K:K,A82,recipes!R:R)</f>
        <v>0</v>
      </c>
      <c r="J82" s="69">
        <f>SUMIF(recipes!K:K,A82,recipes!S:S)</f>
        <v>4.4360294343749995E-2</v>
      </c>
      <c r="K82" s="69">
        <f>SUMIF(recipes!K:K,A82,recipes!T:T)</f>
        <v>0</v>
      </c>
      <c r="L82" s="80">
        <f>COUNTIF(recipes!K:K,A82)</f>
        <v>2</v>
      </c>
    </row>
    <row r="83" spans="1:12" x14ac:dyDescent="0.2">
      <c r="A83" s="89" t="s">
        <v>363</v>
      </c>
      <c r="B83" s="70"/>
      <c r="C83" s="62" t="s">
        <v>363</v>
      </c>
      <c r="D83" s="61"/>
      <c r="E83" s="117"/>
      <c r="F83" s="117"/>
      <c r="G83" s="69">
        <f t="shared" si="4"/>
        <v>0</v>
      </c>
      <c r="H83" s="69">
        <f t="shared" si="5"/>
        <v>0</v>
      </c>
      <c r="I83" s="69">
        <f>SUMIF(recipes!K:K,A83,recipes!R:R)</f>
        <v>0</v>
      </c>
      <c r="J83" s="69">
        <f>SUMIF(recipes!K:K,A83,recipes!S:S)</f>
        <v>0</v>
      </c>
      <c r="K83" s="69">
        <f>SUMIF(recipes!K:K,A83,recipes!T:T)</f>
        <v>3.75</v>
      </c>
      <c r="L83" s="80">
        <f>COUNTIF(recipes!K:K,A83)</f>
        <v>1</v>
      </c>
    </row>
    <row r="84" spans="1:12" x14ac:dyDescent="0.2">
      <c r="A84" s="89" t="s">
        <v>364</v>
      </c>
      <c r="B84" s="70"/>
      <c r="C84" s="62" t="s">
        <v>364</v>
      </c>
      <c r="D84" s="61"/>
      <c r="E84" s="117"/>
      <c r="F84" s="117"/>
      <c r="G84" s="69">
        <f t="shared" si="4"/>
        <v>0</v>
      </c>
      <c r="H84" s="69">
        <f t="shared" si="5"/>
        <v>0</v>
      </c>
      <c r="I84" s="69">
        <f>SUMIF(recipes!K:K,A84,recipes!R:R)</f>
        <v>0</v>
      </c>
      <c r="J84" s="69">
        <f>SUMIF(recipes!K:K,A84,recipes!S:S)</f>
        <v>0</v>
      </c>
      <c r="K84" s="69">
        <f>SUMIF(recipes!K:K,A84,recipes!T:T)</f>
        <v>2</v>
      </c>
      <c r="L84" s="80">
        <f>COUNTIF(recipes!K:K,A84)</f>
        <v>1</v>
      </c>
    </row>
    <row r="85" spans="1:12" x14ac:dyDescent="0.2">
      <c r="A85" s="89" t="s">
        <v>365</v>
      </c>
      <c r="B85" s="70"/>
      <c r="C85" s="62" t="s">
        <v>365</v>
      </c>
      <c r="D85" s="61"/>
      <c r="E85" s="117"/>
      <c r="F85" s="117"/>
      <c r="G85" s="69">
        <f t="shared" si="4"/>
        <v>0</v>
      </c>
      <c r="H85" s="69">
        <f t="shared" si="5"/>
        <v>0</v>
      </c>
      <c r="I85" s="69">
        <f>SUMIF(recipes!K:K,A85,recipes!R:R)</f>
        <v>0</v>
      </c>
      <c r="J85" s="69">
        <f>SUMIF(recipes!K:K,A85,recipes!S:S)</f>
        <v>0</v>
      </c>
      <c r="K85" s="69">
        <f>SUMIF(recipes!K:K,A85,recipes!T:T)</f>
        <v>4</v>
      </c>
      <c r="L85" s="80">
        <f>COUNTIF(recipes!K:K,A85)</f>
        <v>1</v>
      </c>
    </row>
    <row r="86" spans="1:12" x14ac:dyDescent="0.2">
      <c r="A86" s="89" t="s">
        <v>366</v>
      </c>
      <c r="B86" s="70"/>
      <c r="C86" s="62" t="s">
        <v>366</v>
      </c>
      <c r="D86" s="61"/>
      <c r="E86" s="117"/>
      <c r="F86" s="117"/>
      <c r="G86" s="69">
        <f t="shared" si="4"/>
        <v>0</v>
      </c>
      <c r="H86" s="69">
        <f t="shared" si="5"/>
        <v>0</v>
      </c>
      <c r="I86" s="69">
        <f>SUMIF(recipes!K:K,A86,recipes!R:R)</f>
        <v>0</v>
      </c>
      <c r="J86" s="69">
        <f>SUMIF(recipes!K:K,A86,recipes!S:S)</f>
        <v>0</v>
      </c>
      <c r="K86" s="69">
        <f>SUMIF(recipes!K:K,A86,recipes!T:T)</f>
        <v>4.5</v>
      </c>
      <c r="L86" s="80">
        <f>COUNTIF(recipes!K:K,A86)</f>
        <v>2</v>
      </c>
    </row>
    <row r="87" spans="1:12" x14ac:dyDescent="0.2">
      <c r="A87" s="89" t="s">
        <v>367</v>
      </c>
      <c r="B87" s="70"/>
      <c r="C87" s="62" t="s">
        <v>367</v>
      </c>
      <c r="D87" s="61"/>
      <c r="E87" s="117"/>
      <c r="F87" s="117"/>
      <c r="G87" s="69">
        <f t="shared" si="4"/>
        <v>0</v>
      </c>
      <c r="H87" s="69">
        <f t="shared" si="5"/>
        <v>0</v>
      </c>
      <c r="I87" s="69">
        <f>SUMIF(recipes!K:K,A87,recipes!R:R)</f>
        <v>0</v>
      </c>
      <c r="J87" s="69">
        <f>SUMIF(recipes!K:K,A87,recipes!S:S)</f>
        <v>0</v>
      </c>
      <c r="K87" s="69">
        <f>SUMIF(recipes!K:K,A87,recipes!T:T)</f>
        <v>4.75</v>
      </c>
      <c r="L87" s="80">
        <f>COUNTIF(recipes!K:K,A87)</f>
        <v>4</v>
      </c>
    </row>
    <row r="88" spans="1:12" x14ac:dyDescent="0.2">
      <c r="A88" s="89" t="s">
        <v>368</v>
      </c>
      <c r="B88" s="70"/>
      <c r="C88" s="62" t="s">
        <v>368</v>
      </c>
      <c r="D88" s="61"/>
      <c r="E88" s="117"/>
      <c r="F88" s="117"/>
      <c r="G88" s="69">
        <f t="shared" si="4"/>
        <v>0</v>
      </c>
      <c r="H88" s="69">
        <f t="shared" si="5"/>
        <v>0</v>
      </c>
      <c r="I88" s="69">
        <f>SUMIF(recipes!K:K,A88,recipes!R:R)</f>
        <v>0</v>
      </c>
      <c r="J88" s="69">
        <f>SUMIF(recipes!K:K,A88,recipes!S:S)</f>
        <v>2.0701470693749999</v>
      </c>
      <c r="K88" s="69">
        <f>SUMIF(recipes!K:K,A88,recipes!T:T)</f>
        <v>0</v>
      </c>
      <c r="L88" s="80">
        <f>COUNTIF(recipes!K:K,A88)</f>
        <v>2</v>
      </c>
    </row>
    <row r="89" spans="1:12" x14ac:dyDescent="0.2">
      <c r="A89" s="89" t="s">
        <v>369</v>
      </c>
      <c r="B89" s="70"/>
      <c r="C89" s="62" t="s">
        <v>369</v>
      </c>
      <c r="D89" s="61"/>
      <c r="E89" s="117"/>
      <c r="F89" s="117"/>
      <c r="G89" s="69">
        <f t="shared" si="4"/>
        <v>0</v>
      </c>
      <c r="H89" s="69">
        <f t="shared" si="5"/>
        <v>0</v>
      </c>
      <c r="I89" s="69">
        <f>SUMIF(recipes!K:K,A89,recipes!R:R)</f>
        <v>0</v>
      </c>
      <c r="J89" s="69">
        <f>SUMIF(recipes!K:K,A89,recipes!S:S)</f>
        <v>0</v>
      </c>
      <c r="K89" s="69">
        <f>SUMIF(recipes!K:K,A89,recipes!T:T)</f>
        <v>2</v>
      </c>
      <c r="L89" s="80">
        <f>COUNTIF(recipes!K:K,A89)</f>
        <v>1</v>
      </c>
    </row>
    <row r="90" spans="1:12" x14ac:dyDescent="0.2">
      <c r="A90" s="89" t="s">
        <v>518</v>
      </c>
      <c r="B90" s="70"/>
      <c r="C90" s="62" t="s">
        <v>518</v>
      </c>
      <c r="D90" s="61"/>
      <c r="E90" s="117"/>
      <c r="F90" s="117"/>
      <c r="G90" s="69">
        <f t="shared" si="4"/>
        <v>0</v>
      </c>
      <c r="H90" s="69">
        <f t="shared" si="5"/>
        <v>0</v>
      </c>
      <c r="I90" s="69">
        <f>SUMIF(recipes!K:K,A90,recipes!R:R)</f>
        <v>0</v>
      </c>
      <c r="J90" s="69">
        <f>SUMIF(recipes!K:K,A90,recipes!S:S)</f>
        <v>0</v>
      </c>
      <c r="K90" s="69">
        <f>SUMIF(recipes!K:K,A90,recipes!T:T)</f>
        <v>22.5</v>
      </c>
      <c r="L90" s="80">
        <f>COUNTIF(recipes!K:K,A90)</f>
        <v>1</v>
      </c>
    </row>
    <row r="91" spans="1:12" x14ac:dyDescent="0.2">
      <c r="A91" s="89" t="s">
        <v>370</v>
      </c>
      <c r="B91" s="70"/>
      <c r="C91" s="62" t="s">
        <v>370</v>
      </c>
      <c r="D91" s="61"/>
      <c r="E91" s="117"/>
      <c r="F91" s="117"/>
      <c r="G91" s="69">
        <f t="shared" si="4"/>
        <v>0</v>
      </c>
      <c r="H91" s="69">
        <f t="shared" si="5"/>
        <v>0</v>
      </c>
      <c r="I91" s="69">
        <f>SUMIF(recipes!K:K,A91,recipes!R:R)</f>
        <v>0</v>
      </c>
      <c r="J91" s="69">
        <f>SUMIF(recipes!K:K,A91,recipes!S:S)</f>
        <v>0.94635294599999997</v>
      </c>
      <c r="K91" s="69">
        <f>SUMIF(recipes!K:K,A91,recipes!T:T)</f>
        <v>0</v>
      </c>
      <c r="L91" s="80">
        <f>COUNTIF(recipes!K:K,A91)</f>
        <v>1</v>
      </c>
    </row>
    <row r="92" spans="1:12" x14ac:dyDescent="0.2">
      <c r="A92" s="89" t="s">
        <v>227</v>
      </c>
      <c r="B92" s="70" t="s">
        <v>163</v>
      </c>
      <c r="C92" s="62" t="s">
        <v>42</v>
      </c>
      <c r="D92" s="61">
        <v>1</v>
      </c>
      <c r="E92" s="117">
        <v>0.311</v>
      </c>
      <c r="F92" s="117">
        <v>0.5</v>
      </c>
      <c r="G92" s="69">
        <f t="shared" si="4"/>
        <v>0.311</v>
      </c>
      <c r="H92" s="69">
        <f t="shared" si="5"/>
        <v>0.5</v>
      </c>
      <c r="I92" s="69">
        <f>SUMIF(recipes!K:K,A92,recipes!R:R)</f>
        <v>4.1985000000000001</v>
      </c>
      <c r="J92" s="69">
        <f>SUMIF(recipes!K:K,A92,recipes!S:S)</f>
        <v>0</v>
      </c>
      <c r="K92" s="69">
        <f>SUMIF(recipes!K:K,A92,recipes!T:T)</f>
        <v>0</v>
      </c>
      <c r="L92" s="80">
        <f>COUNTIF(recipes!K:K,A92)</f>
        <v>3</v>
      </c>
    </row>
    <row r="93" spans="1:12" x14ac:dyDescent="0.2">
      <c r="A93" s="89" t="s">
        <v>228</v>
      </c>
      <c r="B93" s="70" t="s">
        <v>163</v>
      </c>
      <c r="C93" s="62" t="s">
        <v>42</v>
      </c>
      <c r="D93" s="61">
        <v>1</v>
      </c>
      <c r="E93" s="117">
        <v>0.315</v>
      </c>
      <c r="F93" s="117">
        <v>0.55000000000000004</v>
      </c>
      <c r="G93" s="69">
        <f t="shared" si="4"/>
        <v>0.315</v>
      </c>
      <c r="H93" s="69">
        <f t="shared" si="5"/>
        <v>0.55000000000000004</v>
      </c>
      <c r="I93" s="69">
        <f>SUMIF(recipes!K:K,A93,recipes!R:R)</f>
        <v>0.63</v>
      </c>
      <c r="J93" s="69">
        <f>SUMIF(recipes!K:K,A93,recipes!S:S)</f>
        <v>0</v>
      </c>
      <c r="K93" s="69">
        <f>SUMIF(recipes!K:K,A93,recipes!T:T)</f>
        <v>0</v>
      </c>
      <c r="L93" s="80">
        <f>COUNTIF(recipes!K:K,A93)</f>
        <v>1</v>
      </c>
    </row>
    <row r="94" spans="1:12" x14ac:dyDescent="0.2">
      <c r="A94" s="89" t="s">
        <v>265</v>
      </c>
      <c r="B94" s="70" t="s">
        <v>163</v>
      </c>
      <c r="C94" s="62" t="s">
        <v>48</v>
      </c>
      <c r="D94" s="60"/>
      <c r="E94" s="120"/>
      <c r="F94" s="120"/>
      <c r="G94" s="69">
        <f t="shared" si="4"/>
        <v>0</v>
      </c>
      <c r="H94" s="69">
        <f t="shared" si="5"/>
        <v>0</v>
      </c>
      <c r="I94" s="69">
        <f>SUMIF(recipes!K:K,A94,recipes!R:R)</f>
        <v>0</v>
      </c>
      <c r="J94" s="69">
        <f>SUMIF(recipes!K:K,A94,recipes!S:S)</f>
        <v>0</v>
      </c>
      <c r="K94" s="69">
        <f>SUMIF(recipes!K:K,A94,recipes!T:T)</f>
        <v>31.200000000000003</v>
      </c>
      <c r="L94" s="80">
        <f>COUNTIF(recipes!K:K,A94)</f>
        <v>1</v>
      </c>
    </row>
    <row r="95" spans="1:12" x14ac:dyDescent="0.2">
      <c r="A95" s="89" t="s">
        <v>40</v>
      </c>
      <c r="B95" s="70"/>
      <c r="C95" s="62" t="s">
        <v>40</v>
      </c>
      <c r="D95" s="61"/>
      <c r="E95" s="117"/>
      <c r="F95" s="117"/>
      <c r="G95" s="69">
        <f t="shared" si="4"/>
        <v>0</v>
      </c>
      <c r="H95" s="69">
        <f t="shared" si="5"/>
        <v>0</v>
      </c>
      <c r="I95" s="69">
        <f>SUMIF(recipes!K:K,A95,recipes!R:R)</f>
        <v>0</v>
      </c>
      <c r="J95" s="69">
        <f>SUMIF(recipes!K:K,A95,recipes!S:S)</f>
        <v>10.169529419</v>
      </c>
      <c r="K95" s="69">
        <f>SUMIF(recipes!K:K,A95,recipes!T:T)</f>
        <v>0</v>
      </c>
      <c r="L95" s="80">
        <f>COUNTIF(recipes!K:K,A95)</f>
        <v>5</v>
      </c>
    </row>
    <row r="96" spans="1:12" x14ac:dyDescent="0.2">
      <c r="A96" s="89" t="s">
        <v>86</v>
      </c>
      <c r="B96" s="70"/>
      <c r="C96" s="62" t="s">
        <v>33</v>
      </c>
      <c r="D96" s="61">
        <v>1</v>
      </c>
      <c r="E96" s="117">
        <v>1</v>
      </c>
      <c r="F96" s="117">
        <v>1</v>
      </c>
      <c r="G96" s="69">
        <f t="shared" si="4"/>
        <v>1</v>
      </c>
      <c r="H96" s="69">
        <f t="shared" si="5"/>
        <v>1</v>
      </c>
      <c r="I96" s="69">
        <f>SUMIF(recipes!K:K,A96,recipes!R:R)</f>
        <v>0.65061765037499997</v>
      </c>
      <c r="J96" s="69">
        <f>SUMIF(recipes!K:K,A96,recipes!S:S)</f>
        <v>0</v>
      </c>
      <c r="K96" s="69">
        <f>SUMIF(recipes!K:K,A96,recipes!T:T)</f>
        <v>0</v>
      </c>
      <c r="L96" s="80">
        <f>COUNTIF(recipes!K:K,A96)</f>
        <v>1</v>
      </c>
    </row>
    <row r="97" spans="1:12" x14ac:dyDescent="0.2">
      <c r="A97" s="89" t="s">
        <v>33</v>
      </c>
      <c r="B97" s="70"/>
      <c r="C97" s="62" t="s">
        <v>33</v>
      </c>
      <c r="D97" s="61">
        <v>1</v>
      </c>
      <c r="E97" s="117">
        <v>1</v>
      </c>
      <c r="F97" s="117">
        <v>1</v>
      </c>
      <c r="G97" s="69">
        <f t="shared" si="4"/>
        <v>1</v>
      </c>
      <c r="H97" s="69">
        <f t="shared" si="5"/>
        <v>1</v>
      </c>
      <c r="I97" s="69">
        <f>SUMIF(recipes!K:K,A97,recipes!R:R)</f>
        <v>6.3390588379999997</v>
      </c>
      <c r="J97" s="69">
        <f>SUMIF(recipes!K:K,A97,recipes!S:S)</f>
        <v>0</v>
      </c>
      <c r="K97" s="69">
        <f>SUMIF(recipes!K:K,A97,recipes!T:T)</f>
        <v>0</v>
      </c>
      <c r="L97" s="80">
        <f>COUNTIF(recipes!K:K,A97)</f>
        <v>8</v>
      </c>
    </row>
    <row r="98" spans="1:12" x14ac:dyDescent="0.2">
      <c r="A98" s="89" t="s">
        <v>73</v>
      </c>
      <c r="B98" s="70" t="s">
        <v>163</v>
      </c>
      <c r="C98" s="62" t="s">
        <v>426</v>
      </c>
      <c r="D98" s="61">
        <v>2</v>
      </c>
      <c r="E98" s="117">
        <v>0.15</v>
      </c>
      <c r="F98" s="117">
        <v>0.65</v>
      </c>
      <c r="G98" s="69">
        <f t="shared" si="4"/>
        <v>7.4999999999999997E-2</v>
      </c>
      <c r="H98" s="69">
        <f t="shared" si="5"/>
        <v>0.32500000000000001</v>
      </c>
      <c r="I98" s="69">
        <f>SUMIF(recipes!K:K,A98,recipes!R:R)</f>
        <v>0.98076923076923073</v>
      </c>
      <c r="J98" s="69">
        <f>SUMIF(recipes!K:K,A98,recipes!S:S)</f>
        <v>0</v>
      </c>
      <c r="K98" s="69">
        <f>SUMIF(recipes!K:K,A98,recipes!T:T)</f>
        <v>0</v>
      </c>
      <c r="L98" s="80">
        <f>COUNTIF(recipes!K:K,A98)</f>
        <v>1</v>
      </c>
    </row>
    <row r="99" spans="1:12" x14ac:dyDescent="0.2">
      <c r="A99" s="89" t="s">
        <v>141</v>
      </c>
      <c r="B99" s="70" t="s">
        <v>163</v>
      </c>
      <c r="C99" s="62" t="s">
        <v>140</v>
      </c>
      <c r="D99" s="61">
        <v>2</v>
      </c>
      <c r="E99" s="117">
        <v>0.377</v>
      </c>
      <c r="F99" s="117">
        <v>0.5</v>
      </c>
      <c r="G99" s="69">
        <f t="shared" si="4"/>
        <v>0.1885</v>
      </c>
      <c r="H99" s="69">
        <f t="shared" si="5"/>
        <v>0.25</v>
      </c>
      <c r="I99" s="69">
        <f>SUMIF(recipes!K:K,A99,recipes!R:R)</f>
        <v>0.49056570838274999</v>
      </c>
      <c r="J99" s="69">
        <f>SUMIF(recipes!K:K,A99,recipes!S:S)</f>
        <v>0</v>
      </c>
      <c r="K99" s="69">
        <f>SUMIF(recipes!K:K,A99,recipes!T:T)</f>
        <v>0</v>
      </c>
      <c r="L99" s="80">
        <f>COUNTIF(recipes!K:K,A99)</f>
        <v>1</v>
      </c>
    </row>
    <row r="100" spans="1:12" x14ac:dyDescent="0.2">
      <c r="A100" s="89" t="s">
        <v>157</v>
      </c>
      <c r="B100" s="70" t="s">
        <v>163</v>
      </c>
      <c r="C100" s="62" t="s">
        <v>46</v>
      </c>
      <c r="D100" s="61">
        <v>1</v>
      </c>
      <c r="E100" s="117">
        <v>0.161</v>
      </c>
      <c r="F100" s="117">
        <v>0.315</v>
      </c>
      <c r="G100" s="69">
        <f t="shared" si="4"/>
        <v>0.161</v>
      </c>
      <c r="H100" s="69">
        <f t="shared" si="5"/>
        <v>0.315</v>
      </c>
      <c r="I100" s="69">
        <f>SUMIF(recipes!K:K,A100,recipes!R:R)</f>
        <v>0.89444444444444438</v>
      </c>
      <c r="J100" s="69">
        <f>SUMIF(recipes!K:K,A100,recipes!S:S)</f>
        <v>0</v>
      </c>
      <c r="K100" s="69">
        <f>SUMIF(recipes!K:K,A100,recipes!T:T)</f>
        <v>0</v>
      </c>
      <c r="L100" s="80">
        <f>COUNTIF(recipes!K:K,A100)</f>
        <v>1</v>
      </c>
    </row>
    <row r="101" spans="1:12" ht="13.5" thickBot="1" x14ac:dyDescent="0.25">
      <c r="A101" s="89" t="s">
        <v>80</v>
      </c>
      <c r="B101" s="86" t="s">
        <v>163</v>
      </c>
      <c r="C101" s="81" t="s">
        <v>46</v>
      </c>
      <c r="D101" s="82">
        <v>1</v>
      </c>
      <c r="E101" s="118">
        <v>0.16900000000000001</v>
      </c>
      <c r="F101" s="118">
        <v>0.35</v>
      </c>
      <c r="G101" s="83">
        <f t="shared" si="4"/>
        <v>0.16900000000000001</v>
      </c>
      <c r="H101" s="83">
        <f t="shared" si="5"/>
        <v>0.35</v>
      </c>
      <c r="I101" s="83">
        <f>SUMIF(recipes!K:K,A101,recipes!R:R)</f>
        <v>0.84500000000000008</v>
      </c>
      <c r="J101" s="83">
        <f>SUMIF(recipes!K:K,A101,recipes!S:S)</f>
        <v>0</v>
      </c>
      <c r="K101" s="83">
        <f>SUMIF(recipes!K:K,A101,recipes!T:T)</f>
        <v>0</v>
      </c>
      <c r="L101" s="84">
        <f>COUNTIF(recipes!K:K,A101)</f>
        <v>1</v>
      </c>
    </row>
    <row r="102" spans="1:12" ht="13.5" thickBot="1" x14ac:dyDescent="0.25">
      <c r="A102" s="87" t="s">
        <v>36</v>
      </c>
      <c r="B102" s="72"/>
    </row>
  </sheetData>
  <sortState xmlns:xlrd2="http://schemas.microsoft.com/office/spreadsheetml/2017/richdata2" ref="A2:L101">
    <sortCondition ref="C2:C101"/>
    <sortCondition ref="A2:A101"/>
  </sortState>
  <conditionalFormatting sqref="L29:L31 L26:L27 L56 L34:L39 L41:L42 L46:L49">
    <cfRule type="cellIs" dxfId="37" priority="81" operator="equal">
      <formula>0</formula>
    </cfRule>
  </conditionalFormatting>
  <conditionalFormatting sqref="L28">
    <cfRule type="cellIs" dxfId="36" priority="79" operator="equal">
      <formula>0</formula>
    </cfRule>
  </conditionalFormatting>
  <conditionalFormatting sqref="L65">
    <cfRule type="cellIs" dxfId="35" priority="78" operator="equal">
      <formula>0</formula>
    </cfRule>
  </conditionalFormatting>
  <conditionalFormatting sqref="L25">
    <cfRule type="cellIs" dxfId="34" priority="77" operator="equal">
      <formula>0</formula>
    </cfRule>
  </conditionalFormatting>
  <conditionalFormatting sqref="L89">
    <cfRule type="cellIs" dxfId="33" priority="76" operator="equal">
      <formula>0</formula>
    </cfRule>
  </conditionalFormatting>
  <conditionalFormatting sqref="L57">
    <cfRule type="cellIs" dxfId="32" priority="75" operator="equal">
      <formula>0</formula>
    </cfRule>
  </conditionalFormatting>
  <conditionalFormatting sqref="L60">
    <cfRule type="cellIs" dxfId="31" priority="74" operator="equal">
      <formula>0</formula>
    </cfRule>
  </conditionalFormatting>
  <conditionalFormatting sqref="L43">
    <cfRule type="cellIs" dxfId="30" priority="71" operator="equal">
      <formula>0</formula>
    </cfRule>
  </conditionalFormatting>
  <conditionalFormatting sqref="L53">
    <cfRule type="cellIs" dxfId="29" priority="70" operator="equal">
      <formula>0</formula>
    </cfRule>
  </conditionalFormatting>
  <conditionalFormatting sqref="L58">
    <cfRule type="cellIs" dxfId="28" priority="69" operator="equal">
      <formula>0</formula>
    </cfRule>
  </conditionalFormatting>
  <conditionalFormatting sqref="L59">
    <cfRule type="cellIs" dxfId="27" priority="68" operator="equal">
      <formula>0</formula>
    </cfRule>
  </conditionalFormatting>
  <conditionalFormatting sqref="L33">
    <cfRule type="cellIs" dxfId="26" priority="67" operator="equal">
      <formula>0</formula>
    </cfRule>
  </conditionalFormatting>
  <conditionalFormatting sqref="L45">
    <cfRule type="cellIs" dxfId="25" priority="66" operator="equal">
      <formula>0</formula>
    </cfRule>
  </conditionalFormatting>
  <conditionalFormatting sqref="L32">
    <cfRule type="cellIs" dxfId="24" priority="65" operator="equal">
      <formula>0</formula>
    </cfRule>
  </conditionalFormatting>
  <conditionalFormatting sqref="L2:L11 L17:L39 L51:L53 L68:L101 L56:L66 L41:L49">
    <cfRule type="cellIs" dxfId="23" priority="47" operator="equal">
      <formula>0</formula>
    </cfRule>
  </conditionalFormatting>
  <conditionalFormatting sqref="L50">
    <cfRule type="cellIs" dxfId="22" priority="45" operator="equal">
      <formula>0</formula>
    </cfRule>
  </conditionalFormatting>
  <conditionalFormatting sqref="L50">
    <cfRule type="cellIs" dxfId="21" priority="43" operator="equal">
      <formula>0</formula>
    </cfRule>
  </conditionalFormatting>
  <conditionalFormatting sqref="L16">
    <cfRule type="cellIs" dxfId="20" priority="40" operator="equal">
      <formula>0</formula>
    </cfRule>
  </conditionalFormatting>
  <conditionalFormatting sqref="L16">
    <cfRule type="cellIs" dxfId="19" priority="38" operator="equal">
      <formula>0</formula>
    </cfRule>
  </conditionalFormatting>
  <conditionalFormatting sqref="L13">
    <cfRule type="cellIs" dxfId="18" priority="35" operator="equal">
      <formula>0</formula>
    </cfRule>
  </conditionalFormatting>
  <conditionalFormatting sqref="L13">
    <cfRule type="cellIs" dxfId="17" priority="33" operator="equal">
      <formula>0</formula>
    </cfRule>
  </conditionalFormatting>
  <conditionalFormatting sqref="L12">
    <cfRule type="cellIs" dxfId="16" priority="30" operator="equal">
      <formula>0</formula>
    </cfRule>
  </conditionalFormatting>
  <conditionalFormatting sqref="L12">
    <cfRule type="cellIs" dxfId="15" priority="28" operator="equal">
      <formula>0</formula>
    </cfRule>
  </conditionalFormatting>
  <conditionalFormatting sqref="L14">
    <cfRule type="cellIs" dxfId="14" priority="25" operator="equal">
      <formula>0</formula>
    </cfRule>
  </conditionalFormatting>
  <conditionalFormatting sqref="L14">
    <cfRule type="cellIs" dxfId="13" priority="23" operator="equal">
      <formula>0</formula>
    </cfRule>
  </conditionalFormatting>
  <conditionalFormatting sqref="L40">
    <cfRule type="cellIs" dxfId="12" priority="21" operator="equal">
      <formula>0</formula>
    </cfRule>
  </conditionalFormatting>
  <conditionalFormatting sqref="L40">
    <cfRule type="cellIs" dxfId="11" priority="19" operator="equal">
      <formula>0</formula>
    </cfRule>
  </conditionalFormatting>
  <conditionalFormatting sqref="L55">
    <cfRule type="cellIs" dxfId="10" priority="16" operator="equal">
      <formula>0</formula>
    </cfRule>
  </conditionalFormatting>
  <conditionalFormatting sqref="L55">
    <cfRule type="cellIs" dxfId="9" priority="14" operator="equal">
      <formula>0</formula>
    </cfRule>
  </conditionalFormatting>
  <conditionalFormatting sqref="L54">
    <cfRule type="cellIs" dxfId="8" priority="11" operator="equal">
      <formula>0</formula>
    </cfRule>
  </conditionalFormatting>
  <conditionalFormatting sqref="L54">
    <cfRule type="cellIs" dxfId="7" priority="9" operator="equal">
      <formula>0</formula>
    </cfRule>
  </conditionalFormatting>
  <conditionalFormatting sqref="L15">
    <cfRule type="cellIs" dxfId="6" priority="6" operator="equal">
      <formula>0</formula>
    </cfRule>
  </conditionalFormatting>
  <conditionalFormatting sqref="L15">
    <cfRule type="cellIs" dxfId="5" priority="4" operator="equal">
      <formula>0</formula>
    </cfRule>
  </conditionalFormatting>
  <conditionalFormatting sqref="G68:K101 G2:K66">
    <cfRule type="cellIs" dxfId="4" priority="3" operator="equal">
      <formula>0</formula>
    </cfRule>
  </conditionalFormatting>
  <conditionalFormatting sqref="L67">
    <cfRule type="cellIs" dxfId="3" priority="2" operator="equal">
      <formula>0</formula>
    </cfRule>
  </conditionalFormatting>
  <conditionalFormatting sqref="G67:K67">
    <cfRule type="cellIs" dxfId="2" priority="1" operator="equal">
      <formula>0</formula>
    </cfRule>
  </conditionalFormatting>
  <dataValidations count="2">
    <dataValidation type="list" showInputMessage="1" showErrorMessage="1" sqref="C2:C101" xr:uid="{124AB2BC-86CC-4B23-9BC2-BB9FD1721E5B}">
      <formula1>shoppingNames</formula1>
    </dataValidation>
    <dataValidation type="list" allowBlank="1" showInputMessage="1" showErrorMessage="1" sqref="B2:B101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Q114"/>
  <sheetViews>
    <sheetView tabSelected="1" zoomScale="85" zoomScaleNormal="85" workbookViewId="0">
      <selection activeCell="O25" sqref="O25"/>
    </sheetView>
  </sheetViews>
  <sheetFormatPr defaultRowHeight="12.75" x14ac:dyDescent="0.2"/>
  <cols>
    <col min="1" max="1" width="14.85546875" style="68" bestFit="1" customWidth="1"/>
    <col min="2" max="2" width="14.85546875" style="68" customWidth="1"/>
    <col min="3" max="3" width="23.42578125" style="68" bestFit="1" customWidth="1"/>
    <col min="4" max="4" width="10" style="68" hidden="1" customWidth="1"/>
    <col min="5" max="5" width="5.42578125" style="68" hidden="1" customWidth="1"/>
    <col min="6" max="6" width="8.140625" style="113" bestFit="1" customWidth="1"/>
    <col min="7" max="8" width="8.140625" style="74" bestFit="1" customWidth="1"/>
    <col min="9" max="9" width="38.140625" style="74" bestFit="1" customWidth="1"/>
    <col min="10" max="10" width="5.85546875" style="73" customWidth="1"/>
    <col min="11" max="11" width="8.28515625" style="73" customWidth="1"/>
    <col min="12" max="12" width="9.140625" style="68"/>
    <col min="13" max="13" width="15.28515625" style="68" bestFit="1" customWidth="1"/>
    <col min="14" max="14" width="9.140625" style="68"/>
    <col min="15" max="15" width="13.7109375" style="68" bestFit="1" customWidth="1"/>
    <col min="16" max="16384" width="9.140625" style="68"/>
  </cols>
  <sheetData>
    <row r="1" spans="1:17" ht="26.25" thickBot="1" x14ac:dyDescent="0.25">
      <c r="A1" s="92" t="s">
        <v>379</v>
      </c>
      <c r="B1" s="92" t="s">
        <v>534</v>
      </c>
      <c r="C1" s="63" t="s">
        <v>49</v>
      </c>
      <c r="D1" s="63" t="s">
        <v>430</v>
      </c>
      <c r="E1" s="63" t="s">
        <v>431</v>
      </c>
      <c r="F1" s="93" t="s">
        <v>84</v>
      </c>
      <c r="G1" s="66" t="s">
        <v>85</v>
      </c>
      <c r="H1" s="66" t="s">
        <v>83</v>
      </c>
      <c r="I1" s="66" t="s">
        <v>143</v>
      </c>
      <c r="J1" s="67" t="s">
        <v>337</v>
      </c>
      <c r="K1" s="67" t="s">
        <v>338</v>
      </c>
    </row>
    <row r="2" spans="1:17" x14ac:dyDescent="0.2">
      <c r="A2" s="126" t="s">
        <v>373</v>
      </c>
      <c r="B2" s="95" t="s">
        <v>530</v>
      </c>
      <c r="C2" s="122" t="s">
        <v>269</v>
      </c>
      <c r="D2" s="94">
        <v>1</v>
      </c>
      <c r="E2" s="95">
        <f>SUMIF(support!C:C,C2,support!I:I)</f>
        <v>0</v>
      </c>
      <c r="F2" s="96">
        <f t="shared" ref="F2:F44" si="0">E2 / D2</f>
        <v>0</v>
      </c>
      <c r="G2" s="97">
        <f>SUMIF(support!C:C,C2,support!J:J)</f>
        <v>0</v>
      </c>
      <c r="H2" s="97">
        <f>SUMIF(support!C:C,C2,support!K:K)</f>
        <v>0</v>
      </c>
      <c r="I2" s="95" t="s">
        <v>536</v>
      </c>
      <c r="J2" s="98">
        <f>SUMIF(support!C:C,C2,support!L:L)</f>
        <v>1</v>
      </c>
      <c r="K2" s="99" t="b">
        <f t="shared" ref="K2:K44" si="1">OR(COUNTIF(F2:H2, "&lt;&gt;0") &gt; 1, J2 = 0)</f>
        <v>0</v>
      </c>
      <c r="O2" s="43" t="s">
        <v>371</v>
      </c>
      <c r="Q2" s="43" t="s">
        <v>529</v>
      </c>
    </row>
    <row r="3" spans="1:17" x14ac:dyDescent="0.2">
      <c r="A3" s="127" t="s">
        <v>373</v>
      </c>
      <c r="B3" s="62" t="s">
        <v>530</v>
      </c>
      <c r="C3" s="2" t="s">
        <v>42</v>
      </c>
      <c r="D3" s="100">
        <v>1</v>
      </c>
      <c r="E3" s="69">
        <f>SUMIF(support!C:C,C3,support!I:I)</f>
        <v>4.8285</v>
      </c>
      <c r="F3" s="101">
        <f t="shared" si="0"/>
        <v>4.8285</v>
      </c>
      <c r="G3" s="102">
        <f>SUMIF(support!C:C,C3,support!J:J)</f>
        <v>0</v>
      </c>
      <c r="H3" s="102">
        <f>SUMIF(support!C:C,C3,support!K:K)</f>
        <v>0</v>
      </c>
      <c r="I3" s="69" t="s">
        <v>433</v>
      </c>
      <c r="J3" s="61">
        <f>SUMIF(support!C:C,C3,support!L:L)</f>
        <v>4</v>
      </c>
      <c r="K3" s="103" t="b">
        <f t="shared" si="1"/>
        <v>0</v>
      </c>
      <c r="O3" s="44" t="s">
        <v>372</v>
      </c>
      <c r="Q3" s="44" t="s">
        <v>530</v>
      </c>
    </row>
    <row r="4" spans="1:17" x14ac:dyDescent="0.2">
      <c r="A4" s="127" t="s">
        <v>374</v>
      </c>
      <c r="B4" s="62" t="s">
        <v>530</v>
      </c>
      <c r="C4" s="2" t="s">
        <v>441</v>
      </c>
      <c r="D4" s="100">
        <v>1</v>
      </c>
      <c r="E4" s="69">
        <f>SUMIF(support!C:C,C4,support!I:I)</f>
        <v>1.4849999999999999</v>
      </c>
      <c r="F4" s="101">
        <f t="shared" si="0"/>
        <v>1.4849999999999999</v>
      </c>
      <c r="G4" s="102">
        <f>SUMIF(support!C:C,C4,support!J:J)</f>
        <v>0</v>
      </c>
      <c r="H4" s="102">
        <f>SUMIF(support!C:C,C4,support!K:K)</f>
        <v>0</v>
      </c>
      <c r="I4" s="69"/>
      <c r="J4" s="61">
        <f>SUMIF(support!C:C,C4,support!L:L)</f>
        <v>1</v>
      </c>
      <c r="K4" s="103" t="b">
        <f t="shared" si="1"/>
        <v>0</v>
      </c>
      <c r="O4" s="44" t="s">
        <v>373</v>
      </c>
      <c r="Q4" s="44" t="s">
        <v>531</v>
      </c>
    </row>
    <row r="5" spans="1:17" x14ac:dyDescent="0.2">
      <c r="A5" s="127" t="s">
        <v>374</v>
      </c>
      <c r="B5" s="62" t="s">
        <v>530</v>
      </c>
      <c r="C5" s="2" t="s">
        <v>159</v>
      </c>
      <c r="D5" s="100">
        <v>1</v>
      </c>
      <c r="E5" s="69">
        <f>SUMIF(support!C:C,C5,support!I:I)</f>
        <v>1.98</v>
      </c>
      <c r="F5" s="101">
        <f t="shared" si="0"/>
        <v>1.98</v>
      </c>
      <c r="G5" s="102">
        <f>SUMIF(support!C:C,C5,support!J:J)</f>
        <v>0</v>
      </c>
      <c r="H5" s="102">
        <f>SUMIF(support!C:C,C5,support!K:K)</f>
        <v>0</v>
      </c>
      <c r="I5" s="69"/>
      <c r="J5" s="61">
        <f>SUMIF(support!C:C,C5,support!L:L)</f>
        <v>1</v>
      </c>
      <c r="K5" s="103" t="b">
        <f t="shared" si="1"/>
        <v>0</v>
      </c>
      <c r="O5" s="44" t="s">
        <v>378</v>
      </c>
      <c r="Q5" s="44" t="s">
        <v>532</v>
      </c>
    </row>
    <row r="6" spans="1:17" ht="13.5" thickBot="1" x14ac:dyDescent="0.25">
      <c r="A6" s="127" t="s">
        <v>374</v>
      </c>
      <c r="B6" s="62" t="s">
        <v>530</v>
      </c>
      <c r="C6" s="2" t="s">
        <v>420</v>
      </c>
      <c r="D6" s="100">
        <v>1</v>
      </c>
      <c r="E6" s="69">
        <f>SUMIF(support!C:C,C6,support!I:I)</f>
        <v>0.75</v>
      </c>
      <c r="F6" s="101">
        <f t="shared" si="0"/>
        <v>0.75</v>
      </c>
      <c r="G6" s="102">
        <f>SUMIF(support!C:C,C6,support!J:J)</f>
        <v>0</v>
      </c>
      <c r="H6" s="102">
        <f>SUMIF(support!C:C,C6,support!K:K)</f>
        <v>0</v>
      </c>
      <c r="I6" s="69"/>
      <c r="J6" s="61">
        <f>SUMIF(support!C:C,C6,support!L:L)</f>
        <v>1</v>
      </c>
      <c r="K6" s="103" t="b">
        <f t="shared" si="1"/>
        <v>0</v>
      </c>
      <c r="O6" s="44" t="s">
        <v>377</v>
      </c>
      <c r="Q6" s="71" t="s">
        <v>533</v>
      </c>
    </row>
    <row r="7" spans="1:17" x14ac:dyDescent="0.2">
      <c r="A7" s="127" t="s">
        <v>374</v>
      </c>
      <c r="B7" s="62" t="s">
        <v>530</v>
      </c>
      <c r="C7" s="2" t="s">
        <v>434</v>
      </c>
      <c r="D7" s="100">
        <v>1</v>
      </c>
      <c r="E7" s="69">
        <f>SUMIF(support!C:C,C7,support!I:I)</f>
        <v>0</v>
      </c>
      <c r="F7" s="101">
        <f t="shared" si="0"/>
        <v>0</v>
      </c>
      <c r="G7" s="102">
        <f>SUMIF(support!C:C,C7,support!J:J)</f>
        <v>15.458675372910001</v>
      </c>
      <c r="H7" s="102">
        <f>SUMIF(support!C:C,C7,support!K:K)</f>
        <v>0</v>
      </c>
      <c r="I7" s="104" t="s">
        <v>539</v>
      </c>
      <c r="J7" s="61">
        <f>SUMIF(support!C:C,C7,support!L:L)</f>
        <v>1</v>
      </c>
      <c r="K7" s="103" t="b">
        <f t="shared" si="1"/>
        <v>0</v>
      </c>
      <c r="O7" s="44" t="s">
        <v>374</v>
      </c>
    </row>
    <row r="8" spans="1:17" ht="13.5" thickBot="1" x14ac:dyDescent="0.25">
      <c r="A8" s="127" t="s">
        <v>374</v>
      </c>
      <c r="B8" s="62" t="s">
        <v>530</v>
      </c>
      <c r="C8" s="2" t="s">
        <v>442</v>
      </c>
      <c r="D8" s="100">
        <v>1</v>
      </c>
      <c r="E8" s="69">
        <f>SUMIF(support!C:C,C8,support!I:I)</f>
        <v>1.0349999999999999</v>
      </c>
      <c r="F8" s="101">
        <f t="shared" si="0"/>
        <v>1.0349999999999999</v>
      </c>
      <c r="G8" s="102">
        <f>SUMIF(support!C:C,C8,support!J:J)</f>
        <v>0</v>
      </c>
      <c r="H8" s="102">
        <f>SUMIF(support!C:C,C8,support!K:K)</f>
        <v>0</v>
      </c>
      <c r="I8" s="69"/>
      <c r="J8" s="61">
        <f>SUMIF(support!C:C,C8,support!L:L)</f>
        <v>1</v>
      </c>
      <c r="K8" s="103" t="b">
        <f t="shared" si="1"/>
        <v>0</v>
      </c>
      <c r="O8" s="114" t="s">
        <v>375</v>
      </c>
    </row>
    <row r="9" spans="1:17" ht="13.5" thickBot="1" x14ac:dyDescent="0.25">
      <c r="A9" s="127" t="s">
        <v>374</v>
      </c>
      <c r="B9" s="62" t="s">
        <v>530</v>
      </c>
      <c r="C9" s="2" t="s">
        <v>438</v>
      </c>
      <c r="D9" s="100">
        <v>1</v>
      </c>
      <c r="E9" s="69">
        <f>SUMIF(support!C:C,C9,support!I:I)</f>
        <v>0</v>
      </c>
      <c r="F9" s="101">
        <f t="shared" si="0"/>
        <v>0</v>
      </c>
      <c r="G9" s="102">
        <f>SUMIF(support!C:C,C9,support!J:J)</f>
        <v>0</v>
      </c>
      <c r="H9" s="102">
        <f>SUMIF(support!C:C,C9,support!K:K)</f>
        <v>65</v>
      </c>
      <c r="I9" s="69" t="s">
        <v>497</v>
      </c>
      <c r="J9" s="61">
        <f>SUMIF(support!C:C,C9,support!L:L)</f>
        <v>1</v>
      </c>
      <c r="K9" s="103" t="b">
        <f t="shared" si="1"/>
        <v>0</v>
      </c>
      <c r="O9" s="71" t="s">
        <v>376</v>
      </c>
    </row>
    <row r="10" spans="1:17" x14ac:dyDescent="0.2">
      <c r="A10" s="127" t="s">
        <v>374</v>
      </c>
      <c r="B10" s="62" t="s">
        <v>530</v>
      </c>
      <c r="C10" s="2" t="s">
        <v>437</v>
      </c>
      <c r="D10" s="100">
        <v>1</v>
      </c>
      <c r="E10" s="69">
        <f>SUMIF(support!C:C,C10,support!I:I)</f>
        <v>0</v>
      </c>
      <c r="F10" s="101">
        <f t="shared" si="0"/>
        <v>0</v>
      </c>
      <c r="G10" s="102">
        <f>SUMIF(support!C:C,C10,support!J:J)</f>
        <v>0</v>
      </c>
      <c r="H10" s="102">
        <f>SUMIF(support!C:C,C10,support!K:K)</f>
        <v>145</v>
      </c>
      <c r="I10" s="69" t="s">
        <v>497</v>
      </c>
      <c r="J10" s="61">
        <f>SUMIF(support!C:C,C10,support!L:L)</f>
        <v>1</v>
      </c>
      <c r="K10" s="103" t="b">
        <f t="shared" si="1"/>
        <v>0</v>
      </c>
    </row>
    <row r="11" spans="1:17" x14ac:dyDescent="0.2">
      <c r="A11" s="127" t="s">
        <v>371</v>
      </c>
      <c r="B11" s="62" t="s">
        <v>532</v>
      </c>
      <c r="C11" s="2" t="s">
        <v>370</v>
      </c>
      <c r="D11" s="100">
        <v>1</v>
      </c>
      <c r="E11" s="69">
        <f>SUMIF(support!C:C,C11,support!I:I)</f>
        <v>0</v>
      </c>
      <c r="F11" s="101">
        <f t="shared" si="0"/>
        <v>0</v>
      </c>
      <c r="G11" s="102">
        <f>SUMIF(support!C:C,C11,support!J:J)</f>
        <v>0.94635294599999997</v>
      </c>
      <c r="H11" s="102">
        <f>SUMIF(support!C:C,C11,support!K:K)</f>
        <v>0</v>
      </c>
      <c r="I11" s="69"/>
      <c r="J11" s="61">
        <f>SUMIF(support!C:C,C11,support!L:L)</f>
        <v>1</v>
      </c>
      <c r="K11" s="103" t="b">
        <f t="shared" si="1"/>
        <v>0</v>
      </c>
    </row>
    <row r="12" spans="1:17" x14ac:dyDescent="0.2">
      <c r="A12" s="127" t="s">
        <v>378</v>
      </c>
      <c r="B12" s="62" t="s">
        <v>532</v>
      </c>
      <c r="C12" s="2" t="s">
        <v>51</v>
      </c>
      <c r="D12" s="100">
        <v>1</v>
      </c>
      <c r="E12" s="69">
        <f>SUMIF(support!C:C,C12,support!I:I)</f>
        <v>0</v>
      </c>
      <c r="F12" s="101">
        <f t="shared" si="0"/>
        <v>0</v>
      </c>
      <c r="G12" s="102">
        <f>SUMIF(support!C:C,C12,support!J:J)</f>
        <v>5.9147059124999998E-2</v>
      </c>
      <c r="H12" s="102">
        <f>SUMIF(support!C:C,C12,support!K:K)</f>
        <v>0</v>
      </c>
      <c r="I12" s="69"/>
      <c r="J12" s="61">
        <f>SUMIF(support!C:C,C12,support!L:L)</f>
        <v>1</v>
      </c>
      <c r="K12" s="103" t="b">
        <f t="shared" si="1"/>
        <v>0</v>
      </c>
    </row>
    <row r="13" spans="1:17" x14ac:dyDescent="0.2">
      <c r="A13" s="127" t="s">
        <v>378</v>
      </c>
      <c r="B13" s="62" t="s">
        <v>532</v>
      </c>
      <c r="C13" s="2" t="s">
        <v>40</v>
      </c>
      <c r="D13" s="100">
        <v>1</v>
      </c>
      <c r="E13" s="69">
        <f>SUMIF(support!C:C,C13,support!I:I)</f>
        <v>0</v>
      </c>
      <c r="F13" s="101">
        <f t="shared" si="0"/>
        <v>0</v>
      </c>
      <c r="G13" s="102">
        <f>SUMIF(support!C:C,C13,support!J:J)</f>
        <v>10.169529419</v>
      </c>
      <c r="H13" s="102">
        <f>SUMIF(support!C:C,C13,support!K:K)</f>
        <v>0</v>
      </c>
      <c r="I13" s="69"/>
      <c r="J13" s="61">
        <f>SUMIF(support!C:C,C13,support!L:L)</f>
        <v>5</v>
      </c>
      <c r="K13" s="103" t="b">
        <f t="shared" si="1"/>
        <v>0</v>
      </c>
    </row>
    <row r="14" spans="1:17" x14ac:dyDescent="0.2">
      <c r="A14" s="127" t="s">
        <v>375</v>
      </c>
      <c r="B14" s="62" t="s">
        <v>531</v>
      </c>
      <c r="C14" s="2" t="s">
        <v>344</v>
      </c>
      <c r="D14" s="100">
        <v>1</v>
      </c>
      <c r="E14" s="69">
        <f>SUMIF(support!C:C,C14,support!I:I)</f>
        <v>0</v>
      </c>
      <c r="F14" s="101">
        <f t="shared" si="0"/>
        <v>0</v>
      </c>
      <c r="G14" s="102">
        <f>SUMIF(support!C:C,C14,support!J:J)</f>
        <v>0</v>
      </c>
      <c r="H14" s="102">
        <f>SUMIF(support!C:C,C14,support!K:K)</f>
        <v>57</v>
      </c>
      <c r="I14" s="104" t="s">
        <v>457</v>
      </c>
      <c r="J14" s="61">
        <f>SUMIF(support!C:C,C14,support!L:L)</f>
        <v>2</v>
      </c>
      <c r="K14" s="103" t="b">
        <f t="shared" si="1"/>
        <v>0</v>
      </c>
      <c r="L14" s="68" t="s">
        <v>531</v>
      </c>
      <c r="M14" s="68" t="s">
        <v>344</v>
      </c>
      <c r="N14" s="68">
        <f>CEILING(H14 * 1.1, 1)</f>
        <v>63</v>
      </c>
    </row>
    <row r="15" spans="1:17" x14ac:dyDescent="0.2">
      <c r="A15" s="127" t="s">
        <v>375</v>
      </c>
      <c r="B15" s="62" t="s">
        <v>531</v>
      </c>
      <c r="C15" s="2" t="s">
        <v>345</v>
      </c>
      <c r="D15" s="100">
        <v>1</v>
      </c>
      <c r="E15" s="69">
        <f>SUMIF(support!C:C,C15,support!I:I)</f>
        <v>0</v>
      </c>
      <c r="F15" s="101">
        <f t="shared" si="0"/>
        <v>0</v>
      </c>
      <c r="G15" s="102">
        <f>SUMIF(support!C:C,C15,support!J:J)</f>
        <v>0</v>
      </c>
      <c r="H15" s="102">
        <f>SUMIF(support!C:C,C15,support!K:K)</f>
        <v>18</v>
      </c>
      <c r="I15" s="69"/>
      <c r="J15" s="61">
        <f>SUMIF(support!C:C,C15,support!L:L)</f>
        <v>1</v>
      </c>
      <c r="K15" s="103" t="b">
        <f t="shared" si="1"/>
        <v>0</v>
      </c>
      <c r="M15" s="68" t="s">
        <v>345</v>
      </c>
      <c r="N15" s="68">
        <f>CEILING(H15 * 1.1, 1)</f>
        <v>20</v>
      </c>
    </row>
    <row r="16" spans="1:17" x14ac:dyDescent="0.2">
      <c r="A16" s="127" t="s">
        <v>375</v>
      </c>
      <c r="B16" s="62" t="s">
        <v>531</v>
      </c>
      <c r="C16" s="2" t="s">
        <v>2</v>
      </c>
      <c r="D16" s="100">
        <f>273 / 524</f>
        <v>0.52099236641221369</v>
      </c>
      <c r="E16" s="69">
        <f>SUMIF(support!C:C,C16,support!I:I)</f>
        <v>1.4538417960078407</v>
      </c>
      <c r="F16" s="101">
        <f t="shared" si="0"/>
        <v>2.7905241798831817</v>
      </c>
      <c r="G16" s="102">
        <f>SUMIF(support!C:C,C16,support!J:J)</f>
        <v>0</v>
      </c>
      <c r="H16" s="102">
        <f>SUMIF(support!C:C,C16,support!K:K)</f>
        <v>0</v>
      </c>
      <c r="I16" s="69"/>
      <c r="J16" s="61">
        <f>SUMIF(support!C:C,C16,support!L:L)</f>
        <v>3</v>
      </c>
      <c r="K16" s="103" t="b">
        <f t="shared" si="1"/>
        <v>0</v>
      </c>
      <c r="M16" s="68" t="s">
        <v>2</v>
      </c>
      <c r="O16" s="68">
        <f>CEILING(F16 * 1.1, 0.1)</f>
        <v>3.1</v>
      </c>
      <c r="P16" s="68" t="s">
        <v>12</v>
      </c>
    </row>
    <row r="17" spans="1:16" x14ac:dyDescent="0.2">
      <c r="A17" s="127" t="s">
        <v>375</v>
      </c>
      <c r="B17" s="62" t="s">
        <v>531</v>
      </c>
      <c r="C17" s="2" t="s">
        <v>43</v>
      </c>
      <c r="D17" s="100">
        <v>1</v>
      </c>
      <c r="E17" s="69">
        <f>SUMIF(support!C:C,C17,support!I:I)</f>
        <v>8.23335821141713</v>
      </c>
      <c r="F17" s="101">
        <f t="shared" si="0"/>
        <v>8.23335821141713</v>
      </c>
      <c r="G17" s="102">
        <f>SUMIF(support!C:C,C17,support!J:J)</f>
        <v>0</v>
      </c>
      <c r="H17" s="102">
        <f>SUMIF(support!C:C,C17,support!K:K)</f>
        <v>0</v>
      </c>
      <c r="I17" s="69"/>
      <c r="J17" s="61">
        <f>SUMIF(support!C:C,C17,support!L:L)</f>
        <v>9</v>
      </c>
      <c r="K17" s="103" t="b">
        <f t="shared" si="1"/>
        <v>0</v>
      </c>
      <c r="M17" s="68" t="s">
        <v>43</v>
      </c>
      <c r="O17" s="68">
        <f>CEILING(F17 * 1.1, 0.1)</f>
        <v>9.1</v>
      </c>
      <c r="P17" s="68" t="s">
        <v>12</v>
      </c>
    </row>
    <row r="18" spans="1:16" x14ac:dyDescent="0.2">
      <c r="A18" s="127" t="s">
        <v>375</v>
      </c>
      <c r="B18" s="62" t="s">
        <v>531</v>
      </c>
      <c r="C18" s="2" t="s">
        <v>129</v>
      </c>
      <c r="D18" s="100">
        <f xml:space="preserve"> 689 / 874</f>
        <v>0.78832951945080088</v>
      </c>
      <c r="E18" s="69">
        <f>SUMIF(support!C:C,C18,support!I:I)</f>
        <v>1.9919561117972155</v>
      </c>
      <c r="F18" s="101">
        <f t="shared" si="0"/>
        <v>2.5268064466048861</v>
      </c>
      <c r="G18" s="102">
        <f>SUMIF(support!C:C,C18,support!J:J)</f>
        <v>0</v>
      </c>
      <c r="H18" s="102">
        <f>SUMIF(support!C:C,C18,support!K:K)</f>
        <v>0</v>
      </c>
      <c r="I18" s="69"/>
      <c r="J18" s="61">
        <f>SUMIF(support!C:C,C18,support!L:L)</f>
        <v>3</v>
      </c>
      <c r="K18" s="103" t="b">
        <f t="shared" si="1"/>
        <v>0</v>
      </c>
      <c r="M18" s="68" t="s">
        <v>129</v>
      </c>
      <c r="O18" s="68">
        <f>CEILING(F18 * 1.1, 0.1)</f>
        <v>2.8000000000000003</v>
      </c>
      <c r="P18" s="68" t="s">
        <v>12</v>
      </c>
    </row>
    <row r="19" spans="1:16" x14ac:dyDescent="0.2">
      <c r="A19" s="127" t="s">
        <v>375</v>
      </c>
      <c r="B19" s="62" t="s">
        <v>531</v>
      </c>
      <c r="C19" s="2" t="s">
        <v>423</v>
      </c>
      <c r="D19" s="100">
        <v>1</v>
      </c>
      <c r="E19" s="69">
        <f>SUMIF(support!C:C,C19,support!I:I)</f>
        <v>4.2185116436049999</v>
      </c>
      <c r="F19" s="101">
        <f t="shared" si="0"/>
        <v>4.2185116436049999</v>
      </c>
      <c r="G19" s="102">
        <f>SUMIF(support!C:C,C19,support!J:J)</f>
        <v>0</v>
      </c>
      <c r="H19" s="102">
        <f>SUMIF(support!C:C,C19,support!K:K)</f>
        <v>0</v>
      </c>
      <c r="I19" s="69" t="s">
        <v>424</v>
      </c>
      <c r="J19" s="61">
        <f>SUMIF(support!C:C,C19,support!L:L)</f>
        <v>8</v>
      </c>
      <c r="K19" s="103" t="b">
        <f t="shared" si="1"/>
        <v>0</v>
      </c>
      <c r="M19" s="68" t="s">
        <v>546</v>
      </c>
      <c r="O19" s="68">
        <f>CEILING(F19 * 1.1, 0.1)</f>
        <v>4.7</v>
      </c>
      <c r="P19" s="68" t="s">
        <v>12</v>
      </c>
    </row>
    <row r="20" spans="1:16" x14ac:dyDescent="0.2">
      <c r="A20" s="127" t="s">
        <v>375</v>
      </c>
      <c r="B20" s="62" t="s">
        <v>531</v>
      </c>
      <c r="C20" s="2" t="s">
        <v>128</v>
      </c>
      <c r="D20" s="100">
        <v>1</v>
      </c>
      <c r="E20" s="69">
        <f>SUMIF(support!C:C,C20,support!I:I)</f>
        <v>0</v>
      </c>
      <c r="F20" s="101">
        <f t="shared" si="0"/>
        <v>0</v>
      </c>
      <c r="G20" s="102">
        <f>SUMIF(support!C:C,C20,support!J:J)</f>
        <v>0</v>
      </c>
      <c r="H20" s="102">
        <f>SUMIF(support!C:C,C20,support!K:K)</f>
        <v>3.9000000000000004</v>
      </c>
      <c r="I20" s="69"/>
      <c r="J20" s="61">
        <f>SUMIF(support!C:C,C20,support!L:L)</f>
        <v>1</v>
      </c>
      <c r="K20" s="103" t="b">
        <f t="shared" si="1"/>
        <v>0</v>
      </c>
      <c r="M20" s="68" t="s">
        <v>128</v>
      </c>
      <c r="N20" s="68">
        <f>CEILING(H20 * 1.1, 1)</f>
        <v>5</v>
      </c>
    </row>
    <row r="21" spans="1:16" x14ac:dyDescent="0.2">
      <c r="A21" s="127" t="s">
        <v>375</v>
      </c>
      <c r="B21" s="62" t="s">
        <v>531</v>
      </c>
      <c r="C21" s="2" t="s">
        <v>527</v>
      </c>
      <c r="D21" s="100">
        <v>1</v>
      </c>
      <c r="E21" s="69">
        <f>SUMIF(support!C:C,C21,support!I:I)</f>
        <v>0</v>
      </c>
      <c r="F21" s="101">
        <f t="shared" si="0"/>
        <v>0</v>
      </c>
      <c r="G21" s="102">
        <f>SUMIF(support!C:C,C21,support!J:J)</f>
        <v>9.6113971078124999E-2</v>
      </c>
      <c r="H21" s="102">
        <f>SUMIF(support!C:C,C21,support!K:K)</f>
        <v>0</v>
      </c>
      <c r="I21" s="104" t="s">
        <v>528</v>
      </c>
      <c r="J21" s="61">
        <f>SUMIF(support!C:C,C21,support!L:L)</f>
        <v>3</v>
      </c>
      <c r="K21" s="103" t="b">
        <f t="shared" si="1"/>
        <v>0</v>
      </c>
      <c r="M21" s="68" t="s">
        <v>550</v>
      </c>
      <c r="N21" s="68">
        <v>3</v>
      </c>
    </row>
    <row r="22" spans="1:16" x14ac:dyDescent="0.2">
      <c r="A22" s="127" t="s">
        <v>375</v>
      </c>
      <c r="B22" s="62" t="s">
        <v>531</v>
      </c>
      <c r="C22" s="2" t="s">
        <v>8</v>
      </c>
      <c r="D22" s="100">
        <v>1</v>
      </c>
      <c r="E22" s="69">
        <f>SUMIF(support!C:C,C22,support!I:I)</f>
        <v>0</v>
      </c>
      <c r="F22" s="101">
        <f t="shared" si="0"/>
        <v>0</v>
      </c>
      <c r="G22" s="102">
        <f>SUMIF(support!C:C,C22,support!J:J)</f>
        <v>0</v>
      </c>
      <c r="H22" s="102">
        <f>SUMIF(support!C:C,C22,support!K:K)</f>
        <v>27.5</v>
      </c>
      <c r="I22" s="104" t="s">
        <v>540</v>
      </c>
      <c r="J22" s="61">
        <f>SUMIF(support!C:C,C22,support!L:L)</f>
        <v>5</v>
      </c>
      <c r="K22" s="103" t="b">
        <f t="shared" si="1"/>
        <v>0</v>
      </c>
      <c r="M22" s="68" t="s">
        <v>545</v>
      </c>
      <c r="N22" s="68">
        <v>4</v>
      </c>
    </row>
    <row r="23" spans="1:16" x14ac:dyDescent="0.2">
      <c r="A23" s="127" t="s">
        <v>375</v>
      </c>
      <c r="B23" s="62" t="s">
        <v>531</v>
      </c>
      <c r="C23" s="2" t="s">
        <v>47</v>
      </c>
      <c r="D23" s="100">
        <v>1</v>
      </c>
      <c r="E23" s="69">
        <f>SUMIF(support!C:C,C23,support!I:I)</f>
        <v>0.36771953846783523</v>
      </c>
      <c r="F23" s="101">
        <f t="shared" si="0"/>
        <v>0.36771953846783523</v>
      </c>
      <c r="G23" s="102">
        <f>SUMIF(support!C:C,C23,support!J:J)</f>
        <v>0</v>
      </c>
      <c r="H23" s="102">
        <f>SUMIF(support!C:C,C23,support!K:K)</f>
        <v>0</v>
      </c>
      <c r="I23" s="69"/>
      <c r="J23" s="61">
        <f>SUMIF(support!C:C,C23,support!L:L)</f>
        <v>8</v>
      </c>
      <c r="K23" s="103" t="b">
        <f t="shared" si="1"/>
        <v>0</v>
      </c>
      <c r="M23" s="68" t="s">
        <v>47</v>
      </c>
      <c r="O23" s="68">
        <f>CEILING(F23 * 1.1, 0.1)</f>
        <v>0.5</v>
      </c>
      <c r="P23" s="68" t="s">
        <v>12</v>
      </c>
    </row>
    <row r="24" spans="1:16" x14ac:dyDescent="0.2">
      <c r="A24" s="127" t="s">
        <v>375</v>
      </c>
      <c r="B24" s="62" t="s">
        <v>531</v>
      </c>
      <c r="C24" s="2" t="s">
        <v>351</v>
      </c>
      <c r="D24" s="100">
        <v>1</v>
      </c>
      <c r="E24" s="69">
        <f>SUMIF(support!C:C,C24,support!I:I)</f>
        <v>0</v>
      </c>
      <c r="F24" s="101">
        <f t="shared" si="0"/>
        <v>0</v>
      </c>
      <c r="G24" s="102">
        <f>SUMIF(support!C:C,C24,support!J:J)</f>
        <v>0</v>
      </c>
      <c r="H24" s="102">
        <f>SUMIF(support!C:C,C24,support!K:K)</f>
        <v>0</v>
      </c>
      <c r="I24" s="69" t="s">
        <v>350</v>
      </c>
      <c r="J24" s="61">
        <f>SUMIF(support!C:C,C24,support!L:L)</f>
        <v>1</v>
      </c>
      <c r="K24" s="103" t="b">
        <f t="shared" si="1"/>
        <v>0</v>
      </c>
      <c r="M24" s="68" t="s">
        <v>549</v>
      </c>
    </row>
    <row r="25" spans="1:16" x14ac:dyDescent="0.2">
      <c r="A25" s="127" t="s">
        <v>375</v>
      </c>
      <c r="B25" s="62" t="s">
        <v>531</v>
      </c>
      <c r="C25" s="2" t="s">
        <v>130</v>
      </c>
      <c r="D25" s="100">
        <f>155 / 189</f>
        <v>0.82010582010582012</v>
      </c>
      <c r="E25" s="69">
        <f>SUMIF(support!C:C,C25,support!I:I)</f>
        <v>0.49059999274224286</v>
      </c>
      <c r="F25" s="101">
        <f t="shared" si="0"/>
        <v>0.59821547502118644</v>
      </c>
      <c r="G25" s="102">
        <f>SUMIF(support!C:C,C25,support!J:J)</f>
        <v>0</v>
      </c>
      <c r="H25" s="102">
        <f>SUMIF(support!C:C,C25,support!K:K)</f>
        <v>0</v>
      </c>
      <c r="I25" s="69"/>
      <c r="J25" s="61">
        <f>SUMIF(support!C:C,C25,support!L:L)</f>
        <v>1</v>
      </c>
      <c r="K25" s="103" t="b">
        <f t="shared" si="1"/>
        <v>0</v>
      </c>
      <c r="M25" s="68" t="s">
        <v>130</v>
      </c>
      <c r="O25" s="68">
        <f>CEILING(F25 * 1.1, 0.1)</f>
        <v>0.70000000000000007</v>
      </c>
      <c r="P25" s="68" t="s">
        <v>12</v>
      </c>
    </row>
    <row r="26" spans="1:16" x14ac:dyDescent="0.2">
      <c r="A26" s="127" t="s">
        <v>375</v>
      </c>
      <c r="B26" s="62" t="s">
        <v>531</v>
      </c>
      <c r="C26" s="2" t="s">
        <v>3</v>
      </c>
      <c r="D26" s="100">
        <v>1</v>
      </c>
      <c r="E26" s="69">
        <f>SUMIF(support!C:C,C26,support!I:I)</f>
        <v>5.5539693001692401</v>
      </c>
      <c r="F26" s="101">
        <f t="shared" si="0"/>
        <v>5.5539693001692401</v>
      </c>
      <c r="G26" s="102">
        <f>SUMIF(support!C:C,C26,support!J:J)</f>
        <v>0</v>
      </c>
      <c r="H26" s="102">
        <f>SUMIF(support!C:C,C26,support!K:K)</f>
        <v>0</v>
      </c>
      <c r="I26" s="69"/>
      <c r="J26" s="61">
        <f>SUMIF(support!C:C,C26,support!L:L)</f>
        <v>4</v>
      </c>
      <c r="K26" s="103" t="b">
        <f t="shared" si="1"/>
        <v>0</v>
      </c>
      <c r="M26" s="68" t="s">
        <v>3</v>
      </c>
      <c r="O26" s="68">
        <f>CEILING(F26 * 1.1, 0.1)</f>
        <v>6.2</v>
      </c>
      <c r="P26" s="68" t="s">
        <v>12</v>
      </c>
    </row>
    <row r="27" spans="1:16" x14ac:dyDescent="0.2">
      <c r="A27" s="127" t="s">
        <v>375</v>
      </c>
      <c r="B27" s="62" t="s">
        <v>531</v>
      </c>
      <c r="C27" s="2" t="s">
        <v>127</v>
      </c>
      <c r="D27" s="100">
        <v>1</v>
      </c>
      <c r="E27" s="69">
        <f>SUMIF(support!C:C,C27,support!I:I)</f>
        <v>0</v>
      </c>
      <c r="F27" s="101">
        <f t="shared" si="0"/>
        <v>0</v>
      </c>
      <c r="G27" s="102">
        <f>SUMIF(support!C:C,C27,support!J:J)</f>
        <v>0</v>
      </c>
      <c r="H27" s="102">
        <f>SUMIF(support!C:C,C27,support!K:K)</f>
        <v>4.25</v>
      </c>
      <c r="I27" s="69"/>
      <c r="J27" s="61">
        <f>SUMIF(support!C:C,C27,support!L:L)</f>
        <v>2</v>
      </c>
      <c r="K27" s="103" t="b">
        <f t="shared" si="1"/>
        <v>0</v>
      </c>
      <c r="M27" s="68" t="s">
        <v>127</v>
      </c>
      <c r="N27" s="68">
        <f>CEILING(H27 * 1.1, 1)</f>
        <v>5</v>
      </c>
    </row>
    <row r="28" spans="1:16" x14ac:dyDescent="0.2">
      <c r="A28" s="127" t="s">
        <v>375</v>
      </c>
      <c r="B28" s="62" t="s">
        <v>531</v>
      </c>
      <c r="C28" s="2" t="s">
        <v>131</v>
      </c>
      <c r="D28" s="100">
        <v>1</v>
      </c>
      <c r="E28" s="69">
        <f>SUMIF(support!C:C,C28,support!I:I)</f>
        <v>0</v>
      </c>
      <c r="F28" s="101">
        <f t="shared" si="0"/>
        <v>0</v>
      </c>
      <c r="G28" s="102">
        <f>SUMIF(support!C:C,C28,support!J:J)</f>
        <v>0</v>
      </c>
      <c r="H28" s="102">
        <f>SUMIF(support!C:C,C28,support!K:K)</f>
        <v>7.8000000000000007</v>
      </c>
      <c r="I28" s="69"/>
      <c r="J28" s="61">
        <f>SUMIF(support!C:C,C28,support!L:L)</f>
        <v>1</v>
      </c>
      <c r="K28" s="103" t="b">
        <f t="shared" si="1"/>
        <v>0</v>
      </c>
      <c r="M28" s="68" t="s">
        <v>131</v>
      </c>
      <c r="N28" s="68">
        <f>CEILING(H28 * 1.1, 1)</f>
        <v>9</v>
      </c>
    </row>
    <row r="29" spans="1:16" x14ac:dyDescent="0.2">
      <c r="A29" s="127" t="s">
        <v>375</v>
      </c>
      <c r="B29" s="62" t="s">
        <v>531</v>
      </c>
      <c r="C29" s="2" t="s">
        <v>44</v>
      </c>
      <c r="D29" s="100">
        <v>1</v>
      </c>
      <c r="E29" s="69">
        <f>SUMIF(support!C:C,C29,support!I:I)</f>
        <v>1.64133089071875</v>
      </c>
      <c r="F29" s="101">
        <f t="shared" si="0"/>
        <v>1.64133089071875</v>
      </c>
      <c r="G29" s="102">
        <f>SUMIF(support!C:C,C29,support!J:J)</f>
        <v>0</v>
      </c>
      <c r="H29" s="102">
        <f>SUMIF(support!C:C,C29,support!K:K)</f>
        <v>0</v>
      </c>
      <c r="I29" s="69"/>
      <c r="J29" s="61">
        <f>SUMIF(support!C:C,C29,support!L:L)</f>
        <v>4</v>
      </c>
      <c r="K29" s="103" t="b">
        <f t="shared" si="1"/>
        <v>0</v>
      </c>
      <c r="M29" s="68" t="s">
        <v>44</v>
      </c>
      <c r="O29" s="68">
        <f>CEILING(F29 * 1.1, 0.1)</f>
        <v>1.9000000000000001</v>
      </c>
      <c r="P29" s="68" t="s">
        <v>12</v>
      </c>
    </row>
    <row r="30" spans="1:16" x14ac:dyDescent="0.2">
      <c r="A30" s="127" t="s">
        <v>375</v>
      </c>
      <c r="B30" s="62" t="s">
        <v>531</v>
      </c>
      <c r="C30" s="2" t="s">
        <v>346</v>
      </c>
      <c r="D30" s="100">
        <v>1</v>
      </c>
      <c r="E30" s="69">
        <f>SUMIF(support!C:C,C30,support!I:I)</f>
        <v>0</v>
      </c>
      <c r="F30" s="101">
        <f t="shared" si="0"/>
        <v>0</v>
      </c>
      <c r="G30" s="102">
        <f>SUMIF(support!C:C,C30,support!J:J)</f>
        <v>0</v>
      </c>
      <c r="H30" s="102">
        <f>SUMIF(support!C:C,C30,support!K:K)</f>
        <v>18</v>
      </c>
      <c r="I30" s="69"/>
      <c r="J30" s="61">
        <f>SUMIF(support!C:C,C30,support!L:L)</f>
        <v>1</v>
      </c>
      <c r="K30" s="103" t="b">
        <f t="shared" si="1"/>
        <v>0</v>
      </c>
      <c r="M30" s="68" t="s">
        <v>346</v>
      </c>
      <c r="N30" s="68">
        <f>CEILING(H30 * 1.1, 1)</f>
        <v>20</v>
      </c>
    </row>
    <row r="31" spans="1:16" x14ac:dyDescent="0.2">
      <c r="A31" s="127" t="s">
        <v>375</v>
      </c>
      <c r="B31" s="62" t="s">
        <v>531</v>
      </c>
      <c r="C31" s="2" t="s">
        <v>45</v>
      </c>
      <c r="D31" s="100">
        <v>1</v>
      </c>
      <c r="E31" s="69">
        <f>SUMIF(support!C:C,C31,support!I:I)</f>
        <v>5.1666666666666661</v>
      </c>
      <c r="F31" s="101">
        <f t="shared" si="0"/>
        <v>5.1666666666666661</v>
      </c>
      <c r="G31" s="102">
        <f>SUMIF(support!C:C,C31,support!J:J)</f>
        <v>0</v>
      </c>
      <c r="H31" s="102">
        <f>SUMIF(support!C:C,C31,support!K:K)</f>
        <v>0</v>
      </c>
      <c r="I31" s="69"/>
      <c r="J31" s="61">
        <f>SUMIF(support!C:C,C31,support!L:L)</f>
        <v>3</v>
      </c>
      <c r="K31" s="103" t="b">
        <f t="shared" si="1"/>
        <v>0</v>
      </c>
      <c r="M31" s="68" t="s">
        <v>45</v>
      </c>
      <c r="O31" s="68">
        <f>CEILING(F31 * 1.1, 0.1)</f>
        <v>5.7</v>
      </c>
      <c r="P31" s="68" t="s">
        <v>12</v>
      </c>
    </row>
    <row r="32" spans="1:16" x14ac:dyDescent="0.2">
      <c r="A32" s="127" t="s">
        <v>375</v>
      </c>
      <c r="B32" s="62" t="s">
        <v>531</v>
      </c>
      <c r="C32" s="2" t="s">
        <v>320</v>
      </c>
      <c r="D32" s="100">
        <f>155 / 189</f>
        <v>0.82010582010582012</v>
      </c>
      <c r="E32" s="69">
        <f>SUMIF(support!C:C,C32,support!I:I)</f>
        <v>1.9755906375204999</v>
      </c>
      <c r="F32" s="101">
        <f t="shared" si="0"/>
        <v>2.4089460031701577</v>
      </c>
      <c r="G32" s="102">
        <f>SUMIF(support!C:C,C32,support!J:J)</f>
        <v>0</v>
      </c>
      <c r="H32" s="102">
        <f>SUMIF(support!C:C,C32,support!K:K)</f>
        <v>0</v>
      </c>
      <c r="I32" s="69"/>
      <c r="J32" s="61">
        <f>SUMIF(support!C:C,C32,support!L:L)</f>
        <v>2</v>
      </c>
      <c r="K32" s="103" t="b">
        <f t="shared" si="1"/>
        <v>0</v>
      </c>
      <c r="M32" s="68" t="s">
        <v>320</v>
      </c>
      <c r="O32" s="68">
        <f>CEILING(F32 * 1.1, 0.1)</f>
        <v>2.7</v>
      </c>
      <c r="P32" s="68" t="s">
        <v>12</v>
      </c>
    </row>
    <row r="33" spans="1:16" x14ac:dyDescent="0.2">
      <c r="A33" s="127" t="s">
        <v>375</v>
      </c>
      <c r="B33" s="62" t="s">
        <v>531</v>
      </c>
      <c r="C33" s="2" t="s">
        <v>421</v>
      </c>
      <c r="D33" s="100">
        <f xml:space="preserve"> 330 / 772</f>
        <v>0.42746113989637308</v>
      </c>
      <c r="E33" s="69">
        <f>SUMIF(support!C:C,C33,support!I:I)</f>
        <v>1.3078487002632211</v>
      </c>
      <c r="F33" s="101">
        <f t="shared" si="0"/>
        <v>3.0595733230400199</v>
      </c>
      <c r="G33" s="102">
        <f>SUMIF(support!C:C,C33,support!J:J)</f>
        <v>0</v>
      </c>
      <c r="H33" s="102">
        <f>SUMIF(support!C:C,C33,support!K:K)</f>
        <v>0</v>
      </c>
      <c r="I33" s="69" t="s">
        <v>422</v>
      </c>
      <c r="J33" s="61">
        <f>SUMIF(support!C:C,C33,support!L:L)</f>
        <v>3</v>
      </c>
      <c r="K33" s="103" t="b">
        <f t="shared" si="1"/>
        <v>0</v>
      </c>
      <c r="M33" s="68" t="s">
        <v>548</v>
      </c>
      <c r="O33" s="68">
        <f>CEILING(F33 * 1.1, 0.1)</f>
        <v>3.4000000000000004</v>
      </c>
      <c r="P33" s="68" t="s">
        <v>12</v>
      </c>
    </row>
    <row r="34" spans="1:16" x14ac:dyDescent="0.2">
      <c r="A34" s="127" t="s">
        <v>375</v>
      </c>
      <c r="B34" s="62" t="s">
        <v>531</v>
      </c>
      <c r="C34" s="2" t="s">
        <v>323</v>
      </c>
      <c r="D34" s="100">
        <f xml:space="preserve"> 134 / 206</f>
        <v>0.65048543689320393</v>
      </c>
      <c r="E34" s="69">
        <f>SUMIF(support!C:C,C34,support!I:I)</f>
        <v>0.274757805322</v>
      </c>
      <c r="F34" s="101">
        <f t="shared" si="0"/>
        <v>0.42238886489799998</v>
      </c>
      <c r="G34" s="102">
        <f>SUMIF(support!C:C,C34,support!J:J)</f>
        <v>0</v>
      </c>
      <c r="H34" s="102">
        <f>SUMIF(support!C:C,C34,support!K:K)</f>
        <v>0</v>
      </c>
      <c r="I34" s="69"/>
      <c r="J34" s="61">
        <f>SUMIF(support!C:C,C34,support!L:L)</f>
        <v>1</v>
      </c>
      <c r="K34" s="103" t="b">
        <f t="shared" si="1"/>
        <v>0</v>
      </c>
      <c r="M34" s="68" t="s">
        <v>323</v>
      </c>
      <c r="O34" s="68">
        <f>CEILING(F34 * 1.1, 0.1)</f>
        <v>0.5</v>
      </c>
      <c r="P34" s="68" t="s">
        <v>12</v>
      </c>
    </row>
    <row r="35" spans="1:16" x14ac:dyDescent="0.2">
      <c r="A35" s="127" t="s">
        <v>375</v>
      </c>
      <c r="B35" s="62" t="s">
        <v>531</v>
      </c>
      <c r="C35" s="2" t="s">
        <v>48</v>
      </c>
      <c r="D35" s="100">
        <v>1</v>
      </c>
      <c r="E35" s="69">
        <f>SUMIF(support!C:C,C35,support!I:I)</f>
        <v>0</v>
      </c>
      <c r="F35" s="101">
        <f t="shared" si="0"/>
        <v>0</v>
      </c>
      <c r="G35" s="102">
        <f>SUMIF(support!C:C,C35,support!J:J)</f>
        <v>0</v>
      </c>
      <c r="H35" s="102">
        <f>SUMIF(support!C:C,C35,support!K:K)</f>
        <v>31.200000000000003</v>
      </c>
      <c r="I35" s="69"/>
      <c r="J35" s="61">
        <f>SUMIF(support!C:C,C35,support!L:L)</f>
        <v>1</v>
      </c>
      <c r="K35" s="103" t="b">
        <f t="shared" si="1"/>
        <v>0</v>
      </c>
      <c r="M35" s="68" t="s">
        <v>48</v>
      </c>
      <c r="N35" s="68">
        <f>CEILING(H35 * 1.1, 1)</f>
        <v>35</v>
      </c>
    </row>
    <row r="36" spans="1:16" x14ac:dyDescent="0.2">
      <c r="A36" s="127" t="s">
        <v>375</v>
      </c>
      <c r="B36" s="62" t="s">
        <v>531</v>
      </c>
      <c r="C36" s="2" t="s">
        <v>426</v>
      </c>
      <c r="D36" s="100">
        <v>1</v>
      </c>
      <c r="E36" s="69">
        <f>SUMIF(support!C:C,C36,support!I:I)</f>
        <v>0.98076923076923073</v>
      </c>
      <c r="F36" s="101">
        <f t="shared" si="0"/>
        <v>0.98076923076923073</v>
      </c>
      <c r="G36" s="102">
        <f>SUMIF(support!C:C,C36,support!J:J)</f>
        <v>0</v>
      </c>
      <c r="H36" s="102">
        <f>SUMIF(support!C:C,C36,support!K:K)</f>
        <v>0</v>
      </c>
      <c r="I36" s="69" t="s">
        <v>427</v>
      </c>
      <c r="J36" s="61">
        <f>SUMIF(support!C:C,C36,support!L:L)</f>
        <v>1</v>
      </c>
      <c r="K36" s="103" t="b">
        <f t="shared" si="1"/>
        <v>0</v>
      </c>
      <c r="M36" s="68" t="s">
        <v>547</v>
      </c>
      <c r="O36" s="68">
        <f>CEILING(F36 * 1.1, 0.1)</f>
        <v>1.1000000000000001</v>
      </c>
      <c r="P36" s="68" t="s">
        <v>12</v>
      </c>
    </row>
    <row r="37" spans="1:16" x14ac:dyDescent="0.2">
      <c r="A37" s="127" t="s">
        <v>375</v>
      </c>
      <c r="B37" s="62" t="s">
        <v>531</v>
      </c>
      <c r="C37" s="2" t="s">
        <v>140</v>
      </c>
      <c r="D37" s="100">
        <f>155 / 189</f>
        <v>0.82010582010582012</v>
      </c>
      <c r="E37" s="69">
        <f>SUMIF(support!C:C,C37,support!I:I)</f>
        <v>0.49056570838274999</v>
      </c>
      <c r="F37" s="101">
        <f t="shared" si="0"/>
        <v>0.59817367022154677</v>
      </c>
      <c r="G37" s="102">
        <f>SUMIF(support!C:C,C37,support!J:J)</f>
        <v>0</v>
      </c>
      <c r="H37" s="102">
        <f>SUMIF(support!C:C,C37,support!K:K)</f>
        <v>0</v>
      </c>
      <c r="I37" s="69"/>
      <c r="J37" s="61">
        <f>SUMIF(support!C:C,C37,support!L:L)</f>
        <v>1</v>
      </c>
      <c r="K37" s="103" t="b">
        <f t="shared" si="1"/>
        <v>0</v>
      </c>
      <c r="M37" s="68" t="s">
        <v>140</v>
      </c>
      <c r="O37" s="68">
        <f>CEILING(F37 * 1.1, 0.1)</f>
        <v>0.70000000000000007</v>
      </c>
      <c r="P37" s="68" t="s">
        <v>12</v>
      </c>
    </row>
    <row r="38" spans="1:16" x14ac:dyDescent="0.2">
      <c r="A38" s="127" t="s">
        <v>375</v>
      </c>
      <c r="B38" s="62" t="s">
        <v>531</v>
      </c>
      <c r="C38" s="2" t="s">
        <v>46</v>
      </c>
      <c r="D38" s="100">
        <v>1</v>
      </c>
      <c r="E38" s="69">
        <f>SUMIF(support!C:C,C38,support!I:I)</f>
        <v>1.7394444444444446</v>
      </c>
      <c r="F38" s="101">
        <f t="shared" si="0"/>
        <v>1.7394444444444446</v>
      </c>
      <c r="G38" s="102">
        <f>SUMIF(support!C:C,C38,support!J:J)</f>
        <v>0</v>
      </c>
      <c r="H38" s="102">
        <f>SUMIF(support!C:C,C38,support!K:K)</f>
        <v>0</v>
      </c>
      <c r="I38" s="69"/>
      <c r="J38" s="61">
        <f>SUMIF(support!C:C,C38,support!L:L)</f>
        <v>2</v>
      </c>
      <c r="K38" s="103" t="b">
        <f t="shared" si="1"/>
        <v>0</v>
      </c>
      <c r="M38" s="68" t="s">
        <v>46</v>
      </c>
      <c r="O38" s="68">
        <f>CEILING(F38 * 1.1, 0.1)</f>
        <v>2</v>
      </c>
      <c r="P38" s="68" t="s">
        <v>12</v>
      </c>
    </row>
    <row r="39" spans="1:16" x14ac:dyDescent="0.2">
      <c r="A39" s="127" t="s">
        <v>373</v>
      </c>
      <c r="B39" s="62" t="s">
        <v>529</v>
      </c>
      <c r="C39" s="2" t="s">
        <v>428</v>
      </c>
      <c r="D39" s="100">
        <v>1</v>
      </c>
      <c r="E39" s="69">
        <f>SUMIF(support!C:C,C39,support!I:I)</f>
        <v>0</v>
      </c>
      <c r="F39" s="101">
        <f t="shared" si="0"/>
        <v>0</v>
      </c>
      <c r="G39" s="102">
        <f>SUMIF(support!C:C,C39,support!J:J)</f>
        <v>0</v>
      </c>
      <c r="H39" s="102">
        <f>SUMIF(support!C:C,C39,support!K:K)</f>
        <v>1</v>
      </c>
      <c r="I39" s="69" t="s">
        <v>429</v>
      </c>
      <c r="J39" s="61">
        <f>SUMIF(support!C:C,C39,support!L:L)</f>
        <v>1</v>
      </c>
      <c r="K39" s="103" t="b">
        <f t="shared" si="1"/>
        <v>0</v>
      </c>
    </row>
    <row r="40" spans="1:16" x14ac:dyDescent="0.2">
      <c r="A40" s="127" t="s">
        <v>372</v>
      </c>
      <c r="B40" s="62" t="s">
        <v>529</v>
      </c>
      <c r="C40" s="2" t="s">
        <v>62</v>
      </c>
      <c r="D40" s="100">
        <v>1</v>
      </c>
      <c r="E40" s="69">
        <f>SUMIF(support!C:C,C40,support!I:I)</f>
        <v>0</v>
      </c>
      <c r="F40" s="101">
        <f t="shared" si="0"/>
        <v>0</v>
      </c>
      <c r="G40" s="102">
        <f>SUMIF(support!C:C,C40,support!J:J)</f>
        <v>0</v>
      </c>
      <c r="H40" s="102">
        <f>SUMIF(support!C:C,C40,support!K:K)</f>
        <v>5</v>
      </c>
      <c r="I40" s="69"/>
      <c r="J40" s="61">
        <f>SUMIF(support!C:C,C40,support!L:L)</f>
        <v>2</v>
      </c>
      <c r="K40" s="103" t="b">
        <f t="shared" si="1"/>
        <v>0</v>
      </c>
    </row>
    <row r="41" spans="1:16" x14ac:dyDescent="0.2">
      <c r="A41" s="127" t="s">
        <v>372</v>
      </c>
      <c r="B41" s="62" t="s">
        <v>529</v>
      </c>
      <c r="C41" s="2" t="s">
        <v>34</v>
      </c>
      <c r="D41" s="100">
        <v>1</v>
      </c>
      <c r="E41" s="69">
        <f>SUMIF(support!C:C,C41,support!I:I)</f>
        <v>2.1333378704334063E-2</v>
      </c>
      <c r="F41" s="101">
        <f t="shared" si="0"/>
        <v>2.1333378704334063E-2</v>
      </c>
      <c r="G41" s="102">
        <f>SUMIF(support!C:C,C41,support!J:J)</f>
        <v>0</v>
      </c>
      <c r="H41" s="102">
        <f>SUMIF(support!C:C,C41,support!K:K)</f>
        <v>0</v>
      </c>
      <c r="I41" s="69"/>
      <c r="J41" s="61">
        <f>SUMIF(support!C:C,C41,support!L:L)</f>
        <v>1</v>
      </c>
      <c r="K41" s="103" t="b">
        <f t="shared" si="1"/>
        <v>0</v>
      </c>
    </row>
    <row r="42" spans="1:16" x14ac:dyDescent="0.2">
      <c r="A42" s="127" t="s">
        <v>372</v>
      </c>
      <c r="B42" s="62" t="s">
        <v>529</v>
      </c>
      <c r="C42" s="2" t="s">
        <v>76</v>
      </c>
      <c r="D42" s="100">
        <v>1</v>
      </c>
      <c r="E42" s="69">
        <f>SUMIF(support!C:C,C42,support!I:I)</f>
        <v>1.0388910983621014E-2</v>
      </c>
      <c r="F42" s="101">
        <f t="shared" si="0"/>
        <v>1.0388910983621014E-2</v>
      </c>
      <c r="G42" s="102">
        <f>SUMIF(support!C:C,C42,support!J:J)</f>
        <v>0</v>
      </c>
      <c r="H42" s="102">
        <f>SUMIF(support!C:C,C42,support!K:K)</f>
        <v>0</v>
      </c>
      <c r="I42" s="69"/>
      <c r="J42" s="61">
        <f>SUMIF(support!C:C,C42,support!L:L)</f>
        <v>3</v>
      </c>
      <c r="K42" s="103" t="b">
        <f t="shared" si="1"/>
        <v>0</v>
      </c>
    </row>
    <row r="43" spans="1:16" x14ac:dyDescent="0.2">
      <c r="A43" s="127" t="s">
        <v>372</v>
      </c>
      <c r="B43" s="62" t="s">
        <v>529</v>
      </c>
      <c r="C43" s="2" t="s">
        <v>35</v>
      </c>
      <c r="D43" s="100">
        <v>1</v>
      </c>
      <c r="E43" s="69">
        <f>SUMIF(support!C:C,C43,support!I:I)</f>
        <v>3.1166732950863047E-2</v>
      </c>
      <c r="F43" s="101">
        <f t="shared" si="0"/>
        <v>3.1166732950863047E-2</v>
      </c>
      <c r="G43" s="102">
        <f>SUMIF(support!C:C,C43,support!J:J)</f>
        <v>0</v>
      </c>
      <c r="H43" s="102">
        <f>SUMIF(support!C:C,C43,support!K:K)</f>
        <v>0</v>
      </c>
      <c r="I43" s="69"/>
      <c r="J43" s="61">
        <f>SUMIF(support!C:C,C43,support!L:L)</f>
        <v>1</v>
      </c>
      <c r="K43" s="103" t="b">
        <f t="shared" si="1"/>
        <v>0</v>
      </c>
    </row>
    <row r="44" spans="1:16" x14ac:dyDescent="0.2">
      <c r="A44" s="127" t="s">
        <v>372</v>
      </c>
      <c r="B44" s="62" t="s">
        <v>529</v>
      </c>
      <c r="C44" s="2" t="s">
        <v>9</v>
      </c>
      <c r="D44" s="100">
        <v>1</v>
      </c>
      <c r="E44" s="69">
        <f>SUMIF(support!C:C,C44,support!I:I)</f>
        <v>5.0000106338282967E-2</v>
      </c>
      <c r="F44" s="101">
        <f t="shared" si="0"/>
        <v>5.0000106338282967E-2</v>
      </c>
      <c r="G44" s="102">
        <f>SUMIF(support!C:C,C44,support!J:J)</f>
        <v>0</v>
      </c>
      <c r="H44" s="102">
        <f>SUMIF(support!C:C,C44,support!K:K)</f>
        <v>0</v>
      </c>
      <c r="I44" s="69"/>
      <c r="J44" s="61">
        <f>SUMIF(support!C:C,C44,support!L:L)</f>
        <v>2</v>
      </c>
      <c r="K44" s="103" t="b">
        <f t="shared" si="1"/>
        <v>0</v>
      </c>
    </row>
    <row r="45" spans="1:16" x14ac:dyDescent="0.2">
      <c r="A45" s="127" t="s">
        <v>372</v>
      </c>
      <c r="B45" s="62" t="s">
        <v>529</v>
      </c>
      <c r="C45" s="123" t="s">
        <v>474</v>
      </c>
      <c r="D45" s="100"/>
      <c r="E45" s="69"/>
      <c r="F45" s="101"/>
      <c r="G45" s="102"/>
      <c r="H45" s="102"/>
      <c r="I45" s="69" t="s">
        <v>471</v>
      </c>
      <c r="J45" s="61"/>
      <c r="K45" s="103"/>
    </row>
    <row r="46" spans="1:16" x14ac:dyDescent="0.2">
      <c r="A46" s="127" t="s">
        <v>372</v>
      </c>
      <c r="B46" s="62" t="s">
        <v>529</v>
      </c>
      <c r="C46" s="123" t="s">
        <v>472</v>
      </c>
      <c r="D46" s="100"/>
      <c r="E46" s="69"/>
      <c r="F46" s="101"/>
      <c r="G46" s="102"/>
      <c r="H46" s="102"/>
      <c r="I46" s="69" t="s">
        <v>473</v>
      </c>
      <c r="J46" s="61"/>
      <c r="K46" s="103"/>
    </row>
    <row r="47" spans="1:16" x14ac:dyDescent="0.2">
      <c r="A47" s="127" t="s">
        <v>372</v>
      </c>
      <c r="B47" s="62" t="s">
        <v>529</v>
      </c>
      <c r="C47" s="2" t="s">
        <v>75</v>
      </c>
      <c r="D47" s="100">
        <v>1</v>
      </c>
      <c r="E47" s="69">
        <f>SUMIF(support!C:C,C47,support!I:I)</f>
        <v>1.5000031901484889E-3</v>
      </c>
      <c r="F47" s="101">
        <f t="shared" ref="F47:F57" si="2">E47 / D47</f>
        <v>1.5000031901484889E-3</v>
      </c>
      <c r="G47" s="102">
        <f>SUMIF(support!C:C,C47,support!J:J)</f>
        <v>0</v>
      </c>
      <c r="H47" s="102">
        <f>SUMIF(support!C:C,C47,support!K:K)</f>
        <v>0</v>
      </c>
      <c r="I47" s="69"/>
      <c r="J47" s="61">
        <f>SUMIF(support!C:C,C47,support!L:L)</f>
        <v>1</v>
      </c>
      <c r="K47" s="103" t="b">
        <f t="shared" ref="K47:K57" si="3">OR(COUNTIF(F47:H47, "&lt;&gt;0") &gt; 1, J47 = 0)</f>
        <v>0</v>
      </c>
    </row>
    <row r="48" spans="1:16" x14ac:dyDescent="0.2">
      <c r="A48" s="127" t="s">
        <v>372</v>
      </c>
      <c r="B48" s="62" t="s">
        <v>529</v>
      </c>
      <c r="C48" s="2" t="s">
        <v>244</v>
      </c>
      <c r="D48" s="100">
        <v>1</v>
      </c>
      <c r="E48" s="69">
        <f>SUMIF(support!C:C,C48,support!I:I)</f>
        <v>0.40220000205000001</v>
      </c>
      <c r="F48" s="101">
        <f t="shared" si="2"/>
        <v>0.40220000205000001</v>
      </c>
      <c r="G48" s="102">
        <f>SUMIF(support!C:C,C48,support!J:J)</f>
        <v>0</v>
      </c>
      <c r="H48" s="102">
        <f>SUMIF(support!C:C,C48,support!K:K)</f>
        <v>0</v>
      </c>
      <c r="I48" s="69"/>
      <c r="J48" s="61">
        <f>SUMIF(support!C:C,C48,support!L:L)</f>
        <v>1</v>
      </c>
      <c r="K48" s="103" t="b">
        <f t="shared" si="3"/>
        <v>0</v>
      </c>
    </row>
    <row r="49" spans="1:11" x14ac:dyDescent="0.2">
      <c r="A49" s="127" t="s">
        <v>372</v>
      </c>
      <c r="B49" s="62" t="s">
        <v>529</v>
      </c>
      <c r="C49" s="2" t="s">
        <v>69</v>
      </c>
      <c r="D49" s="100">
        <v>1</v>
      </c>
      <c r="E49" s="69">
        <f>SUMIF(support!C:C,C49,support!I:I)</f>
        <v>0.38149997823116744</v>
      </c>
      <c r="F49" s="101">
        <f t="shared" si="2"/>
        <v>0.38149997823116744</v>
      </c>
      <c r="G49" s="102">
        <f>SUMIF(support!C:C,C49,support!J:J)</f>
        <v>0</v>
      </c>
      <c r="H49" s="102">
        <f>SUMIF(support!C:C,C49,support!K:K)</f>
        <v>0</v>
      </c>
      <c r="I49" s="69"/>
      <c r="J49" s="61">
        <f>SUMIF(support!C:C,C49,support!L:L)</f>
        <v>1</v>
      </c>
      <c r="K49" s="103" t="b">
        <f t="shared" si="3"/>
        <v>0</v>
      </c>
    </row>
    <row r="50" spans="1:11" x14ac:dyDescent="0.2">
      <c r="A50" s="127" t="s">
        <v>372</v>
      </c>
      <c r="B50" s="62" t="s">
        <v>529</v>
      </c>
      <c r="C50" s="2" t="s">
        <v>70</v>
      </c>
      <c r="D50" s="100">
        <v>1</v>
      </c>
      <c r="E50" s="69">
        <f>SUMIF(support!C:C,C50,support!I:I)</f>
        <v>0.85849995101299414</v>
      </c>
      <c r="F50" s="101">
        <f t="shared" si="2"/>
        <v>0.85849995101299414</v>
      </c>
      <c r="G50" s="102">
        <f>SUMIF(support!C:C,C50,support!J:J)</f>
        <v>0</v>
      </c>
      <c r="H50" s="102">
        <f>SUMIF(support!C:C,C50,support!K:K)</f>
        <v>0</v>
      </c>
      <c r="I50" s="69"/>
      <c r="J50" s="61">
        <f>SUMIF(support!C:C,C50,support!L:L)</f>
        <v>1</v>
      </c>
      <c r="K50" s="103" t="b">
        <f t="shared" si="3"/>
        <v>0</v>
      </c>
    </row>
    <row r="51" spans="1:11" x14ac:dyDescent="0.2">
      <c r="A51" s="127" t="s">
        <v>372</v>
      </c>
      <c r="B51" s="62" t="s">
        <v>529</v>
      </c>
      <c r="C51" s="2" t="s">
        <v>246</v>
      </c>
      <c r="D51" s="100">
        <v>1</v>
      </c>
      <c r="E51" s="69">
        <f>SUMIF(support!C:C,C51,support!I:I)</f>
        <v>2.0000042535313184E-3</v>
      </c>
      <c r="F51" s="101">
        <f t="shared" si="2"/>
        <v>2.0000042535313184E-3</v>
      </c>
      <c r="G51" s="102">
        <f>SUMIF(support!C:C,C51,support!J:J)</f>
        <v>0</v>
      </c>
      <c r="H51" s="102">
        <f>SUMIF(support!C:C,C51,support!K:K)</f>
        <v>0</v>
      </c>
      <c r="I51" s="69"/>
      <c r="J51" s="61">
        <f>SUMIF(support!C:C,C51,support!L:L)</f>
        <v>1</v>
      </c>
      <c r="K51" s="103" t="b">
        <f t="shared" si="3"/>
        <v>0</v>
      </c>
    </row>
    <row r="52" spans="1:11" x14ac:dyDescent="0.2">
      <c r="A52" s="127" t="s">
        <v>372</v>
      </c>
      <c r="B52" s="62" t="s">
        <v>529</v>
      </c>
      <c r="C52" s="2" t="s">
        <v>160</v>
      </c>
      <c r="D52" s="100">
        <v>1</v>
      </c>
      <c r="E52" s="69">
        <f>SUMIF(support!C:C,C52,support!I:I)</f>
        <v>1.1646249335451464</v>
      </c>
      <c r="F52" s="101">
        <f t="shared" si="2"/>
        <v>1.1646249335451464</v>
      </c>
      <c r="G52" s="102">
        <f>SUMIF(support!C:C,C52,support!J:J)</f>
        <v>0</v>
      </c>
      <c r="H52" s="102">
        <f>SUMIF(support!C:C,C52,support!K:K)</f>
        <v>0</v>
      </c>
      <c r="I52" s="69"/>
      <c r="J52" s="61">
        <f>SUMIF(support!C:C,C52,support!L:L)</f>
        <v>2</v>
      </c>
      <c r="K52" s="103" t="b">
        <f t="shared" si="3"/>
        <v>0</v>
      </c>
    </row>
    <row r="53" spans="1:11" x14ac:dyDescent="0.2">
      <c r="A53" s="127" t="s">
        <v>372</v>
      </c>
      <c r="B53" s="62" t="s">
        <v>529</v>
      </c>
      <c r="C53" s="2" t="s">
        <v>10</v>
      </c>
      <c r="D53" s="100">
        <v>1</v>
      </c>
      <c r="E53" s="69">
        <f>SUMIF(support!C:C,C53,support!I:I)</f>
        <v>2.8333393591693682E-2</v>
      </c>
      <c r="F53" s="101">
        <f t="shared" si="2"/>
        <v>2.8333393591693682E-2</v>
      </c>
      <c r="G53" s="102">
        <f>SUMIF(support!C:C,C53,support!J:J)</f>
        <v>0</v>
      </c>
      <c r="H53" s="102">
        <f>SUMIF(support!C:C,C53,support!K:K)</f>
        <v>0</v>
      </c>
      <c r="I53" s="69"/>
      <c r="J53" s="61">
        <f>SUMIF(support!C:C,C53,support!L:L)</f>
        <v>1</v>
      </c>
      <c r="K53" s="103" t="b">
        <f t="shared" si="3"/>
        <v>0</v>
      </c>
    </row>
    <row r="54" spans="1:11" x14ac:dyDescent="0.2">
      <c r="A54" s="127" t="s">
        <v>372</v>
      </c>
      <c r="B54" s="62" t="s">
        <v>529</v>
      </c>
      <c r="C54" s="2" t="s">
        <v>525</v>
      </c>
      <c r="D54" s="100">
        <v>1</v>
      </c>
      <c r="E54" s="69">
        <f>SUMIF(support!C:C,C54,support!I:I)</f>
        <v>4.0944531523682826E-2</v>
      </c>
      <c r="F54" s="101">
        <f t="shared" si="2"/>
        <v>4.0944531523682826E-2</v>
      </c>
      <c r="G54" s="102">
        <f>SUMIF(support!C:C,C54,support!J:J)</f>
        <v>0</v>
      </c>
      <c r="H54" s="102">
        <f>SUMIF(support!C:C,C54,support!K:K)</f>
        <v>0</v>
      </c>
      <c r="I54" s="69"/>
      <c r="J54" s="61">
        <f>SUMIF(support!C:C,C54,support!L:L)</f>
        <v>2</v>
      </c>
      <c r="K54" s="103" t="b">
        <f t="shared" si="3"/>
        <v>0</v>
      </c>
    </row>
    <row r="55" spans="1:11" x14ac:dyDescent="0.2">
      <c r="A55" s="127" t="s">
        <v>372</v>
      </c>
      <c r="B55" s="62" t="s">
        <v>529</v>
      </c>
      <c r="C55" s="2" t="s">
        <v>14</v>
      </c>
      <c r="D55" s="100">
        <v>1</v>
      </c>
      <c r="E55" s="69">
        <f>SUMIF(support!C:C,C55,support!I:I)</f>
        <v>2.688894607525439E-2</v>
      </c>
      <c r="F55" s="101">
        <f t="shared" si="2"/>
        <v>2.688894607525439E-2</v>
      </c>
      <c r="G55" s="102">
        <f>SUMIF(support!C:C,C55,support!J:J)</f>
        <v>0</v>
      </c>
      <c r="H55" s="102">
        <f>SUMIF(support!C:C,C55,support!K:K)</f>
        <v>0</v>
      </c>
      <c r="I55" s="69"/>
      <c r="J55" s="61">
        <f>SUMIF(support!C:C,C55,support!L:L)</f>
        <v>3</v>
      </c>
      <c r="K55" s="103" t="b">
        <f t="shared" si="3"/>
        <v>0</v>
      </c>
    </row>
    <row r="56" spans="1:11" x14ac:dyDescent="0.2">
      <c r="A56" s="127" t="s">
        <v>372</v>
      </c>
      <c r="B56" s="62" t="s">
        <v>529</v>
      </c>
      <c r="C56" s="2" t="s">
        <v>266</v>
      </c>
      <c r="D56" s="100">
        <v>1</v>
      </c>
      <c r="E56" s="69">
        <f>SUMIF(support!C:C,C56,support!I:I)</f>
        <v>7.4666825465169229E-2</v>
      </c>
      <c r="F56" s="101">
        <f t="shared" si="2"/>
        <v>7.4666825465169229E-2</v>
      </c>
      <c r="G56" s="102">
        <f>SUMIF(support!C:C,C56,support!J:J)</f>
        <v>0</v>
      </c>
      <c r="H56" s="102">
        <f>SUMIF(support!C:C,C56,support!K:K)</f>
        <v>0</v>
      </c>
      <c r="I56" s="69"/>
      <c r="J56" s="61">
        <f>SUMIF(support!C:C,C56,support!L:L)</f>
        <v>6</v>
      </c>
      <c r="K56" s="103" t="b">
        <f t="shared" si="3"/>
        <v>0</v>
      </c>
    </row>
    <row r="57" spans="1:11" x14ac:dyDescent="0.2">
      <c r="A57" s="127" t="s">
        <v>372</v>
      </c>
      <c r="B57" s="62" t="s">
        <v>529</v>
      </c>
      <c r="C57" s="2" t="s">
        <v>74</v>
      </c>
      <c r="D57" s="100">
        <v>1</v>
      </c>
      <c r="E57" s="69">
        <f>SUMIF(support!C:C,C57,support!I:I)</f>
        <v>8.6666850986357128E-3</v>
      </c>
      <c r="F57" s="101">
        <f t="shared" si="2"/>
        <v>8.6666850986357128E-3</v>
      </c>
      <c r="G57" s="102">
        <f>SUMIF(support!C:C,C57,support!J:J)</f>
        <v>0</v>
      </c>
      <c r="H57" s="102">
        <f>SUMIF(support!C:C,C57,support!K:K)</f>
        <v>0</v>
      </c>
      <c r="I57" s="69"/>
      <c r="J57" s="61">
        <f>SUMIF(support!C:C,C57,support!L:L)</f>
        <v>1</v>
      </c>
      <c r="K57" s="103" t="b">
        <f t="shared" si="3"/>
        <v>0</v>
      </c>
    </row>
    <row r="58" spans="1:11" x14ac:dyDescent="0.2">
      <c r="A58" s="127" t="s">
        <v>372</v>
      </c>
      <c r="B58" s="62" t="s">
        <v>529</v>
      </c>
      <c r="C58" s="123" t="s">
        <v>470</v>
      </c>
      <c r="D58" s="100"/>
      <c r="E58" s="69"/>
      <c r="F58" s="101"/>
      <c r="G58" s="102"/>
      <c r="H58" s="102"/>
      <c r="I58" s="69" t="s">
        <v>471</v>
      </c>
      <c r="J58" s="61"/>
      <c r="K58" s="103"/>
    </row>
    <row r="59" spans="1:11" x14ac:dyDescent="0.2">
      <c r="A59" s="127" t="s">
        <v>372</v>
      </c>
      <c r="B59" s="62" t="s">
        <v>529</v>
      </c>
      <c r="C59" s="123" t="s">
        <v>271</v>
      </c>
      <c r="D59" s="100"/>
      <c r="E59" s="69"/>
      <c r="F59" s="101"/>
      <c r="G59" s="102"/>
      <c r="H59" s="102"/>
      <c r="I59" s="69" t="s">
        <v>469</v>
      </c>
      <c r="J59" s="61"/>
      <c r="K59" s="103"/>
    </row>
    <row r="60" spans="1:11" x14ac:dyDescent="0.2">
      <c r="A60" s="127" t="s">
        <v>374</v>
      </c>
      <c r="B60" s="62" t="s">
        <v>529</v>
      </c>
      <c r="C60" s="2" t="s">
        <v>436</v>
      </c>
      <c r="D60" s="100">
        <v>1</v>
      </c>
      <c r="E60" s="69">
        <f>SUMIF(support!C:C,C60,support!I:I)</f>
        <v>7.9259425109864994</v>
      </c>
      <c r="F60" s="101">
        <f>E60 / D60</f>
        <v>7.9259425109864994</v>
      </c>
      <c r="G60" s="102">
        <f>SUMIF(support!C:C,C60,support!J:J)</f>
        <v>0</v>
      </c>
      <c r="H60" s="102">
        <f>SUMIF(support!C:C,C60,support!K:K)</f>
        <v>0</v>
      </c>
      <c r="I60" s="69"/>
      <c r="J60" s="61">
        <f>SUMIF(support!C:C,C60,support!L:L)</f>
        <v>1</v>
      </c>
      <c r="K60" s="103" t="b">
        <f>OR(COUNTIF(F60:H60, "&lt;&gt;0") &gt; 1, J60 = 0)</f>
        <v>0</v>
      </c>
    </row>
    <row r="61" spans="1:11" x14ac:dyDescent="0.2">
      <c r="A61" s="127" t="s">
        <v>374</v>
      </c>
      <c r="B61" s="62" t="s">
        <v>529</v>
      </c>
      <c r="C61" s="2" t="s">
        <v>148</v>
      </c>
      <c r="D61" s="100">
        <v>1</v>
      </c>
      <c r="E61" s="69">
        <f>SUMIF(support!C:C,C61,support!I:I)</f>
        <v>0</v>
      </c>
      <c r="F61" s="101">
        <f>E61 / D61</f>
        <v>0</v>
      </c>
      <c r="G61" s="102">
        <f>SUMIF(support!C:C,C61,support!J:J)</f>
        <v>0.47317647299999999</v>
      </c>
      <c r="H61" s="102">
        <f>SUMIF(support!C:C,C61,support!K:K)</f>
        <v>0</v>
      </c>
      <c r="I61" s="69"/>
      <c r="J61" s="61">
        <f>SUMIF(support!C:C,C61,support!L:L)</f>
        <v>1</v>
      </c>
      <c r="K61" s="103" t="b">
        <f>OR(COUNTIF(F61:H61, "&lt;&gt;0") &gt; 1, J61 = 0)</f>
        <v>0</v>
      </c>
    </row>
    <row r="62" spans="1:11" x14ac:dyDescent="0.2">
      <c r="A62" s="127" t="s">
        <v>374</v>
      </c>
      <c r="B62" s="62" t="s">
        <v>529</v>
      </c>
      <c r="C62" s="123" t="s">
        <v>475</v>
      </c>
      <c r="D62" s="100"/>
      <c r="E62" s="69"/>
      <c r="F62" s="101"/>
      <c r="G62" s="102"/>
      <c r="H62" s="102"/>
      <c r="I62" s="69" t="s">
        <v>537</v>
      </c>
      <c r="J62" s="61"/>
      <c r="K62" s="103"/>
    </row>
    <row r="63" spans="1:11" x14ac:dyDescent="0.2">
      <c r="A63" s="127" t="s">
        <v>374</v>
      </c>
      <c r="B63" s="62" t="s">
        <v>529</v>
      </c>
      <c r="C63" s="2" t="s">
        <v>87</v>
      </c>
      <c r="D63" s="100">
        <v>1</v>
      </c>
      <c r="E63" s="69">
        <f>SUMIF(support!C:C,C63,support!I:I)</f>
        <v>0</v>
      </c>
      <c r="F63" s="101">
        <f>E63 / D63</f>
        <v>0</v>
      </c>
      <c r="G63" s="102">
        <f>SUMIF(support!C:C,C63,support!J:J)</f>
        <v>5.9147059124999998E-2</v>
      </c>
      <c r="H63" s="102">
        <f>SUMIF(support!C:C,C63,support!K:K)</f>
        <v>0</v>
      </c>
      <c r="I63" s="69"/>
      <c r="J63" s="61">
        <f>SUMIF(support!C:C,C63,support!L:L)</f>
        <v>1</v>
      </c>
      <c r="K63" s="103" t="b">
        <f>OR(COUNTIF(F63:H63, "&lt;&gt;0") &gt; 1, J63 = 0)</f>
        <v>0</v>
      </c>
    </row>
    <row r="64" spans="1:11" x14ac:dyDescent="0.2">
      <c r="A64" s="127" t="s">
        <v>374</v>
      </c>
      <c r="B64" s="62" t="s">
        <v>529</v>
      </c>
      <c r="C64" s="123" t="s">
        <v>479</v>
      </c>
      <c r="D64" s="100"/>
      <c r="E64" s="69"/>
      <c r="F64" s="101"/>
      <c r="G64" s="102"/>
      <c r="H64" s="102"/>
      <c r="I64" s="69" t="s">
        <v>480</v>
      </c>
      <c r="J64" s="61"/>
      <c r="K64" s="103"/>
    </row>
    <row r="65" spans="1:11" x14ac:dyDescent="0.2">
      <c r="A65" s="127" t="s">
        <v>374</v>
      </c>
      <c r="B65" s="62" t="s">
        <v>529</v>
      </c>
      <c r="C65" s="2" t="s">
        <v>50</v>
      </c>
      <c r="D65" s="100">
        <v>1</v>
      </c>
      <c r="E65" s="69">
        <f>SUMIF(support!C:C,C65,support!I:I)</f>
        <v>0</v>
      </c>
      <c r="F65" s="101">
        <f>E65 / D65</f>
        <v>0</v>
      </c>
      <c r="G65" s="102">
        <f>SUMIF(support!C:C,C65,support!J:J)</f>
        <v>8.7488358289062484E-2</v>
      </c>
      <c r="H65" s="102">
        <f>SUMIF(support!C:C,C65,support!K:K)</f>
        <v>0</v>
      </c>
      <c r="I65" s="69"/>
      <c r="J65" s="61">
        <f>SUMIF(support!C:C,C65,support!L:L)</f>
        <v>2</v>
      </c>
      <c r="K65" s="103" t="b">
        <f>OR(COUNTIF(F65:H65, "&lt;&gt;0") &gt; 1, J65 = 0)</f>
        <v>0</v>
      </c>
    </row>
    <row r="66" spans="1:11" x14ac:dyDescent="0.2">
      <c r="A66" s="127" t="s">
        <v>374</v>
      </c>
      <c r="B66" s="62" t="s">
        <v>529</v>
      </c>
      <c r="C66" s="123" t="s">
        <v>482</v>
      </c>
      <c r="D66" s="100"/>
      <c r="E66" s="69"/>
      <c r="F66" s="101"/>
      <c r="G66" s="102"/>
      <c r="H66" s="102"/>
      <c r="I66" s="69" t="s">
        <v>483</v>
      </c>
      <c r="J66" s="61"/>
      <c r="K66" s="103"/>
    </row>
    <row r="67" spans="1:11" x14ac:dyDescent="0.2">
      <c r="A67" s="127" t="s">
        <v>374</v>
      </c>
      <c r="B67" s="62" t="s">
        <v>529</v>
      </c>
      <c r="C67" s="123" t="s">
        <v>485</v>
      </c>
      <c r="D67" s="100"/>
      <c r="E67" s="69"/>
      <c r="F67" s="101"/>
      <c r="G67" s="102"/>
      <c r="H67" s="102"/>
      <c r="I67" s="69" t="s">
        <v>486</v>
      </c>
      <c r="J67" s="61"/>
      <c r="K67" s="103"/>
    </row>
    <row r="68" spans="1:11" x14ac:dyDescent="0.2">
      <c r="A68" s="127" t="s">
        <v>374</v>
      </c>
      <c r="B68" s="62" t="s">
        <v>529</v>
      </c>
      <c r="C68" s="2" t="s">
        <v>156</v>
      </c>
      <c r="D68" s="100">
        <v>1</v>
      </c>
      <c r="E68" s="69">
        <f>SUMIF(support!C:C,C68,support!I:I)</f>
        <v>0</v>
      </c>
      <c r="F68" s="101">
        <f>E68 / D68</f>
        <v>0</v>
      </c>
      <c r="G68" s="102">
        <f>SUMIF(support!C:C,C68,support!J:J)</f>
        <v>0.76891176862499999</v>
      </c>
      <c r="H68" s="102">
        <f>SUMIF(support!C:C,C68,support!K:K)</f>
        <v>0</v>
      </c>
      <c r="I68" s="104" t="s">
        <v>151</v>
      </c>
      <c r="J68" s="61">
        <f>SUMIF(support!C:C,C68,support!L:L)</f>
        <v>1</v>
      </c>
      <c r="K68" s="105" t="b">
        <f>OR(COUNTIF(F68:H68, "&lt;&gt;0") &gt; 1, J68 = 0)</f>
        <v>0</v>
      </c>
    </row>
    <row r="69" spans="1:11" x14ac:dyDescent="0.2">
      <c r="A69" s="127" t="s">
        <v>374</v>
      </c>
      <c r="B69" s="62" t="s">
        <v>529</v>
      </c>
      <c r="C69" s="2" t="s">
        <v>54</v>
      </c>
      <c r="D69" s="100">
        <v>1</v>
      </c>
      <c r="E69" s="69">
        <f>SUMIF(support!C:C,C69,support!I:I)</f>
        <v>0</v>
      </c>
      <c r="F69" s="101">
        <f>E69 / D69</f>
        <v>0</v>
      </c>
      <c r="G69" s="102">
        <f>SUMIF(support!C:C,C69,support!J:J)</f>
        <v>0</v>
      </c>
      <c r="H69" s="102">
        <f>SUMIF(support!C:C,C69,support!K:K)</f>
        <v>0</v>
      </c>
      <c r="I69" s="69"/>
      <c r="J69" s="61">
        <f>SUMIF(support!C:C,C69,support!L:L)</f>
        <v>4</v>
      </c>
      <c r="K69" s="103" t="b">
        <f>OR(COUNTIF(F69:H69, "&lt;&gt;0") &gt; 1, J69 = 0)</f>
        <v>0</v>
      </c>
    </row>
    <row r="70" spans="1:11" x14ac:dyDescent="0.2">
      <c r="A70" s="127" t="s">
        <v>374</v>
      </c>
      <c r="B70" s="62" t="s">
        <v>529</v>
      </c>
      <c r="C70" s="123" t="s">
        <v>489</v>
      </c>
      <c r="D70" s="100"/>
      <c r="E70" s="69"/>
      <c r="F70" s="101"/>
      <c r="G70" s="102"/>
      <c r="H70" s="102"/>
      <c r="I70" s="69" t="s">
        <v>490</v>
      </c>
      <c r="J70" s="61"/>
      <c r="K70" s="103"/>
    </row>
    <row r="71" spans="1:11" x14ac:dyDescent="0.2">
      <c r="A71" s="127" t="s">
        <v>374</v>
      </c>
      <c r="B71" s="62" t="s">
        <v>529</v>
      </c>
      <c r="C71" s="123" t="s">
        <v>487</v>
      </c>
      <c r="D71" s="100"/>
      <c r="E71" s="69"/>
      <c r="F71" s="101"/>
      <c r="G71" s="102"/>
      <c r="H71" s="102"/>
      <c r="I71" s="69" t="s">
        <v>499</v>
      </c>
      <c r="J71" s="61"/>
      <c r="K71" s="103"/>
    </row>
    <row r="72" spans="1:11" x14ac:dyDescent="0.2">
      <c r="A72" s="127" t="s">
        <v>374</v>
      </c>
      <c r="B72" s="62" t="s">
        <v>529</v>
      </c>
      <c r="C72" s="123" t="s">
        <v>464</v>
      </c>
      <c r="D72" s="100"/>
      <c r="E72" s="69"/>
      <c r="F72" s="101"/>
      <c r="G72" s="102"/>
      <c r="H72" s="102"/>
      <c r="I72" s="69" t="s">
        <v>465</v>
      </c>
      <c r="J72" s="61"/>
      <c r="K72" s="103"/>
    </row>
    <row r="73" spans="1:11" x14ac:dyDescent="0.2">
      <c r="A73" s="127" t="s">
        <v>374</v>
      </c>
      <c r="B73" s="62" t="s">
        <v>529</v>
      </c>
      <c r="C73" s="123" t="s">
        <v>458</v>
      </c>
      <c r="D73" s="100"/>
      <c r="E73" s="69"/>
      <c r="F73" s="101"/>
      <c r="G73" s="102"/>
      <c r="H73" s="102"/>
      <c r="I73" s="69" t="s">
        <v>459</v>
      </c>
      <c r="J73" s="61"/>
      <c r="K73" s="103"/>
    </row>
    <row r="74" spans="1:11" x14ac:dyDescent="0.2">
      <c r="A74" s="127" t="s">
        <v>374</v>
      </c>
      <c r="B74" s="62" t="s">
        <v>529</v>
      </c>
      <c r="C74" s="2" t="s">
        <v>535</v>
      </c>
      <c r="D74" s="100">
        <v>1</v>
      </c>
      <c r="E74" s="69">
        <f>SUMIF(support!C:C,C74,support!I:I)</f>
        <v>0</v>
      </c>
      <c r="F74" s="101">
        <f>E74 / D74</f>
        <v>0</v>
      </c>
      <c r="G74" s="102">
        <f>SUMIF(support!C:C,C74,support!J:J)</f>
        <v>3.3122353109999998</v>
      </c>
      <c r="H74" s="102">
        <f>SUMIF(support!C:C,C74,support!K:K)</f>
        <v>0</v>
      </c>
      <c r="I74" s="69"/>
      <c r="J74" s="61">
        <f>SUMIF(support!C:C,C74,support!L:L)</f>
        <v>1</v>
      </c>
      <c r="K74" s="103" t="b">
        <f>OR(COUNTIF(F74:H74, "&lt;&gt;0") &gt; 1, J74 = 0)</f>
        <v>0</v>
      </c>
    </row>
    <row r="75" spans="1:11" x14ac:dyDescent="0.2">
      <c r="A75" s="127" t="s">
        <v>374</v>
      </c>
      <c r="B75" s="62" t="s">
        <v>529</v>
      </c>
      <c r="C75" s="123" t="s">
        <v>493</v>
      </c>
      <c r="D75" s="100"/>
      <c r="E75" s="69"/>
      <c r="F75" s="101"/>
      <c r="G75" s="102"/>
      <c r="H75" s="102"/>
      <c r="I75" s="69"/>
      <c r="J75" s="61"/>
      <c r="K75" s="103"/>
    </row>
    <row r="76" spans="1:11" x14ac:dyDescent="0.2">
      <c r="A76" s="127" t="s">
        <v>374</v>
      </c>
      <c r="B76" s="62" t="s">
        <v>529</v>
      </c>
      <c r="C76" s="123" t="s">
        <v>492</v>
      </c>
      <c r="D76" s="100"/>
      <c r="E76" s="69"/>
      <c r="F76" s="101"/>
      <c r="G76" s="102"/>
      <c r="H76" s="102"/>
      <c r="I76" s="69"/>
      <c r="J76" s="61"/>
      <c r="K76" s="103"/>
    </row>
    <row r="77" spans="1:11" x14ac:dyDescent="0.2">
      <c r="A77" s="127" t="s">
        <v>374</v>
      </c>
      <c r="B77" s="62" t="s">
        <v>529</v>
      </c>
      <c r="C77" s="123" t="s">
        <v>460</v>
      </c>
      <c r="D77" s="100"/>
      <c r="E77" s="69"/>
      <c r="F77" s="101"/>
      <c r="G77" s="102"/>
      <c r="H77" s="102"/>
      <c r="I77" s="69" t="s">
        <v>461</v>
      </c>
      <c r="J77" s="61"/>
      <c r="K77" s="103"/>
    </row>
    <row r="78" spans="1:11" x14ac:dyDescent="0.2">
      <c r="A78" s="127" t="s">
        <v>374</v>
      </c>
      <c r="B78" s="62" t="s">
        <v>529</v>
      </c>
      <c r="C78" s="2" t="s">
        <v>41</v>
      </c>
      <c r="D78" s="100">
        <v>1</v>
      </c>
      <c r="E78" s="69">
        <f>SUMIF(support!C:C,C78,support!I:I)</f>
        <v>0</v>
      </c>
      <c r="F78" s="101">
        <f>E78 / D78</f>
        <v>0</v>
      </c>
      <c r="G78" s="102">
        <f>SUMIF(support!C:C,C78,support!J:J)</f>
        <v>4.8056985539062499E-2</v>
      </c>
      <c r="H78" s="102">
        <f>SUMIF(support!C:C,C78,support!K:K)</f>
        <v>0</v>
      </c>
      <c r="I78" s="69"/>
      <c r="J78" s="61">
        <f>SUMIF(support!C:C,C78,support!L:L)</f>
        <v>1</v>
      </c>
      <c r="K78" s="103" t="b">
        <f>OR(COUNTIF(F78:H78, "&lt;&gt;0") &gt; 1, J78 = 0)</f>
        <v>0</v>
      </c>
    </row>
    <row r="79" spans="1:11" x14ac:dyDescent="0.2">
      <c r="A79" s="127" t="s">
        <v>374</v>
      </c>
      <c r="B79" s="62" t="s">
        <v>529</v>
      </c>
      <c r="C79" s="123" t="s">
        <v>467</v>
      </c>
      <c r="D79" s="100"/>
      <c r="E79" s="69"/>
      <c r="F79" s="101"/>
      <c r="G79" s="102"/>
      <c r="H79" s="102"/>
      <c r="I79" s="69" t="s">
        <v>468</v>
      </c>
      <c r="J79" s="61"/>
      <c r="K79" s="103"/>
    </row>
    <row r="80" spans="1:11" x14ac:dyDescent="0.2">
      <c r="A80" s="127" t="s">
        <v>374</v>
      </c>
      <c r="B80" s="62" t="s">
        <v>529</v>
      </c>
      <c r="C80" s="2" t="s">
        <v>32</v>
      </c>
      <c r="D80" s="100">
        <v>1</v>
      </c>
      <c r="E80" s="69">
        <f>SUMIF(support!C:C,C80,support!I:I)</f>
        <v>0</v>
      </c>
      <c r="F80" s="101">
        <f>E80 / D80</f>
        <v>0</v>
      </c>
      <c r="G80" s="102">
        <f>SUMIF(support!C:C,C80,support!J:J)</f>
        <v>0.58407720885937497</v>
      </c>
      <c r="H80" s="102">
        <f>SUMIF(support!C:C,C80,support!K:K)</f>
        <v>0</v>
      </c>
      <c r="I80" s="69" t="s">
        <v>541</v>
      </c>
      <c r="J80" s="61">
        <f>SUMIF(support!C:C,C80,support!L:L)</f>
        <v>7</v>
      </c>
      <c r="K80" s="103" t="b">
        <f>OR(COUNTIF(F80:H80, "&lt;&gt;0") &gt; 1, J80 = 0)</f>
        <v>0</v>
      </c>
    </row>
    <row r="81" spans="1:11" x14ac:dyDescent="0.2">
      <c r="A81" s="127" t="s">
        <v>374</v>
      </c>
      <c r="B81" s="62" t="s">
        <v>529</v>
      </c>
      <c r="C81" s="2" t="s">
        <v>52</v>
      </c>
      <c r="D81" s="100">
        <v>1</v>
      </c>
      <c r="E81" s="69">
        <f>SUMIF(support!C:C,C81,support!I:I)</f>
        <v>0</v>
      </c>
      <c r="F81" s="101">
        <f>E81 / D81</f>
        <v>0</v>
      </c>
      <c r="G81" s="102">
        <f>SUMIF(support!C:C,C81,support!J:J)</f>
        <v>5.9147059124999998E-2</v>
      </c>
      <c r="H81" s="102">
        <f>SUMIF(support!C:C,C81,support!K:K)</f>
        <v>0</v>
      </c>
      <c r="I81" s="69"/>
      <c r="J81" s="61">
        <f>SUMIF(support!C:C,C81,support!L:L)</f>
        <v>1</v>
      </c>
      <c r="K81" s="103" t="b">
        <f>OR(COUNTIF(F81:H81, "&lt;&gt;0") &gt; 1, J81 = 0)</f>
        <v>0</v>
      </c>
    </row>
    <row r="82" spans="1:11" x14ac:dyDescent="0.2">
      <c r="A82" s="127" t="s">
        <v>374</v>
      </c>
      <c r="B82" s="62" t="s">
        <v>529</v>
      </c>
      <c r="C82" s="2" t="s">
        <v>79</v>
      </c>
      <c r="D82" s="100">
        <v>1</v>
      </c>
      <c r="E82" s="69">
        <f>SUMIF(support!C:C,C82,support!I:I)</f>
        <v>0</v>
      </c>
      <c r="F82" s="101">
        <f>E82 / D82</f>
        <v>0</v>
      </c>
      <c r="G82" s="102">
        <f>SUMIF(support!C:C,C82,support!J:J)</f>
        <v>0.70976470949999992</v>
      </c>
      <c r="H82" s="102">
        <f>SUMIF(support!C:C,C82,support!K:K)</f>
        <v>0</v>
      </c>
      <c r="I82" s="69"/>
      <c r="J82" s="61">
        <f>SUMIF(support!C:C,C82,support!L:L)</f>
        <v>2</v>
      </c>
      <c r="K82" s="103" t="b">
        <f>OR(COUNTIF(F82:H82, "&lt;&gt;0") &gt; 1, J82 = 0)</f>
        <v>0</v>
      </c>
    </row>
    <row r="83" spans="1:11" x14ac:dyDescent="0.2">
      <c r="A83" s="127" t="s">
        <v>374</v>
      </c>
      <c r="B83" s="62" t="s">
        <v>529</v>
      </c>
      <c r="C83" s="2" t="s">
        <v>89</v>
      </c>
      <c r="D83" s="100">
        <v>1</v>
      </c>
      <c r="E83" s="69">
        <f>SUMIF(support!C:C,C83,support!I:I)</f>
        <v>0</v>
      </c>
      <c r="F83" s="101">
        <f>E83 / D83</f>
        <v>0</v>
      </c>
      <c r="G83" s="102">
        <f>SUMIF(support!C:C,C83,support!J:J)</f>
        <v>0.23658823649999999</v>
      </c>
      <c r="H83" s="102">
        <f>SUMIF(support!C:C,C83,support!K:K)</f>
        <v>0</v>
      </c>
      <c r="I83" s="104" t="s">
        <v>466</v>
      </c>
      <c r="J83" s="61">
        <f>SUMIF(support!C:C,C83,support!L:L)</f>
        <v>1</v>
      </c>
      <c r="K83" s="103" t="b">
        <f>OR(COUNTIF(F83:H83, "&lt;&gt;0") &gt; 1, J83 = 0)</f>
        <v>0</v>
      </c>
    </row>
    <row r="84" spans="1:11" x14ac:dyDescent="0.2">
      <c r="A84" s="127" t="s">
        <v>374</v>
      </c>
      <c r="B84" s="62" t="s">
        <v>529</v>
      </c>
      <c r="C84" s="123" t="s">
        <v>494</v>
      </c>
      <c r="D84" s="100"/>
      <c r="E84" s="69"/>
      <c r="F84" s="101"/>
      <c r="G84" s="102"/>
      <c r="H84" s="102"/>
      <c r="I84" s="69"/>
      <c r="J84" s="61"/>
      <c r="K84" s="103"/>
    </row>
    <row r="85" spans="1:11" x14ac:dyDescent="0.2">
      <c r="A85" s="127" t="s">
        <v>374</v>
      </c>
      <c r="B85" s="62" t="s">
        <v>529</v>
      </c>
      <c r="C85" s="2" t="s">
        <v>435</v>
      </c>
      <c r="D85" s="100">
        <v>1</v>
      </c>
      <c r="E85" s="69">
        <f>SUMIF(support!C:C,C85,support!I:I)</f>
        <v>0</v>
      </c>
      <c r="F85" s="101">
        <f>E85 / D85</f>
        <v>0</v>
      </c>
      <c r="G85" s="102">
        <f>SUMIF(support!C:C,C85,support!J:J)</f>
        <v>7.3342353314999995</v>
      </c>
      <c r="H85" s="102">
        <f>SUMIF(support!C:C,C85,support!K:K)</f>
        <v>0</v>
      </c>
      <c r="I85" s="69"/>
      <c r="J85" s="61">
        <f>SUMIF(support!C:C,C85,support!L:L)</f>
        <v>1</v>
      </c>
      <c r="K85" s="103" t="b">
        <f>OR(COUNTIF(F85:H85, "&lt;&gt;0") &gt; 1, J85 = 0)</f>
        <v>0</v>
      </c>
    </row>
    <row r="86" spans="1:11" x14ac:dyDescent="0.2">
      <c r="A86" s="127" t="s">
        <v>374</v>
      </c>
      <c r="B86" s="62" t="s">
        <v>529</v>
      </c>
      <c r="C86" s="123" t="s">
        <v>481</v>
      </c>
      <c r="D86" s="100"/>
      <c r="E86" s="69"/>
      <c r="F86" s="101"/>
      <c r="G86" s="102"/>
      <c r="H86" s="102"/>
      <c r="I86" s="69" t="s">
        <v>500</v>
      </c>
      <c r="J86" s="61"/>
      <c r="K86" s="103"/>
    </row>
    <row r="87" spans="1:11" x14ac:dyDescent="0.2">
      <c r="A87" s="127" t="s">
        <v>374</v>
      </c>
      <c r="B87" s="62" t="s">
        <v>529</v>
      </c>
      <c r="C87" s="2" t="s">
        <v>11</v>
      </c>
      <c r="D87" s="100">
        <v>1</v>
      </c>
      <c r="E87" s="69">
        <f>SUMIF(support!C:C,C87,support!I:I)</f>
        <v>6.3889024765583793E-2</v>
      </c>
      <c r="F87" s="101">
        <f>E87 / D87</f>
        <v>6.3889024765583793E-2</v>
      </c>
      <c r="G87" s="102">
        <f>SUMIF(support!C:C,C87,support!J:J)</f>
        <v>0</v>
      </c>
      <c r="H87" s="102">
        <f>SUMIF(support!C:C,C87,support!K:K)</f>
        <v>0</v>
      </c>
      <c r="I87" s="69"/>
      <c r="J87" s="61">
        <f>SUMIF(support!C:C,C87,support!L:L)</f>
        <v>10</v>
      </c>
      <c r="K87" s="103" t="b">
        <f>OR(COUNTIF(F87:H87, "&lt;&gt;0") &gt; 1, J87 = 0)</f>
        <v>0</v>
      </c>
    </row>
    <row r="88" spans="1:11" x14ac:dyDescent="0.2">
      <c r="A88" s="127" t="s">
        <v>374</v>
      </c>
      <c r="B88" s="62" t="s">
        <v>529</v>
      </c>
      <c r="C88" s="2" t="s">
        <v>138</v>
      </c>
      <c r="D88" s="100">
        <v>1</v>
      </c>
      <c r="E88" s="69">
        <f>SUMIF(support!C:C,C88,support!I:I)</f>
        <v>0</v>
      </c>
      <c r="F88" s="101">
        <f>E88 / D88</f>
        <v>0</v>
      </c>
      <c r="G88" s="102">
        <f>SUMIF(support!C:C,C88,support!J:J)</f>
        <v>9.2417279882812495E-2</v>
      </c>
      <c r="H88" s="102">
        <f>SUMIF(support!C:C,C88,support!K:K)</f>
        <v>0</v>
      </c>
      <c r="I88" s="69"/>
      <c r="J88" s="61">
        <f>SUMIF(support!C:C,C88,support!L:L)</f>
        <v>1</v>
      </c>
      <c r="K88" s="103" t="b">
        <f>OR(COUNTIF(F88:H88, "&lt;&gt;0") &gt; 1, J88 = 0)</f>
        <v>0</v>
      </c>
    </row>
    <row r="89" spans="1:11" x14ac:dyDescent="0.2">
      <c r="A89" s="127" t="s">
        <v>374</v>
      </c>
      <c r="B89" s="62" t="s">
        <v>529</v>
      </c>
      <c r="C89" s="2" t="s">
        <v>88</v>
      </c>
      <c r="D89" s="100">
        <v>1</v>
      </c>
      <c r="E89" s="69">
        <f>SUMIF(support!C:C,C89,support!I:I)</f>
        <v>0</v>
      </c>
      <c r="F89" s="101">
        <f>E89 / D89</f>
        <v>0</v>
      </c>
      <c r="G89" s="102">
        <f>SUMIF(support!C:C,C89,support!J:J)</f>
        <v>5.9147059124999998E-2</v>
      </c>
      <c r="H89" s="102">
        <f>SUMIF(support!C:C,C89,support!K:K)</f>
        <v>0</v>
      </c>
      <c r="I89" s="104" t="s">
        <v>151</v>
      </c>
      <c r="J89" s="61">
        <f>SUMIF(support!C:C,C89,support!L:L)</f>
        <v>1</v>
      </c>
      <c r="K89" s="105" t="b">
        <f>OR(COUNTIF(F89:H89, "&lt;&gt;0") &gt; 1, J89 = 0)</f>
        <v>0</v>
      </c>
    </row>
    <row r="90" spans="1:11" x14ac:dyDescent="0.2">
      <c r="A90" s="127" t="s">
        <v>374</v>
      </c>
      <c r="B90" s="62" t="s">
        <v>529</v>
      </c>
      <c r="C90" s="2" t="s">
        <v>252</v>
      </c>
      <c r="D90" s="100">
        <v>1</v>
      </c>
      <c r="E90" s="69">
        <f>SUMIF(support!C:C,C90,support!I:I)</f>
        <v>0</v>
      </c>
      <c r="F90" s="101">
        <f>E90 / D90</f>
        <v>0</v>
      </c>
      <c r="G90" s="102">
        <f>SUMIF(support!C:C,C90,support!J:J)</f>
        <v>11.247404763210001</v>
      </c>
      <c r="H90" s="102">
        <f>SUMIF(support!C:C,C90,support!K:K)</f>
        <v>0</v>
      </c>
      <c r="I90" s="104" t="s">
        <v>538</v>
      </c>
      <c r="J90" s="61">
        <f>SUMIF(support!C:C,C90,support!L:L)</f>
        <v>2</v>
      </c>
      <c r="K90" s="103" t="b">
        <f>OR(COUNTIF(F90:H90, "&lt;&gt;0") &gt; 1, J90 = 0)</f>
        <v>0</v>
      </c>
    </row>
    <row r="91" spans="1:11" x14ac:dyDescent="0.2">
      <c r="A91" s="127" t="s">
        <v>374</v>
      </c>
      <c r="B91" s="62" t="s">
        <v>529</v>
      </c>
      <c r="C91" s="123" t="s">
        <v>495</v>
      </c>
      <c r="D91" s="100"/>
      <c r="E91" s="69"/>
      <c r="F91" s="101"/>
      <c r="G91" s="102"/>
      <c r="H91" s="102"/>
      <c r="I91" s="69" t="s">
        <v>496</v>
      </c>
      <c r="J91" s="61"/>
      <c r="K91" s="103"/>
    </row>
    <row r="92" spans="1:11" x14ac:dyDescent="0.2">
      <c r="A92" s="127" t="s">
        <v>374</v>
      </c>
      <c r="B92" s="62" t="s">
        <v>529</v>
      </c>
      <c r="C92" s="123" t="s">
        <v>501</v>
      </c>
      <c r="D92" s="100"/>
      <c r="E92" s="69"/>
      <c r="F92" s="101"/>
      <c r="G92" s="102"/>
      <c r="H92" s="102"/>
      <c r="I92" s="69" t="s">
        <v>502</v>
      </c>
      <c r="J92" s="61"/>
      <c r="K92" s="103"/>
    </row>
    <row r="93" spans="1:11" x14ac:dyDescent="0.2">
      <c r="A93" s="127" t="s">
        <v>374</v>
      </c>
      <c r="B93" s="62" t="s">
        <v>529</v>
      </c>
      <c r="C93" s="2" t="s">
        <v>251</v>
      </c>
      <c r="D93" s="100">
        <v>1</v>
      </c>
      <c r="E93" s="69">
        <f>SUMIF(support!C:C,C93,support!I:I)</f>
        <v>0</v>
      </c>
      <c r="F93" s="101">
        <f>E93 / D93</f>
        <v>0</v>
      </c>
      <c r="G93" s="102">
        <f>SUMIF(support!C:C,C93,support!J:J)</f>
        <v>2.9573529562499999E-2</v>
      </c>
      <c r="H93" s="102">
        <f>SUMIF(support!C:C,C93,support!K:K)</f>
        <v>0</v>
      </c>
      <c r="I93" s="69"/>
      <c r="J93" s="61">
        <f>SUMIF(support!C:C,C93,support!L:L)</f>
        <v>1</v>
      </c>
      <c r="K93" s="103" t="b">
        <f>OR(COUNTIF(F93:H93, "&lt;&gt;0") &gt; 1, J93 = 0)</f>
        <v>0</v>
      </c>
    </row>
    <row r="94" spans="1:11" x14ac:dyDescent="0.2">
      <c r="A94" s="127" t="s">
        <v>374</v>
      </c>
      <c r="B94" s="62" t="s">
        <v>529</v>
      </c>
      <c r="C94" s="2" t="s">
        <v>136</v>
      </c>
      <c r="D94" s="100">
        <v>1</v>
      </c>
      <c r="E94" s="69">
        <f>SUMIF(support!C:C,C94,support!I:I)</f>
        <v>0</v>
      </c>
      <c r="F94" s="101">
        <f>E94 / D94</f>
        <v>0</v>
      </c>
      <c r="G94" s="102">
        <f>SUMIF(support!C:C,C94,support!J:J)</f>
        <v>4.4360294343749995E-2</v>
      </c>
      <c r="H94" s="102">
        <f>SUMIF(support!C:C,C94,support!K:K)</f>
        <v>0</v>
      </c>
      <c r="I94" s="69"/>
      <c r="J94" s="61">
        <f>SUMIF(support!C:C,C94,support!L:L)</f>
        <v>1</v>
      </c>
      <c r="K94" s="103" t="b">
        <f>OR(COUNTIF(F94:H94, "&lt;&gt;0") &gt; 1, J94 = 0)</f>
        <v>0</v>
      </c>
    </row>
    <row r="95" spans="1:11" x14ac:dyDescent="0.2">
      <c r="A95" s="127" t="s">
        <v>374</v>
      </c>
      <c r="B95" s="62" t="s">
        <v>529</v>
      </c>
      <c r="C95" s="123" t="s">
        <v>462</v>
      </c>
      <c r="D95" s="100"/>
      <c r="E95" s="69"/>
      <c r="F95" s="101"/>
      <c r="G95" s="102"/>
      <c r="H95" s="102"/>
      <c r="I95" s="69" t="s">
        <v>463</v>
      </c>
      <c r="J95" s="61"/>
      <c r="K95" s="103"/>
    </row>
    <row r="96" spans="1:11" x14ac:dyDescent="0.2">
      <c r="A96" s="127" t="s">
        <v>374</v>
      </c>
      <c r="B96" s="62" t="s">
        <v>529</v>
      </c>
      <c r="C96" s="2" t="s">
        <v>139</v>
      </c>
      <c r="D96" s="100">
        <v>1</v>
      </c>
      <c r="E96" s="69">
        <f>SUMIF(support!C:C,C96,support!I:I)</f>
        <v>0</v>
      </c>
      <c r="F96" s="101">
        <f t="shared" ref="F96:F104" si="4">E96 / D96</f>
        <v>0</v>
      </c>
      <c r="G96" s="102">
        <f>SUMIF(support!C:C,C96,support!J:J)</f>
        <v>4.4360294343749995E-2</v>
      </c>
      <c r="H96" s="102">
        <f>SUMIF(support!C:C,C96,support!K:K)</f>
        <v>0</v>
      </c>
      <c r="I96" s="69"/>
      <c r="J96" s="61">
        <f>SUMIF(support!C:C,C96,support!L:L)</f>
        <v>2</v>
      </c>
      <c r="K96" s="103" t="b">
        <f t="shared" ref="K96:K104" si="5">OR(COUNTIF(F96:H96, "&lt;&gt;0") &gt; 1, J96 = 0)</f>
        <v>0</v>
      </c>
    </row>
    <row r="97" spans="1:11" x14ac:dyDescent="0.2">
      <c r="A97" s="127" t="s">
        <v>374</v>
      </c>
      <c r="B97" s="62" t="s">
        <v>529</v>
      </c>
      <c r="C97" s="2" t="s">
        <v>363</v>
      </c>
      <c r="D97" s="100">
        <v>1</v>
      </c>
      <c r="E97" s="69">
        <f>SUMIF(support!C:C,C97,support!I:I)</f>
        <v>0</v>
      </c>
      <c r="F97" s="101">
        <f t="shared" si="4"/>
        <v>0</v>
      </c>
      <c r="G97" s="102">
        <f>SUMIF(support!C:C,C97,support!J:J)</f>
        <v>0</v>
      </c>
      <c r="H97" s="102">
        <f>SUMIF(support!C:C,C97,support!K:K)</f>
        <v>3.75</v>
      </c>
      <c r="I97" s="69" t="s">
        <v>144</v>
      </c>
      <c r="J97" s="61">
        <f>SUMIF(support!C:C,C97,support!L:L)</f>
        <v>1</v>
      </c>
      <c r="K97" s="103" t="b">
        <f t="shared" si="5"/>
        <v>0</v>
      </c>
    </row>
    <row r="98" spans="1:11" x14ac:dyDescent="0.2">
      <c r="A98" s="127" t="s">
        <v>374</v>
      </c>
      <c r="B98" s="62" t="s">
        <v>529</v>
      </c>
      <c r="C98" s="2" t="s">
        <v>364</v>
      </c>
      <c r="D98" s="100">
        <v>1</v>
      </c>
      <c r="E98" s="69">
        <f>SUMIF(support!C:C,C98,support!I:I)</f>
        <v>0</v>
      </c>
      <c r="F98" s="101">
        <f t="shared" si="4"/>
        <v>0</v>
      </c>
      <c r="G98" s="102">
        <f>SUMIF(support!C:C,C98,support!J:J)</f>
        <v>0</v>
      </c>
      <c r="H98" s="102">
        <f>SUMIF(support!C:C,C98,support!K:K)</f>
        <v>2</v>
      </c>
      <c r="I98" s="69"/>
      <c r="J98" s="61">
        <f>SUMIF(support!C:C,C98,support!L:L)</f>
        <v>1</v>
      </c>
      <c r="K98" s="103" t="b">
        <f t="shared" si="5"/>
        <v>0</v>
      </c>
    </row>
    <row r="99" spans="1:11" x14ac:dyDescent="0.2">
      <c r="A99" s="127" t="s">
        <v>374</v>
      </c>
      <c r="B99" s="62" t="s">
        <v>529</v>
      </c>
      <c r="C99" s="2" t="s">
        <v>365</v>
      </c>
      <c r="D99" s="100">
        <v>1</v>
      </c>
      <c r="E99" s="69">
        <f>SUMIF(support!C:C,C99,support!I:I)</f>
        <v>0</v>
      </c>
      <c r="F99" s="101">
        <f t="shared" si="4"/>
        <v>0</v>
      </c>
      <c r="G99" s="102">
        <f>SUMIF(support!C:C,C99,support!J:J)</f>
        <v>0</v>
      </c>
      <c r="H99" s="102">
        <f>SUMIF(support!C:C,C99,support!K:K)</f>
        <v>4</v>
      </c>
      <c r="I99" s="69" t="s">
        <v>381</v>
      </c>
      <c r="J99" s="61">
        <f>SUMIF(support!C:C,C99,support!L:L)</f>
        <v>1</v>
      </c>
      <c r="K99" s="103" t="b">
        <f t="shared" si="5"/>
        <v>0</v>
      </c>
    </row>
    <row r="100" spans="1:11" x14ac:dyDescent="0.2">
      <c r="A100" s="127" t="s">
        <v>374</v>
      </c>
      <c r="B100" s="62" t="s">
        <v>529</v>
      </c>
      <c r="C100" s="2" t="s">
        <v>366</v>
      </c>
      <c r="D100" s="100">
        <v>1</v>
      </c>
      <c r="E100" s="69">
        <f>SUMIF(support!C:C,C100,support!I:I)</f>
        <v>0</v>
      </c>
      <c r="F100" s="101">
        <f t="shared" si="4"/>
        <v>0</v>
      </c>
      <c r="G100" s="102">
        <f>SUMIF(support!C:C,C100,support!J:J)</f>
        <v>0</v>
      </c>
      <c r="H100" s="102">
        <f>SUMIF(support!C:C,C100,support!K:K)</f>
        <v>4.5</v>
      </c>
      <c r="I100" s="69" t="s">
        <v>380</v>
      </c>
      <c r="J100" s="61">
        <f>SUMIF(support!C:C,C100,support!L:L)</f>
        <v>2</v>
      </c>
      <c r="K100" s="103" t="b">
        <f t="shared" si="5"/>
        <v>0</v>
      </c>
    </row>
    <row r="101" spans="1:11" x14ac:dyDescent="0.2">
      <c r="A101" s="127" t="s">
        <v>374</v>
      </c>
      <c r="B101" s="62" t="s">
        <v>529</v>
      </c>
      <c r="C101" s="2" t="s">
        <v>367</v>
      </c>
      <c r="D101" s="100">
        <v>1</v>
      </c>
      <c r="E101" s="69">
        <f>SUMIF(support!C:C,C101,support!I:I)</f>
        <v>0</v>
      </c>
      <c r="F101" s="101">
        <f t="shared" si="4"/>
        <v>0</v>
      </c>
      <c r="G101" s="102">
        <f>SUMIF(support!C:C,C101,support!J:J)</f>
        <v>0</v>
      </c>
      <c r="H101" s="102">
        <f>SUMIF(support!C:C,C101,support!K:K)</f>
        <v>4.75</v>
      </c>
      <c r="I101" s="69" t="s">
        <v>324</v>
      </c>
      <c r="J101" s="61">
        <f>SUMIF(support!C:C,C101,support!L:L)</f>
        <v>4</v>
      </c>
      <c r="K101" s="103" t="b">
        <f t="shared" si="5"/>
        <v>0</v>
      </c>
    </row>
    <row r="102" spans="1:11" x14ac:dyDescent="0.2">
      <c r="A102" s="127" t="s">
        <v>374</v>
      </c>
      <c r="B102" s="62" t="s">
        <v>529</v>
      </c>
      <c r="C102" s="2" t="s">
        <v>368</v>
      </c>
      <c r="D102" s="100">
        <v>1</v>
      </c>
      <c r="E102" s="69">
        <f>SUMIF(support!C:C,C102,support!I:I)</f>
        <v>0</v>
      </c>
      <c r="F102" s="101">
        <f t="shared" si="4"/>
        <v>0</v>
      </c>
      <c r="G102" s="102">
        <f>SUMIF(support!C:C,C102,support!J:J)</f>
        <v>2.0701470693749999</v>
      </c>
      <c r="H102" s="102">
        <f>SUMIF(support!C:C,C102,support!K:K)</f>
        <v>0</v>
      </c>
      <c r="I102" s="69" t="s">
        <v>324</v>
      </c>
      <c r="J102" s="61">
        <f>SUMIF(support!C:C,C102,support!L:L)</f>
        <v>2</v>
      </c>
      <c r="K102" s="103" t="b">
        <f t="shared" si="5"/>
        <v>0</v>
      </c>
    </row>
    <row r="103" spans="1:11" x14ac:dyDescent="0.2">
      <c r="A103" s="127" t="s">
        <v>374</v>
      </c>
      <c r="B103" s="62" t="s">
        <v>529</v>
      </c>
      <c r="C103" s="2" t="s">
        <v>369</v>
      </c>
      <c r="D103" s="100">
        <v>1</v>
      </c>
      <c r="E103" s="69">
        <f>SUMIF(support!C:C,C103,support!I:I)</f>
        <v>0</v>
      </c>
      <c r="F103" s="101">
        <f t="shared" si="4"/>
        <v>0</v>
      </c>
      <c r="G103" s="102">
        <f>SUMIF(support!C:C,C103,support!J:J)</f>
        <v>0</v>
      </c>
      <c r="H103" s="102">
        <f>SUMIF(support!C:C,C103,support!K:K)</f>
        <v>2</v>
      </c>
      <c r="I103" s="69"/>
      <c r="J103" s="61">
        <f>SUMIF(support!C:C,C103,support!L:L)</f>
        <v>1</v>
      </c>
      <c r="K103" s="103" t="b">
        <f t="shared" si="5"/>
        <v>0</v>
      </c>
    </row>
    <row r="104" spans="1:11" x14ac:dyDescent="0.2">
      <c r="A104" s="127" t="s">
        <v>374</v>
      </c>
      <c r="B104" s="62" t="s">
        <v>529</v>
      </c>
      <c r="C104" s="2" t="s">
        <v>518</v>
      </c>
      <c r="D104" s="100">
        <v>1</v>
      </c>
      <c r="E104" s="69">
        <f>SUMIF(support!C:C,C104,support!I:I)</f>
        <v>0</v>
      </c>
      <c r="F104" s="101">
        <f t="shared" si="4"/>
        <v>0</v>
      </c>
      <c r="G104" s="102">
        <f>SUMIF(support!C:C,C104,support!J:J)</f>
        <v>0</v>
      </c>
      <c r="H104" s="102">
        <f>SUMIF(support!C:C,C104,support!K:K)</f>
        <v>22.5</v>
      </c>
      <c r="I104" s="69" t="s">
        <v>519</v>
      </c>
      <c r="J104" s="61">
        <f>SUMIF(support!C:C,C104,support!L:L)</f>
        <v>1</v>
      </c>
      <c r="K104" s="103" t="b">
        <f t="shared" si="5"/>
        <v>0</v>
      </c>
    </row>
    <row r="105" spans="1:11" x14ac:dyDescent="0.2">
      <c r="A105" s="127" t="s">
        <v>374</v>
      </c>
      <c r="B105" s="62" t="s">
        <v>529</v>
      </c>
      <c r="C105" s="123" t="s">
        <v>484</v>
      </c>
      <c r="D105" s="100"/>
      <c r="E105" s="69"/>
      <c r="F105" s="101"/>
      <c r="G105" s="102"/>
      <c r="H105" s="102"/>
      <c r="I105" s="69" t="s">
        <v>498</v>
      </c>
      <c r="J105" s="61"/>
      <c r="K105" s="103"/>
    </row>
    <row r="106" spans="1:11" x14ac:dyDescent="0.2">
      <c r="A106" s="127" t="s">
        <v>374</v>
      </c>
      <c r="B106" s="62" t="s">
        <v>529</v>
      </c>
      <c r="C106" s="123" t="s">
        <v>477</v>
      </c>
      <c r="D106" s="100"/>
      <c r="E106" s="69"/>
      <c r="F106" s="101"/>
      <c r="G106" s="102"/>
      <c r="H106" s="102"/>
      <c r="I106" s="69" t="s">
        <v>478</v>
      </c>
      <c r="J106" s="61"/>
      <c r="K106" s="103"/>
    </row>
    <row r="107" spans="1:11" x14ac:dyDescent="0.2">
      <c r="A107" s="127" t="s">
        <v>374</v>
      </c>
      <c r="B107" s="62" t="s">
        <v>529</v>
      </c>
      <c r="C107" s="123" t="s">
        <v>262</v>
      </c>
      <c r="D107" s="100"/>
      <c r="E107" s="69"/>
      <c r="F107" s="101"/>
      <c r="G107" s="102"/>
      <c r="H107" s="102"/>
      <c r="I107" s="69" t="s">
        <v>476</v>
      </c>
      <c r="J107" s="61"/>
      <c r="K107" s="103"/>
    </row>
    <row r="108" spans="1:11" x14ac:dyDescent="0.2">
      <c r="A108" s="127" t="s">
        <v>374</v>
      </c>
      <c r="B108" s="62" t="s">
        <v>529</v>
      </c>
      <c r="C108" s="123" t="s">
        <v>488</v>
      </c>
      <c r="D108" s="100"/>
      <c r="E108" s="69"/>
      <c r="F108" s="101"/>
      <c r="G108" s="102"/>
      <c r="H108" s="102"/>
      <c r="I108" s="69" t="s">
        <v>491</v>
      </c>
      <c r="J108" s="61"/>
      <c r="K108" s="103"/>
    </row>
    <row r="109" spans="1:11" x14ac:dyDescent="0.2">
      <c r="A109" s="127" t="s">
        <v>371</v>
      </c>
      <c r="B109" s="125"/>
      <c r="C109" s="2" t="s">
        <v>58</v>
      </c>
      <c r="D109" s="100">
        <v>1</v>
      </c>
      <c r="E109" s="69">
        <f>SUMIF(support!C:C,C109,support!I:I)</f>
        <v>0</v>
      </c>
      <c r="F109" s="101">
        <f>E109 / D109</f>
        <v>0</v>
      </c>
      <c r="G109" s="102">
        <f>SUMIF(support!C:C,C109,support!J:J)</f>
        <v>0</v>
      </c>
      <c r="H109" s="102">
        <f>SUMIF(support!C:C,C109,support!K:K)</f>
        <v>0</v>
      </c>
      <c r="I109" s="104" t="s">
        <v>528</v>
      </c>
      <c r="J109" s="61">
        <f>SUMIF(support!C:C,C109,support!L:L)</f>
        <v>1</v>
      </c>
      <c r="K109" s="103" t="b">
        <f>OR(COUNTIF(F109:H109, "&lt;&gt;0") &gt; 1, J109 = 0)</f>
        <v>0</v>
      </c>
    </row>
    <row r="110" spans="1:11" x14ac:dyDescent="0.2">
      <c r="A110" s="127" t="s">
        <v>371</v>
      </c>
      <c r="B110" s="125"/>
      <c r="C110" s="2" t="s">
        <v>270</v>
      </c>
      <c r="D110" s="100">
        <v>1</v>
      </c>
      <c r="E110" s="69">
        <f>SUMIF(support!C:C,C110,support!I:I)</f>
        <v>0</v>
      </c>
      <c r="F110" s="101">
        <f>E110 / D110</f>
        <v>0</v>
      </c>
      <c r="G110" s="102">
        <f>SUMIF(support!C:C,C110,support!J:J)</f>
        <v>0</v>
      </c>
      <c r="H110" s="102">
        <f>SUMIF(support!C:C,C110,support!K:K)</f>
        <v>0</v>
      </c>
      <c r="I110" s="69"/>
      <c r="J110" s="61">
        <f>SUMIF(support!C:C,C110,support!L:L)</f>
        <v>1</v>
      </c>
      <c r="K110" s="103" t="b">
        <f>OR(COUNTIF(F110:H110, "&lt;&gt;0") &gt; 1, J110 = 0)</f>
        <v>0</v>
      </c>
    </row>
    <row r="111" spans="1:11" x14ac:dyDescent="0.2">
      <c r="A111" s="127" t="s">
        <v>371</v>
      </c>
      <c r="B111" s="125"/>
      <c r="C111" s="2" t="s">
        <v>63</v>
      </c>
      <c r="D111" s="100">
        <v>1</v>
      </c>
      <c r="E111" s="69">
        <f>SUMIF(support!C:C,C111,support!I:I)</f>
        <v>0</v>
      </c>
      <c r="F111" s="101">
        <f>E111 / D111</f>
        <v>0</v>
      </c>
      <c r="G111" s="102">
        <f>SUMIF(support!C:C,C111,support!J:J)</f>
        <v>0</v>
      </c>
      <c r="H111" s="102">
        <f>SUMIF(support!C:C,C111,support!K:K)</f>
        <v>2.75</v>
      </c>
      <c r="I111" s="69"/>
      <c r="J111" s="61">
        <f>SUMIF(support!C:C,C111,support!L:L)</f>
        <v>1</v>
      </c>
      <c r="K111" s="103" t="b">
        <f>OR(COUNTIF(F111:H111, "&lt;&gt;0") &gt; 1, J111 = 0)</f>
        <v>0</v>
      </c>
    </row>
    <row r="112" spans="1:11" x14ac:dyDescent="0.2">
      <c r="A112" s="127" t="s">
        <v>371</v>
      </c>
      <c r="B112" s="125"/>
      <c r="C112" s="2" t="s">
        <v>64</v>
      </c>
      <c r="D112" s="100">
        <v>1</v>
      </c>
      <c r="E112" s="69">
        <f>SUMIF(support!C:C,C112,support!I:I)</f>
        <v>0</v>
      </c>
      <c r="F112" s="101">
        <f>E112 / D112</f>
        <v>0</v>
      </c>
      <c r="G112" s="102">
        <f>SUMIF(support!C:C,C112,support!J:J)</f>
        <v>0</v>
      </c>
      <c r="H112" s="102">
        <f>SUMIF(support!C:C,C112,support!K:K)</f>
        <v>2.75</v>
      </c>
      <c r="I112" s="69"/>
      <c r="J112" s="61">
        <f>SUMIF(support!C:C,C112,support!L:L)</f>
        <v>1</v>
      </c>
      <c r="K112" s="103" t="b">
        <f>OR(COUNTIF(F112:H112, "&lt;&gt;0") &gt; 1, J112 = 0)</f>
        <v>0</v>
      </c>
    </row>
    <row r="113" spans="1:11" ht="13.5" thickBot="1" x14ac:dyDescent="0.25">
      <c r="A113" s="128" t="s">
        <v>371</v>
      </c>
      <c r="B113" s="107"/>
      <c r="C113" s="124" t="s">
        <v>33</v>
      </c>
      <c r="D113" s="106">
        <v>1</v>
      </c>
      <c r="E113" s="107">
        <f>SUMIF(support!C:C,C113,support!I:I)</f>
        <v>6.9896764883749993</v>
      </c>
      <c r="F113" s="108">
        <f>E113 / D113</f>
        <v>6.9896764883749993</v>
      </c>
      <c r="G113" s="109">
        <f>SUMIF(support!C:C,C113,support!J:J)</f>
        <v>0</v>
      </c>
      <c r="H113" s="109">
        <f>SUMIF(support!C:C,C113,support!K:K)</f>
        <v>0</v>
      </c>
      <c r="I113" s="107"/>
      <c r="J113" s="110">
        <f>SUMIF(support!C:C,C113,support!L:L)</f>
        <v>9</v>
      </c>
      <c r="K113" s="111" t="b">
        <f>OR(COUNTIF(F113:H113, "&lt;&gt;0") &gt; 1, J113 = 0)</f>
        <v>0</v>
      </c>
    </row>
    <row r="114" spans="1:11" ht="13.5" thickBot="1" x14ac:dyDescent="0.25">
      <c r="C114" s="71" t="s">
        <v>82</v>
      </c>
      <c r="D114" s="112"/>
      <c r="E114" s="112"/>
    </row>
  </sheetData>
  <sortState xmlns:xlrd2="http://schemas.microsoft.com/office/spreadsheetml/2017/richdata2" ref="A2:K88">
    <sortCondition ref="B2:B88"/>
    <sortCondition ref="A2:A88"/>
    <sortCondition ref="C2:C88"/>
  </sortState>
  <conditionalFormatting sqref="E2:H113">
    <cfRule type="cellIs" dxfId="1" priority="2" operator="equal">
      <formula>0</formula>
    </cfRule>
  </conditionalFormatting>
  <conditionalFormatting sqref="K2:K113">
    <cfRule type="cellIs" dxfId="0" priority="1" operator="equal">
      <formula>TRUE</formula>
    </cfRule>
  </conditionalFormatting>
  <dataValidations count="2">
    <dataValidation type="list" showInputMessage="1" showErrorMessage="1" sqref="A2:A113" xr:uid="{D8B3FF80-80CF-4D11-920C-0B3C5F6CC0EA}">
      <formula1>sources</formula1>
    </dataValidation>
    <dataValidation type="list" showInputMessage="1" showErrorMessage="1" sqref="B2:B113" xr:uid="{E9331E0F-09B3-43D8-8ECE-4B50DC4896CE}">
      <formula1>shoppers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79</vt:i4>
      </vt:variant>
    </vt:vector>
  </HeadingPairs>
  <TitlesOfParts>
    <vt:vector size="83" baseType="lpstr">
      <vt:lpstr>numbers</vt:lpstr>
      <vt:lpstr>recipes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shoppers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2018-11-19T06:50:41Z</cp:lastPrinted>
  <dcterms:created xsi:type="dcterms:W3CDTF">2018-10-15T07:06:03Z</dcterms:created>
  <dcterms:modified xsi:type="dcterms:W3CDTF">2018-11-23T07:56:51Z</dcterms:modified>
</cp:coreProperties>
</file>