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g\repos\leonardguy\dunedin-zen\"/>
    </mc:Choice>
  </mc:AlternateContent>
  <xr:revisionPtr revIDLastSave="0" documentId="13_ncr:1_{A20D122A-4D04-43BB-A01D-604B9C7845FC}" xr6:coauthVersionLast="38" xr6:coauthVersionMax="38" xr10:uidLastSave="{00000000-0000-0000-0000-000000000000}"/>
  <bookViews>
    <workbookView xWindow="0" yWindow="0" windowWidth="28770" windowHeight="11520" activeTab="1" xr2:uid="{222B344E-0651-4EE9-BCB8-5C41E8873491}"/>
  </bookViews>
  <sheets>
    <sheet name="numbers" sheetId="5" r:id="rId1"/>
    <sheet name="recipes" sheetId="2" r:id="rId2"/>
    <sheet name="todos" sheetId="4" r:id="rId3"/>
    <sheet name="support" sheetId="1" r:id="rId4"/>
    <sheet name="shopping" sheetId="3" r:id="rId5"/>
  </sheets>
  <definedNames>
    <definedName name="frBrCount">numbers!$H$3</definedName>
    <definedName name="frSbrCount">numbers!$H$4</definedName>
    <definedName name="itemGPerQty">support!$G$2:$G$96</definedName>
    <definedName name="itemMlPerQty">support!$H$2:$H$96</definedName>
    <definedName name="itemNames">support!$A$2:$A$96</definedName>
    <definedName name="itemPrepMethods">support!$B$2:$B$96</definedName>
    <definedName name="moBrCount">numbers!$D$3</definedName>
    <definedName name="moDiCount">numbers!$D$7</definedName>
    <definedName name="moLuCount">numbers!$D$5</definedName>
    <definedName name="moSbrCount">numbers!$D$4</definedName>
    <definedName name="moSdiCount">numbers!$D$8</definedName>
    <definedName name="moSluCount">numbers!$D$6</definedName>
    <definedName name="prepMethods">support!$R$2:$R$3</definedName>
    <definedName name="recipe01DayScale">recipes!$F$55</definedName>
    <definedName name="recipe01TotScale">recipes!$F$58</definedName>
    <definedName name="recipe02DayScale">recipes!$F$77</definedName>
    <definedName name="recipe02TotScale">recipes!$F$80</definedName>
    <definedName name="recipe03DayScale">recipes!$F$140</definedName>
    <definedName name="recipe03TotScale">recipes!$F$143</definedName>
    <definedName name="recipe04DayScale">recipes!$F$347</definedName>
    <definedName name="recipe04TotScale">recipes!$F$350</definedName>
    <definedName name="recipe05DayScale">recipes!$F$196</definedName>
    <definedName name="recipe05TotScale">recipes!$F$199</definedName>
    <definedName name="recipe06DayScale">recipes!$F$228</definedName>
    <definedName name="recipe06TotScale">recipes!$F$231</definedName>
    <definedName name="recipe07DayScale">recipes!$F$254</definedName>
    <definedName name="recipe07TotScale">recipes!$F$257</definedName>
    <definedName name="recipe08DayScale">recipes!$F$103</definedName>
    <definedName name="recipe08TotScale">recipes!$F$106</definedName>
    <definedName name="recipe09DayScale">recipes!$F$313</definedName>
    <definedName name="recipe09TotScale">recipes!$F$316</definedName>
    <definedName name="recipe10DayScale">recipes!$F$163</definedName>
    <definedName name="recipe10TotScale">recipes!$F$166</definedName>
    <definedName name="recipe11DayScale">recipes!$F$379</definedName>
    <definedName name="recipe11TotScale">recipes!$F$382</definedName>
    <definedName name="recipe12DayScale">recipes!$F$280</definedName>
    <definedName name="recipe12TotScale">recipes!$F$283</definedName>
    <definedName name="recipe13DayScale">recipes!$F$33</definedName>
    <definedName name="recipe13TotScale">recipes!$F$36</definedName>
    <definedName name="recipe14DayScale">recipes!$F$16</definedName>
    <definedName name="recipe14TotScale">recipes!$F$18</definedName>
    <definedName name="recipe15DayScale">recipes!$F$4</definedName>
    <definedName name="recipe15TotScale">recipes!$F$6</definedName>
    <definedName name="roundTo">support!$P$2</definedName>
    <definedName name="saBrCount">numbers!$B$3</definedName>
    <definedName name="saDiCount">numbers!$B$7</definedName>
    <definedName name="saLuCount">numbers!$B$5</definedName>
    <definedName name="saSbrCount">numbers!$B$4</definedName>
    <definedName name="saSdiCount">numbers!$B$8</definedName>
    <definedName name="saSluCount">numbers!$B$6</definedName>
    <definedName name="shoppingNames">shopping!$A$2:$A$83</definedName>
    <definedName name="suBrCount">numbers!$C$3</definedName>
    <definedName name="suDiCount">numbers!$C$7</definedName>
    <definedName name="suLuCount">numbers!$C$5</definedName>
    <definedName name="suSbrCount">numbers!$C$4</definedName>
    <definedName name="suSdiCount">numbers!$C$8</definedName>
    <definedName name="suSluCount">numbers!$C$6</definedName>
    <definedName name="thBrCount">numbers!$G$3</definedName>
    <definedName name="thDiCount">numbers!$G$7</definedName>
    <definedName name="thLuCount">numbers!$G$5</definedName>
    <definedName name="thSbrCount">numbers!$G$4</definedName>
    <definedName name="thSdiCount">numbers!$G$8</definedName>
    <definedName name="thSluCount">numbers!$G$6</definedName>
    <definedName name="totalBrCount">numbers!$K$3</definedName>
    <definedName name="totalDiCount">numbers!$K$7</definedName>
    <definedName name="totalLuCount">numbers!$K$5</definedName>
    <definedName name="totalSbrCount">numbers!$K$4</definedName>
    <definedName name="totalSdiCount">numbers!$K$8</definedName>
    <definedName name="totalSluCount">numbers!$K$6</definedName>
    <definedName name="tuBrCount">numbers!$E$3</definedName>
    <definedName name="tuDiCount">numbers!$E$7</definedName>
    <definedName name="tuLuCount">numbers!$E$5</definedName>
    <definedName name="tuSbrCount">numbers!$E$4</definedName>
    <definedName name="tuSdiCount">numbers!$E$8</definedName>
    <definedName name="tuSluCount">numbers!$E$6</definedName>
    <definedName name="unitNames">support!$N$2:$N$9</definedName>
    <definedName name="weBrCount">numbers!$F$3</definedName>
    <definedName name="weDiCount">numbers!$F$7</definedName>
    <definedName name="weLuCount">numbers!$F$5</definedName>
    <definedName name="weSbrCount">numbers!$F$4</definedName>
    <definedName name="weSdiCount">numbers!$F$8</definedName>
    <definedName name="weSluCount">numbers!$F$6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" i="2" l="1"/>
  <c r="L40" i="1"/>
  <c r="O184" i="2"/>
  <c r="F162" i="2"/>
  <c r="F163" i="2"/>
  <c r="Q184" i="2"/>
  <c r="F165" i="2"/>
  <c r="F166" i="2"/>
  <c r="R184" i="2"/>
  <c r="S184" i="2"/>
  <c r="T184" i="2"/>
  <c r="K40" i="1"/>
  <c r="J40" i="1"/>
  <c r="I40" i="1"/>
  <c r="H40" i="1"/>
  <c r="G40" i="1"/>
  <c r="B33" i="3"/>
  <c r="C33" i="3"/>
  <c r="D33" i="3"/>
  <c r="E33" i="3"/>
  <c r="G33" i="3"/>
  <c r="L63" i="1"/>
  <c r="F76" i="2"/>
  <c r="F77" i="2"/>
  <c r="Q81" i="2"/>
  <c r="G63" i="1"/>
  <c r="G14" i="1"/>
  <c r="M81" i="2"/>
  <c r="F79" i="2"/>
  <c r="F80" i="2"/>
  <c r="R81" i="2"/>
  <c r="H63" i="1"/>
  <c r="H14" i="1"/>
  <c r="N81" i="2"/>
  <c r="S81" i="2"/>
  <c r="T81" i="2"/>
  <c r="F139" i="2"/>
  <c r="F140" i="2"/>
  <c r="Q143" i="2"/>
  <c r="M143" i="2"/>
  <c r="F142" i="2"/>
  <c r="F143" i="2"/>
  <c r="R143" i="2"/>
  <c r="N143" i="2"/>
  <c r="S143" i="2"/>
  <c r="T143" i="2"/>
  <c r="F279" i="2"/>
  <c r="F280" i="2"/>
  <c r="Q288" i="2"/>
  <c r="M288" i="2"/>
  <c r="F282" i="2"/>
  <c r="F283" i="2"/>
  <c r="R288" i="2"/>
  <c r="N288" i="2"/>
  <c r="S288" i="2"/>
  <c r="T288" i="2"/>
  <c r="F4" i="2"/>
  <c r="Q8" i="2"/>
  <c r="M8" i="2"/>
  <c r="F6" i="2"/>
  <c r="R8" i="2"/>
  <c r="N8" i="2"/>
  <c r="S8" i="2"/>
  <c r="T8" i="2"/>
  <c r="K63" i="1"/>
  <c r="J63" i="1"/>
  <c r="I63" i="1"/>
  <c r="L3" i="1"/>
  <c r="G2" i="1"/>
  <c r="H2" i="1"/>
  <c r="Q7" i="2"/>
  <c r="G3" i="1"/>
  <c r="M7" i="2"/>
  <c r="R7" i="2"/>
  <c r="H3" i="1"/>
  <c r="N7" i="2"/>
  <c r="S7" i="2"/>
  <c r="T7" i="2"/>
  <c r="K3" i="1"/>
  <c r="J3" i="1"/>
  <c r="I3" i="1"/>
  <c r="L2" i="1"/>
  <c r="Q6" i="2"/>
  <c r="M6" i="2"/>
  <c r="R6" i="2"/>
  <c r="N6" i="2"/>
  <c r="S6" i="2"/>
  <c r="T6" i="2"/>
  <c r="K2" i="1"/>
  <c r="J2" i="1"/>
  <c r="I2" i="1"/>
  <c r="L59" i="1"/>
  <c r="G59" i="1"/>
  <c r="H59" i="1"/>
  <c r="Q9" i="2"/>
  <c r="M9" i="2"/>
  <c r="R9" i="2"/>
  <c r="N9" i="2"/>
  <c r="S9" i="2"/>
  <c r="T9" i="2"/>
  <c r="K59" i="1"/>
  <c r="J59" i="1"/>
  <c r="I59" i="1"/>
  <c r="B51" i="3"/>
  <c r="C51" i="3"/>
  <c r="D51" i="3"/>
  <c r="E51" i="3"/>
  <c r="G51" i="3"/>
  <c r="B2" i="3"/>
  <c r="C2" i="3"/>
  <c r="D2" i="3"/>
  <c r="E2" i="3"/>
  <c r="G2" i="3"/>
  <c r="B55" i="3"/>
  <c r="C55" i="3"/>
  <c r="D55" i="3"/>
  <c r="E55" i="3"/>
  <c r="G55" i="3"/>
  <c r="B3" i="3"/>
  <c r="C3" i="3"/>
  <c r="D3" i="3"/>
  <c r="E3" i="3"/>
  <c r="G3" i="3"/>
  <c r="AA10" i="2"/>
  <c r="AD10" i="2"/>
  <c r="AC10" i="2"/>
  <c r="AB10" i="2"/>
  <c r="V10" i="2"/>
  <c r="Y10" i="2"/>
  <c r="X10" i="2"/>
  <c r="W10" i="2"/>
  <c r="G50" i="1"/>
  <c r="H50" i="1"/>
  <c r="D10" i="2"/>
  <c r="C10" i="2"/>
  <c r="AA9" i="2"/>
  <c r="AD9" i="2"/>
  <c r="AC9" i="2"/>
  <c r="AB9" i="2"/>
  <c r="V9" i="2"/>
  <c r="Y9" i="2"/>
  <c r="X9" i="2"/>
  <c r="W9" i="2"/>
  <c r="P9" i="2"/>
  <c r="O9" i="2"/>
  <c r="D9" i="2"/>
  <c r="C9" i="2"/>
  <c r="B9" i="2"/>
  <c r="AA8" i="2"/>
  <c r="AD8" i="2"/>
  <c r="AC8" i="2"/>
  <c r="AB8" i="2"/>
  <c r="V8" i="2"/>
  <c r="Y8" i="2"/>
  <c r="X8" i="2"/>
  <c r="W8" i="2"/>
  <c r="P8" i="2"/>
  <c r="O8" i="2"/>
  <c r="D8" i="2"/>
  <c r="C8" i="2"/>
  <c r="B8" i="2"/>
  <c r="D7" i="2"/>
  <c r="C7" i="2"/>
  <c r="B7" i="2"/>
  <c r="D6" i="2"/>
  <c r="C6" i="2"/>
  <c r="B6" i="2"/>
  <c r="AA7" i="2"/>
  <c r="AD7" i="2"/>
  <c r="AC7" i="2"/>
  <c r="AB7" i="2"/>
  <c r="V7" i="2"/>
  <c r="Y7" i="2"/>
  <c r="X7" i="2"/>
  <c r="W7" i="2"/>
  <c r="P7" i="2"/>
  <c r="O7" i="2"/>
  <c r="AA6" i="2"/>
  <c r="AD6" i="2"/>
  <c r="AC6" i="2"/>
  <c r="AB6" i="2"/>
  <c r="V6" i="2"/>
  <c r="Y6" i="2"/>
  <c r="X6" i="2"/>
  <c r="W6" i="2"/>
  <c r="P6" i="2"/>
  <c r="O6" i="2"/>
  <c r="L50" i="1"/>
  <c r="F312" i="2"/>
  <c r="F313" i="2"/>
  <c r="Q338" i="2"/>
  <c r="G51" i="1"/>
  <c r="M338" i="2"/>
  <c r="F315" i="2"/>
  <c r="F316" i="2"/>
  <c r="R338" i="2"/>
  <c r="H51" i="1"/>
  <c r="N338" i="2"/>
  <c r="S338" i="2"/>
  <c r="T338" i="2"/>
  <c r="Q5" i="2"/>
  <c r="M5" i="2"/>
  <c r="R5" i="2"/>
  <c r="N5" i="2"/>
  <c r="S5" i="2"/>
  <c r="T5" i="2"/>
  <c r="K50" i="1"/>
  <c r="J50" i="1"/>
  <c r="I50" i="1"/>
  <c r="B42" i="3"/>
  <c r="C42" i="3"/>
  <c r="D42" i="3"/>
  <c r="E42" i="3"/>
  <c r="G42" i="3"/>
  <c r="D5" i="2"/>
  <c r="C5" i="2"/>
  <c r="B5" i="2"/>
  <c r="AA5" i="2"/>
  <c r="AD5" i="2"/>
  <c r="AC5" i="2"/>
  <c r="AB5" i="2"/>
  <c r="V5" i="2"/>
  <c r="Y5" i="2"/>
  <c r="X5" i="2"/>
  <c r="W5" i="2"/>
  <c r="P5" i="2"/>
  <c r="O5" i="2"/>
  <c r="F102" i="2"/>
  <c r="F103" i="2"/>
  <c r="Q113" i="2"/>
  <c r="G95" i="1"/>
  <c r="M113" i="2"/>
  <c r="F105" i="2"/>
  <c r="F106" i="2"/>
  <c r="R113" i="2"/>
  <c r="I95" i="1"/>
  <c r="F346" i="2"/>
  <c r="F347" i="2"/>
  <c r="Q364" i="2"/>
  <c r="G96" i="1"/>
  <c r="M364" i="2"/>
  <c r="F349" i="2"/>
  <c r="F350" i="2"/>
  <c r="R364" i="2"/>
  <c r="I96" i="1"/>
  <c r="B83" i="3"/>
  <c r="H95" i="1"/>
  <c r="N113" i="2"/>
  <c r="S113" i="2"/>
  <c r="J95" i="1"/>
  <c r="H96" i="1"/>
  <c r="N364" i="2"/>
  <c r="S364" i="2"/>
  <c r="J96" i="1"/>
  <c r="C83" i="3"/>
  <c r="T113" i="2"/>
  <c r="K95" i="1"/>
  <c r="T364" i="2"/>
  <c r="K96" i="1"/>
  <c r="D83" i="3"/>
  <c r="L95" i="1"/>
  <c r="L96" i="1"/>
  <c r="E83" i="3"/>
  <c r="G83" i="3"/>
  <c r="Q178" i="2"/>
  <c r="G94" i="1"/>
  <c r="M178" i="2"/>
  <c r="R178" i="2"/>
  <c r="I94" i="1"/>
  <c r="B82" i="3"/>
  <c r="H94" i="1"/>
  <c r="N178" i="2"/>
  <c r="S178" i="2"/>
  <c r="J94" i="1"/>
  <c r="C82" i="3"/>
  <c r="T178" i="2"/>
  <c r="K94" i="1"/>
  <c r="D82" i="3"/>
  <c r="L94" i="1"/>
  <c r="E82" i="3"/>
  <c r="G82" i="3"/>
  <c r="F253" i="2"/>
  <c r="F254" i="2"/>
  <c r="Q258" i="2"/>
  <c r="G93" i="1"/>
  <c r="M258" i="2"/>
  <c r="F256" i="2"/>
  <c r="F257" i="2"/>
  <c r="R258" i="2"/>
  <c r="I93" i="1"/>
  <c r="B81" i="3"/>
  <c r="H93" i="1"/>
  <c r="N258" i="2"/>
  <c r="S258" i="2"/>
  <c r="J93" i="1"/>
  <c r="C81" i="3"/>
  <c r="T258" i="2"/>
  <c r="K93" i="1"/>
  <c r="D81" i="3"/>
  <c r="L93" i="1"/>
  <c r="E81" i="3"/>
  <c r="G81" i="3"/>
  <c r="H91" i="1"/>
  <c r="N230" i="2"/>
  <c r="G91" i="1"/>
  <c r="M230" i="2"/>
  <c r="O230" i="2"/>
  <c r="P230" i="2"/>
  <c r="F227" i="2"/>
  <c r="F228" i="2"/>
  <c r="Q230" i="2"/>
  <c r="F230" i="2"/>
  <c r="F231" i="2"/>
  <c r="R230" i="2"/>
  <c r="I91" i="1"/>
  <c r="H92" i="1"/>
  <c r="N91" i="2"/>
  <c r="G92" i="1"/>
  <c r="M91" i="2"/>
  <c r="O91" i="2"/>
  <c r="P91" i="2"/>
  <c r="Q91" i="2"/>
  <c r="R91" i="2"/>
  <c r="N116" i="2"/>
  <c r="M116" i="2"/>
  <c r="O116" i="2"/>
  <c r="P116" i="2"/>
  <c r="Q116" i="2"/>
  <c r="R116" i="2"/>
  <c r="N176" i="2"/>
  <c r="M176" i="2"/>
  <c r="O176" i="2"/>
  <c r="P176" i="2"/>
  <c r="Q176" i="2"/>
  <c r="R176" i="2"/>
  <c r="N392" i="2"/>
  <c r="M392" i="2"/>
  <c r="O392" i="2"/>
  <c r="P392" i="2"/>
  <c r="F378" i="2"/>
  <c r="F379" i="2"/>
  <c r="Q392" i="2"/>
  <c r="F381" i="2"/>
  <c r="F382" i="2"/>
  <c r="R392" i="2"/>
  <c r="I92" i="1"/>
  <c r="B80" i="3"/>
  <c r="S230" i="2"/>
  <c r="J91" i="1"/>
  <c r="S91" i="2"/>
  <c r="S116" i="2"/>
  <c r="S176" i="2"/>
  <c r="S392" i="2"/>
  <c r="J92" i="1"/>
  <c r="C80" i="3"/>
  <c r="T230" i="2"/>
  <c r="K91" i="1"/>
  <c r="T91" i="2"/>
  <c r="T116" i="2"/>
  <c r="T176" i="2"/>
  <c r="T392" i="2"/>
  <c r="K92" i="1"/>
  <c r="D80" i="3"/>
  <c r="L91" i="1"/>
  <c r="L92" i="1"/>
  <c r="E80" i="3"/>
  <c r="G80" i="3"/>
  <c r="O269" i="2"/>
  <c r="Q269" i="2"/>
  <c r="R269" i="2"/>
  <c r="I90" i="1"/>
  <c r="B79" i="3"/>
  <c r="S269" i="2"/>
  <c r="J90" i="1"/>
  <c r="C79" i="3"/>
  <c r="T269" i="2"/>
  <c r="K90" i="1"/>
  <c r="D79" i="3"/>
  <c r="L90" i="1"/>
  <c r="E79" i="3"/>
  <c r="G79" i="3"/>
  <c r="H89" i="1"/>
  <c r="N147" i="2"/>
  <c r="O147" i="2"/>
  <c r="P147" i="2"/>
  <c r="Q147" i="2"/>
  <c r="R147" i="2"/>
  <c r="N197" i="2"/>
  <c r="O197" i="2"/>
  <c r="P197" i="2"/>
  <c r="F195" i="2"/>
  <c r="F196" i="2"/>
  <c r="Q197" i="2"/>
  <c r="F198" i="2"/>
  <c r="F199" i="2"/>
  <c r="R197" i="2"/>
  <c r="N261" i="2"/>
  <c r="O261" i="2"/>
  <c r="P261" i="2"/>
  <c r="Q261" i="2"/>
  <c r="R261" i="2"/>
  <c r="N329" i="2"/>
  <c r="O329" i="2"/>
  <c r="P329" i="2"/>
  <c r="Q329" i="2"/>
  <c r="R329" i="2"/>
  <c r="F16" i="2"/>
  <c r="Q17" i="2"/>
  <c r="G19" i="1"/>
  <c r="M17" i="2"/>
  <c r="F17" i="2"/>
  <c r="F18" i="2"/>
  <c r="R17" i="2"/>
  <c r="Q18" i="2"/>
  <c r="G9" i="1"/>
  <c r="M18" i="2"/>
  <c r="R18" i="2"/>
  <c r="Q19" i="2"/>
  <c r="G15" i="1"/>
  <c r="M19" i="2"/>
  <c r="R19" i="2"/>
  <c r="Q20" i="2"/>
  <c r="G43" i="1"/>
  <c r="M20" i="2"/>
  <c r="R20" i="2"/>
  <c r="Q21" i="2"/>
  <c r="G52" i="1"/>
  <c r="M21" i="2"/>
  <c r="R21" i="2"/>
  <c r="G34" i="1"/>
  <c r="G32" i="1"/>
  <c r="G74" i="1"/>
  <c r="Q27" i="2"/>
  <c r="G88" i="1"/>
  <c r="M27" i="2"/>
  <c r="R27" i="2"/>
  <c r="F33" i="2"/>
  <c r="Q34" i="2"/>
  <c r="G37" i="1"/>
  <c r="M34" i="2"/>
  <c r="F35" i="2"/>
  <c r="F36" i="2"/>
  <c r="R34" i="2"/>
  <c r="H38" i="1"/>
  <c r="N35" i="2"/>
  <c r="O35" i="2"/>
  <c r="P35" i="2"/>
  <c r="Q35" i="2"/>
  <c r="R35" i="2"/>
  <c r="H30" i="1"/>
  <c r="N36" i="2"/>
  <c r="O36" i="2"/>
  <c r="P36" i="2"/>
  <c r="Q36" i="2"/>
  <c r="R36" i="2"/>
  <c r="H86" i="1"/>
  <c r="N37" i="2"/>
  <c r="O37" i="2"/>
  <c r="P37" i="2"/>
  <c r="Q37" i="2"/>
  <c r="R37" i="2"/>
  <c r="H7" i="1"/>
  <c r="N40" i="2"/>
  <c r="G7" i="1"/>
  <c r="M40" i="2"/>
  <c r="O40" i="2"/>
  <c r="P40" i="2"/>
  <c r="Q40" i="2"/>
  <c r="R40" i="2"/>
  <c r="H49" i="1"/>
  <c r="N41" i="2"/>
  <c r="O41" i="2"/>
  <c r="P41" i="2"/>
  <c r="Q41" i="2"/>
  <c r="R41" i="2"/>
  <c r="H6" i="1"/>
  <c r="N42" i="2"/>
  <c r="O42" i="2"/>
  <c r="P42" i="2"/>
  <c r="Q42" i="2"/>
  <c r="R42" i="2"/>
  <c r="H65" i="1"/>
  <c r="N43" i="2"/>
  <c r="G65" i="1"/>
  <c r="M43" i="2"/>
  <c r="O43" i="2"/>
  <c r="P43" i="2"/>
  <c r="Q43" i="2"/>
  <c r="R43" i="2"/>
  <c r="H83" i="1"/>
  <c r="N46" i="2"/>
  <c r="O46" i="2"/>
  <c r="P46" i="2"/>
  <c r="Q46" i="2"/>
  <c r="R46" i="2"/>
  <c r="H39" i="1"/>
  <c r="N49" i="2"/>
  <c r="O49" i="2"/>
  <c r="P49" i="2"/>
  <c r="Q49" i="2"/>
  <c r="R49" i="2"/>
  <c r="H73" i="1"/>
  <c r="N50" i="2"/>
  <c r="O50" i="2"/>
  <c r="P50" i="2"/>
  <c r="Q50" i="2"/>
  <c r="R50" i="2"/>
  <c r="H46" i="1"/>
  <c r="N51" i="2"/>
  <c r="O51" i="2"/>
  <c r="P51" i="2"/>
  <c r="Q51" i="2"/>
  <c r="R51" i="2"/>
  <c r="O56" i="2"/>
  <c r="F54" i="2"/>
  <c r="F55" i="2"/>
  <c r="Q56" i="2"/>
  <c r="F57" i="2"/>
  <c r="F58" i="2"/>
  <c r="R56" i="2"/>
  <c r="H28" i="1"/>
  <c r="N57" i="2"/>
  <c r="G28" i="1"/>
  <c r="M57" i="2"/>
  <c r="O57" i="2"/>
  <c r="P57" i="2"/>
  <c r="Q57" i="2"/>
  <c r="R57" i="2"/>
  <c r="Q60" i="2"/>
  <c r="M60" i="2"/>
  <c r="R60" i="2"/>
  <c r="Q61" i="2"/>
  <c r="G58" i="1"/>
  <c r="M61" i="2"/>
  <c r="R61" i="2"/>
  <c r="H21" i="1"/>
  <c r="N64" i="2"/>
  <c r="G21" i="1"/>
  <c r="M64" i="2"/>
  <c r="O64" i="2"/>
  <c r="P64" i="2"/>
  <c r="Q64" i="2"/>
  <c r="R64" i="2"/>
  <c r="H36" i="1"/>
  <c r="N65" i="2"/>
  <c r="G36" i="1"/>
  <c r="M65" i="2"/>
  <c r="O65" i="2"/>
  <c r="P65" i="2"/>
  <c r="Q65" i="2"/>
  <c r="R65" i="2"/>
  <c r="H48" i="1"/>
  <c r="N66" i="2"/>
  <c r="G48" i="1"/>
  <c r="M66" i="2"/>
  <c r="O66" i="2"/>
  <c r="P66" i="2"/>
  <c r="Q66" i="2"/>
  <c r="R66" i="2"/>
  <c r="H47" i="1"/>
  <c r="N67" i="2"/>
  <c r="G47" i="1"/>
  <c r="M67" i="2"/>
  <c r="O67" i="2"/>
  <c r="P67" i="2"/>
  <c r="Q67" i="2"/>
  <c r="R67" i="2"/>
  <c r="H66" i="1"/>
  <c r="N68" i="2"/>
  <c r="G66" i="1"/>
  <c r="M68" i="2"/>
  <c r="O68" i="2"/>
  <c r="P68" i="2"/>
  <c r="Q68" i="2"/>
  <c r="R68" i="2"/>
  <c r="H25" i="1"/>
  <c r="N78" i="2"/>
  <c r="G25" i="1"/>
  <c r="M78" i="2"/>
  <c r="O78" i="2"/>
  <c r="P78" i="2"/>
  <c r="Q78" i="2"/>
  <c r="R78" i="2"/>
  <c r="Q82" i="2"/>
  <c r="G8" i="1"/>
  <c r="M82" i="2"/>
  <c r="R82" i="2"/>
  <c r="N83" i="2"/>
  <c r="M83" i="2"/>
  <c r="O83" i="2"/>
  <c r="P83" i="2"/>
  <c r="Q83" i="2"/>
  <c r="R83" i="2"/>
  <c r="H60" i="1"/>
  <c r="N86" i="2"/>
  <c r="G60" i="1"/>
  <c r="M86" i="2"/>
  <c r="O86" i="2"/>
  <c r="P86" i="2"/>
  <c r="Q86" i="2"/>
  <c r="R86" i="2"/>
  <c r="N87" i="2"/>
  <c r="M87" i="2"/>
  <c r="O87" i="2"/>
  <c r="P87" i="2"/>
  <c r="Q87" i="2"/>
  <c r="R87" i="2"/>
  <c r="H23" i="1"/>
  <c r="N88" i="2"/>
  <c r="G23" i="1"/>
  <c r="M88" i="2"/>
  <c r="O88" i="2"/>
  <c r="P88" i="2"/>
  <c r="Q88" i="2"/>
  <c r="R88" i="2"/>
  <c r="H18" i="1"/>
  <c r="N89" i="2"/>
  <c r="G18" i="1"/>
  <c r="M89" i="2"/>
  <c r="O89" i="2"/>
  <c r="P89" i="2"/>
  <c r="Q89" i="2"/>
  <c r="R89" i="2"/>
  <c r="Q90" i="2"/>
  <c r="G4" i="1"/>
  <c r="M90" i="2"/>
  <c r="R90" i="2"/>
  <c r="G42" i="1"/>
  <c r="M96" i="2"/>
  <c r="O96" i="2"/>
  <c r="H42" i="1"/>
  <c r="N96" i="2"/>
  <c r="P96" i="2"/>
  <c r="Q96" i="2"/>
  <c r="R96" i="2"/>
  <c r="H26" i="1"/>
  <c r="N104" i="2"/>
  <c r="G26" i="1"/>
  <c r="M104" i="2"/>
  <c r="O104" i="2"/>
  <c r="P104" i="2"/>
  <c r="Q104" i="2"/>
  <c r="R104" i="2"/>
  <c r="N108" i="2"/>
  <c r="M108" i="2"/>
  <c r="O108" i="2"/>
  <c r="P108" i="2"/>
  <c r="Q108" i="2"/>
  <c r="R108" i="2"/>
  <c r="H56" i="1"/>
  <c r="N109" i="2"/>
  <c r="O109" i="2"/>
  <c r="P109" i="2"/>
  <c r="Q109" i="2"/>
  <c r="R109" i="2"/>
  <c r="Q112" i="2"/>
  <c r="G81" i="1"/>
  <c r="M112" i="2"/>
  <c r="R112" i="2"/>
  <c r="N117" i="2"/>
  <c r="M117" i="2"/>
  <c r="O117" i="2"/>
  <c r="P117" i="2"/>
  <c r="Q117" i="2"/>
  <c r="R117" i="2"/>
  <c r="Q118" i="2"/>
  <c r="G44" i="1"/>
  <c r="M118" i="2"/>
  <c r="R118" i="2"/>
  <c r="N119" i="2"/>
  <c r="O119" i="2"/>
  <c r="P119" i="2"/>
  <c r="Q119" i="2"/>
  <c r="R119" i="2"/>
  <c r="N127" i="2"/>
  <c r="O127" i="2"/>
  <c r="P127" i="2"/>
  <c r="Q127" i="2"/>
  <c r="R127" i="2"/>
  <c r="H20" i="1"/>
  <c r="N130" i="2"/>
  <c r="G20" i="1"/>
  <c r="M130" i="2"/>
  <c r="O130" i="2"/>
  <c r="P130" i="2"/>
  <c r="Q130" i="2"/>
  <c r="R130" i="2"/>
  <c r="H5" i="1"/>
  <c r="N131" i="2"/>
  <c r="G5" i="1"/>
  <c r="M131" i="2"/>
  <c r="O131" i="2"/>
  <c r="P131" i="2"/>
  <c r="Q131" i="2"/>
  <c r="R131" i="2"/>
  <c r="N141" i="2"/>
  <c r="O141" i="2"/>
  <c r="P141" i="2"/>
  <c r="Q141" i="2"/>
  <c r="R141" i="2"/>
  <c r="Q142" i="2"/>
  <c r="M142" i="2"/>
  <c r="R142" i="2"/>
  <c r="Q146" i="2"/>
  <c r="M146" i="2"/>
  <c r="R146" i="2"/>
  <c r="Q148" i="2"/>
  <c r="G33" i="1"/>
  <c r="M148" i="2"/>
  <c r="R148" i="2"/>
  <c r="Q149" i="2"/>
  <c r="G35" i="1"/>
  <c r="M149" i="2"/>
  <c r="R149" i="2"/>
  <c r="Q150" i="2"/>
  <c r="M150" i="2"/>
  <c r="R150" i="2"/>
  <c r="O153" i="2"/>
  <c r="Q153" i="2"/>
  <c r="R153" i="2"/>
  <c r="O165" i="2"/>
  <c r="Q165" i="2"/>
  <c r="R165" i="2"/>
  <c r="H76" i="1"/>
  <c r="N166" i="2"/>
  <c r="O166" i="2"/>
  <c r="P166" i="2"/>
  <c r="Q166" i="2"/>
  <c r="R166" i="2"/>
  <c r="H67" i="1"/>
  <c r="N169" i="2"/>
  <c r="O169" i="2"/>
  <c r="P169" i="2"/>
  <c r="Q169" i="2"/>
  <c r="R169" i="2"/>
  <c r="H77" i="1"/>
  <c r="N170" i="2"/>
  <c r="O170" i="2"/>
  <c r="P170" i="2"/>
  <c r="Q170" i="2"/>
  <c r="R170" i="2"/>
  <c r="Q171" i="2"/>
  <c r="M171" i="2"/>
  <c r="R171" i="2"/>
  <c r="N172" i="2"/>
  <c r="O172" i="2"/>
  <c r="P172" i="2"/>
  <c r="Q172" i="2"/>
  <c r="R172" i="2"/>
  <c r="Q173" i="2"/>
  <c r="G12" i="1"/>
  <c r="M173" i="2"/>
  <c r="R173" i="2"/>
  <c r="Q177" i="2"/>
  <c r="G6" i="1"/>
  <c r="M177" i="2"/>
  <c r="R177" i="2"/>
  <c r="Q179" i="2"/>
  <c r="M179" i="2"/>
  <c r="R179" i="2"/>
  <c r="Q180" i="2"/>
  <c r="G78" i="1"/>
  <c r="M180" i="2"/>
  <c r="R180" i="2"/>
  <c r="Q183" i="2"/>
  <c r="G53" i="1"/>
  <c r="M183" i="2"/>
  <c r="R183" i="2"/>
  <c r="Q185" i="2"/>
  <c r="G82" i="1"/>
  <c r="M185" i="2"/>
  <c r="R185" i="2"/>
  <c r="H11" i="1"/>
  <c r="N190" i="2"/>
  <c r="O190" i="2"/>
  <c r="P190" i="2"/>
  <c r="Q190" i="2"/>
  <c r="R190" i="2"/>
  <c r="Q200" i="2"/>
  <c r="G49" i="1"/>
  <c r="M200" i="2"/>
  <c r="R200" i="2"/>
  <c r="Q201" i="2"/>
  <c r="M201" i="2"/>
  <c r="R201" i="2"/>
  <c r="Q209" i="2"/>
  <c r="G84" i="1"/>
  <c r="M209" i="2"/>
  <c r="R209" i="2"/>
  <c r="H22" i="1"/>
  <c r="N210" i="2"/>
  <c r="O210" i="2"/>
  <c r="P210" i="2"/>
  <c r="Q210" i="2"/>
  <c r="R210" i="2"/>
  <c r="H57" i="1"/>
  <c r="N211" i="2"/>
  <c r="O211" i="2"/>
  <c r="P211" i="2"/>
  <c r="Q211" i="2"/>
  <c r="R211" i="2"/>
  <c r="N214" i="2"/>
  <c r="M214" i="2"/>
  <c r="O214" i="2"/>
  <c r="P214" i="2"/>
  <c r="Q214" i="2"/>
  <c r="R214" i="2"/>
  <c r="H55" i="1"/>
  <c r="N215" i="2"/>
  <c r="O215" i="2"/>
  <c r="P215" i="2"/>
  <c r="Q215" i="2"/>
  <c r="R215" i="2"/>
  <c r="H61" i="1"/>
  <c r="N229" i="2"/>
  <c r="O229" i="2"/>
  <c r="P229" i="2"/>
  <c r="Q229" i="2"/>
  <c r="R229" i="2"/>
  <c r="H17" i="1"/>
  <c r="N233" i="2"/>
  <c r="O233" i="2"/>
  <c r="P233" i="2"/>
  <c r="Q233" i="2"/>
  <c r="R233" i="2"/>
  <c r="H71" i="1"/>
  <c r="N234" i="2"/>
  <c r="O234" i="2"/>
  <c r="P234" i="2"/>
  <c r="Q234" i="2"/>
  <c r="R234" i="2"/>
  <c r="Q237" i="2"/>
  <c r="G86" i="1"/>
  <c r="M237" i="2"/>
  <c r="R237" i="2"/>
  <c r="Q240" i="2"/>
  <c r="M240" i="2"/>
  <c r="R240" i="2"/>
  <c r="Q241" i="2"/>
  <c r="M241" i="2"/>
  <c r="R241" i="2"/>
  <c r="N242" i="2"/>
  <c r="O242" i="2"/>
  <c r="P242" i="2"/>
  <c r="Q242" i="2"/>
  <c r="R242" i="2"/>
  <c r="Q245" i="2"/>
  <c r="M245" i="2"/>
  <c r="R245" i="2"/>
  <c r="Q246" i="2"/>
  <c r="M246" i="2"/>
  <c r="R246" i="2"/>
  <c r="H62" i="1"/>
  <c r="N247" i="2"/>
  <c r="O247" i="2"/>
  <c r="P247" i="2"/>
  <c r="Q247" i="2"/>
  <c r="R247" i="2"/>
  <c r="N248" i="2"/>
  <c r="O248" i="2"/>
  <c r="P248" i="2"/>
  <c r="Q248" i="2"/>
  <c r="R248" i="2"/>
  <c r="N255" i="2"/>
  <c r="O255" i="2"/>
  <c r="P255" i="2"/>
  <c r="Q255" i="2"/>
  <c r="R255" i="2"/>
  <c r="Q256" i="2"/>
  <c r="G10" i="1"/>
  <c r="M256" i="2"/>
  <c r="R256" i="2"/>
  <c r="Q257" i="2"/>
  <c r="G16" i="1"/>
  <c r="M257" i="2"/>
  <c r="R257" i="2"/>
  <c r="O266" i="2"/>
  <c r="Q266" i="2"/>
  <c r="R266" i="2"/>
  <c r="H54" i="1"/>
  <c r="N272" i="2"/>
  <c r="O272" i="2"/>
  <c r="P272" i="2"/>
  <c r="Q272" i="2"/>
  <c r="R272" i="2"/>
  <c r="H24" i="1"/>
  <c r="N283" i="2"/>
  <c r="O283" i="2"/>
  <c r="P283" i="2"/>
  <c r="Q283" i="2"/>
  <c r="R283" i="2"/>
  <c r="Q284" i="2"/>
  <c r="G64" i="1"/>
  <c r="M284" i="2"/>
  <c r="R284" i="2"/>
  <c r="Q287" i="2"/>
  <c r="M287" i="2"/>
  <c r="R287" i="2"/>
  <c r="H27" i="1"/>
  <c r="N289" i="2"/>
  <c r="O289" i="2"/>
  <c r="P289" i="2"/>
  <c r="Q289" i="2"/>
  <c r="R289" i="2"/>
  <c r="H85" i="1"/>
  <c r="N292" i="2"/>
  <c r="O292" i="2"/>
  <c r="P292" i="2"/>
  <c r="Q292" i="2"/>
  <c r="R292" i="2"/>
  <c r="H75" i="1"/>
  <c r="N301" i="2"/>
  <c r="O301" i="2"/>
  <c r="P301" i="2"/>
  <c r="Q301" i="2"/>
  <c r="R301" i="2"/>
  <c r="N302" i="2"/>
  <c r="O302" i="2"/>
  <c r="P302" i="2"/>
  <c r="Q302" i="2"/>
  <c r="R302" i="2"/>
  <c r="N303" i="2"/>
  <c r="M303" i="2"/>
  <c r="O303" i="2"/>
  <c r="P303" i="2"/>
  <c r="Q303" i="2"/>
  <c r="R303" i="2"/>
  <c r="N304" i="2"/>
  <c r="M304" i="2"/>
  <c r="O304" i="2"/>
  <c r="P304" i="2"/>
  <c r="Q304" i="2"/>
  <c r="R304" i="2"/>
  <c r="H72" i="1"/>
  <c r="N305" i="2"/>
  <c r="O305" i="2"/>
  <c r="P305" i="2"/>
  <c r="Q305" i="2"/>
  <c r="R305" i="2"/>
  <c r="Q316" i="2"/>
  <c r="M316" i="2"/>
  <c r="R316" i="2"/>
  <c r="N319" i="2"/>
  <c r="O319" i="2"/>
  <c r="P319" i="2"/>
  <c r="Q319" i="2"/>
  <c r="R319" i="2"/>
  <c r="N320" i="2"/>
  <c r="O320" i="2"/>
  <c r="P320" i="2"/>
  <c r="Q320" i="2"/>
  <c r="R320" i="2"/>
  <c r="Q321" i="2"/>
  <c r="G13" i="1"/>
  <c r="M321" i="2"/>
  <c r="R321" i="2"/>
  <c r="N322" i="2"/>
  <c r="M322" i="2"/>
  <c r="O322" i="2"/>
  <c r="P322" i="2"/>
  <c r="Q322" i="2"/>
  <c r="R322" i="2"/>
  <c r="N323" i="2"/>
  <c r="M323" i="2"/>
  <c r="O323" i="2"/>
  <c r="P323" i="2"/>
  <c r="Q323" i="2"/>
  <c r="R323" i="2"/>
  <c r="N324" i="2"/>
  <c r="O324" i="2"/>
  <c r="P324" i="2"/>
  <c r="Q324" i="2"/>
  <c r="R324" i="2"/>
  <c r="N325" i="2"/>
  <c r="M325" i="2"/>
  <c r="O325" i="2"/>
  <c r="P325" i="2"/>
  <c r="Q325" i="2"/>
  <c r="R325" i="2"/>
  <c r="N326" i="2"/>
  <c r="M326" i="2"/>
  <c r="O326" i="2"/>
  <c r="P326" i="2"/>
  <c r="Q326" i="2"/>
  <c r="R326" i="2"/>
  <c r="Q330" i="2"/>
  <c r="M330" i="2"/>
  <c r="R330" i="2"/>
  <c r="Q331" i="2"/>
  <c r="M331" i="2"/>
  <c r="R331" i="2"/>
  <c r="Q332" i="2"/>
  <c r="G79" i="1"/>
  <c r="M332" i="2"/>
  <c r="R332" i="2"/>
  <c r="Q337" i="2"/>
  <c r="M337" i="2"/>
  <c r="R337" i="2"/>
  <c r="N348" i="2"/>
  <c r="O348" i="2"/>
  <c r="P348" i="2"/>
  <c r="Q348" i="2"/>
  <c r="R348" i="2"/>
  <c r="Q349" i="2"/>
  <c r="M349" i="2"/>
  <c r="R349" i="2"/>
  <c r="Q350" i="2"/>
  <c r="M350" i="2"/>
  <c r="R350" i="2"/>
  <c r="N351" i="2"/>
  <c r="O351" i="2"/>
  <c r="P351" i="2"/>
  <c r="Q351" i="2"/>
  <c r="R351" i="2"/>
  <c r="N352" i="2"/>
  <c r="O352" i="2"/>
  <c r="P352" i="2"/>
  <c r="Q352" i="2"/>
  <c r="R352" i="2"/>
  <c r="N355" i="2"/>
  <c r="O355" i="2"/>
  <c r="P355" i="2"/>
  <c r="Q355" i="2"/>
  <c r="R355" i="2"/>
  <c r="N356" i="2"/>
  <c r="O356" i="2"/>
  <c r="P356" i="2"/>
  <c r="Q356" i="2"/>
  <c r="R356" i="2"/>
  <c r="Q359" i="2"/>
  <c r="M359" i="2"/>
  <c r="R359" i="2"/>
  <c r="Q360" i="2"/>
  <c r="M360" i="2"/>
  <c r="R360" i="2"/>
  <c r="Q363" i="2"/>
  <c r="M363" i="2"/>
  <c r="R363" i="2"/>
  <c r="Q365" i="2"/>
  <c r="G69" i="1"/>
  <c r="M365" i="2"/>
  <c r="R365" i="2"/>
  <c r="N366" i="2"/>
  <c r="M366" i="2"/>
  <c r="O366" i="2"/>
  <c r="P366" i="2"/>
  <c r="Q366" i="2"/>
  <c r="R366" i="2"/>
  <c r="Q369" i="2"/>
  <c r="M369" i="2"/>
  <c r="R369" i="2"/>
  <c r="Q370" i="2"/>
  <c r="G80" i="1"/>
  <c r="M370" i="2"/>
  <c r="R370" i="2"/>
  <c r="N382" i="2"/>
  <c r="M382" i="2"/>
  <c r="O382" i="2"/>
  <c r="P382" i="2"/>
  <c r="Q382" i="2"/>
  <c r="R382" i="2"/>
  <c r="N385" i="2"/>
  <c r="O385" i="2"/>
  <c r="P385" i="2"/>
  <c r="Q385" i="2"/>
  <c r="R385" i="2"/>
  <c r="Q386" i="2"/>
  <c r="M386" i="2"/>
  <c r="R386" i="2"/>
  <c r="N387" i="2"/>
  <c r="M387" i="2"/>
  <c r="O387" i="2"/>
  <c r="P387" i="2"/>
  <c r="Q387" i="2"/>
  <c r="R387" i="2"/>
  <c r="N388" i="2"/>
  <c r="M388" i="2"/>
  <c r="O388" i="2"/>
  <c r="P388" i="2"/>
  <c r="Q388" i="2"/>
  <c r="R388" i="2"/>
  <c r="N389" i="2"/>
  <c r="O389" i="2"/>
  <c r="P389" i="2"/>
  <c r="Q389" i="2"/>
  <c r="R389" i="2"/>
  <c r="Q393" i="2"/>
  <c r="M393" i="2"/>
  <c r="R393" i="2"/>
  <c r="Q394" i="2"/>
  <c r="M394" i="2"/>
  <c r="R394" i="2"/>
  <c r="Q395" i="2"/>
  <c r="G68" i="1"/>
  <c r="M395" i="2"/>
  <c r="R395" i="2"/>
  <c r="Q398" i="2"/>
  <c r="M398" i="2"/>
  <c r="R398" i="2"/>
  <c r="I89" i="1"/>
  <c r="B78" i="3"/>
  <c r="S147" i="2"/>
  <c r="S197" i="2"/>
  <c r="S261" i="2"/>
  <c r="S329" i="2"/>
  <c r="S17" i="2"/>
  <c r="H9" i="1"/>
  <c r="N18" i="2"/>
  <c r="S18" i="2"/>
  <c r="H15" i="1"/>
  <c r="N19" i="2"/>
  <c r="S19" i="2"/>
  <c r="H43" i="1"/>
  <c r="N20" i="2"/>
  <c r="S20" i="2"/>
  <c r="S21" i="2"/>
  <c r="H34" i="1"/>
  <c r="H32" i="1"/>
  <c r="H74" i="1"/>
  <c r="S27" i="2"/>
  <c r="H37" i="1"/>
  <c r="N34" i="2"/>
  <c r="S34" i="2"/>
  <c r="S35" i="2"/>
  <c r="S36" i="2"/>
  <c r="S37" i="2"/>
  <c r="S40" i="2"/>
  <c r="S41" i="2"/>
  <c r="S42" i="2"/>
  <c r="S43" i="2"/>
  <c r="S46" i="2"/>
  <c r="S49" i="2"/>
  <c r="S50" i="2"/>
  <c r="S51" i="2"/>
  <c r="S56" i="2"/>
  <c r="S57" i="2"/>
  <c r="N60" i="2"/>
  <c r="S60" i="2"/>
  <c r="S61" i="2"/>
  <c r="S64" i="2"/>
  <c r="S65" i="2"/>
  <c r="S66" i="2"/>
  <c r="S67" i="2"/>
  <c r="S68" i="2"/>
  <c r="S78" i="2"/>
  <c r="H8" i="1"/>
  <c r="N82" i="2"/>
  <c r="S82" i="2"/>
  <c r="S83" i="2"/>
  <c r="S86" i="2"/>
  <c r="S87" i="2"/>
  <c r="S88" i="2"/>
  <c r="S89" i="2"/>
  <c r="H4" i="1"/>
  <c r="N90" i="2"/>
  <c r="S90" i="2"/>
  <c r="S96" i="2"/>
  <c r="S104" i="2"/>
  <c r="S108" i="2"/>
  <c r="S109" i="2"/>
  <c r="H81" i="1"/>
  <c r="N112" i="2"/>
  <c r="S112" i="2"/>
  <c r="S117" i="2"/>
  <c r="H44" i="1"/>
  <c r="N118" i="2"/>
  <c r="S118" i="2"/>
  <c r="S119" i="2"/>
  <c r="S127" i="2"/>
  <c r="S130" i="2"/>
  <c r="S131" i="2"/>
  <c r="S141" i="2"/>
  <c r="N142" i="2"/>
  <c r="S142" i="2"/>
  <c r="N146" i="2"/>
  <c r="S146" i="2"/>
  <c r="H33" i="1"/>
  <c r="N148" i="2"/>
  <c r="S148" i="2"/>
  <c r="H35" i="1"/>
  <c r="N149" i="2"/>
  <c r="S149" i="2"/>
  <c r="N150" i="2"/>
  <c r="S150" i="2"/>
  <c r="S153" i="2"/>
  <c r="S165" i="2"/>
  <c r="S166" i="2"/>
  <c r="S169" i="2"/>
  <c r="S170" i="2"/>
  <c r="S171" i="2"/>
  <c r="S172" i="2"/>
  <c r="H12" i="1"/>
  <c r="N173" i="2"/>
  <c r="S173" i="2"/>
  <c r="S177" i="2"/>
  <c r="N179" i="2"/>
  <c r="S179" i="2"/>
  <c r="H78" i="1"/>
  <c r="N180" i="2"/>
  <c r="S180" i="2"/>
  <c r="H53" i="1"/>
  <c r="N183" i="2"/>
  <c r="S183" i="2"/>
  <c r="H82" i="1"/>
  <c r="N185" i="2"/>
  <c r="S185" i="2"/>
  <c r="S190" i="2"/>
  <c r="S200" i="2"/>
  <c r="S201" i="2"/>
  <c r="H84" i="1"/>
  <c r="N209" i="2"/>
  <c r="S209" i="2"/>
  <c r="S210" i="2"/>
  <c r="S211" i="2"/>
  <c r="S214" i="2"/>
  <c r="S215" i="2"/>
  <c r="S229" i="2"/>
  <c r="S233" i="2"/>
  <c r="S234" i="2"/>
  <c r="N237" i="2"/>
  <c r="S237" i="2"/>
  <c r="N240" i="2"/>
  <c r="S240" i="2"/>
  <c r="S241" i="2"/>
  <c r="S242" i="2"/>
  <c r="S245" i="2"/>
  <c r="N246" i="2"/>
  <c r="S246" i="2"/>
  <c r="S247" i="2"/>
  <c r="S248" i="2"/>
  <c r="S255" i="2"/>
  <c r="H10" i="1"/>
  <c r="N256" i="2"/>
  <c r="S256" i="2"/>
  <c r="H16" i="1"/>
  <c r="N257" i="2"/>
  <c r="S257" i="2"/>
  <c r="S266" i="2"/>
  <c r="S272" i="2"/>
  <c r="S283" i="2"/>
  <c r="S284" i="2"/>
  <c r="N287" i="2"/>
  <c r="S287" i="2"/>
  <c r="S289" i="2"/>
  <c r="S292" i="2"/>
  <c r="S301" i="2"/>
  <c r="S302" i="2"/>
  <c r="S303" i="2"/>
  <c r="S304" i="2"/>
  <c r="S305" i="2"/>
  <c r="N316" i="2"/>
  <c r="S316" i="2"/>
  <c r="S319" i="2"/>
  <c r="S320" i="2"/>
  <c r="H13" i="1"/>
  <c r="N321" i="2"/>
  <c r="S321" i="2"/>
  <c r="S322" i="2"/>
  <c r="S323" i="2"/>
  <c r="S324" i="2"/>
  <c r="S325" i="2"/>
  <c r="S326" i="2"/>
  <c r="S330" i="2"/>
  <c r="S331" i="2"/>
  <c r="H79" i="1"/>
  <c r="N332" i="2"/>
  <c r="S332" i="2"/>
  <c r="N337" i="2"/>
  <c r="S337" i="2"/>
  <c r="S348" i="2"/>
  <c r="N349" i="2"/>
  <c r="S349" i="2"/>
  <c r="S350" i="2"/>
  <c r="S351" i="2"/>
  <c r="S352" i="2"/>
  <c r="S355" i="2"/>
  <c r="S356" i="2"/>
  <c r="S359" i="2"/>
  <c r="S360" i="2"/>
  <c r="N363" i="2"/>
  <c r="S363" i="2"/>
  <c r="H69" i="1"/>
  <c r="N365" i="2"/>
  <c r="S365" i="2"/>
  <c r="S366" i="2"/>
  <c r="N369" i="2"/>
  <c r="S369" i="2"/>
  <c r="H80" i="1"/>
  <c r="N370" i="2"/>
  <c r="S370" i="2"/>
  <c r="S382" i="2"/>
  <c r="S385" i="2"/>
  <c r="N386" i="2"/>
  <c r="S386" i="2"/>
  <c r="S387" i="2"/>
  <c r="S388" i="2"/>
  <c r="S389" i="2"/>
  <c r="S393" i="2"/>
  <c r="N394" i="2"/>
  <c r="S394" i="2"/>
  <c r="H68" i="1"/>
  <c r="N395" i="2"/>
  <c r="S395" i="2"/>
  <c r="N398" i="2"/>
  <c r="S398" i="2"/>
  <c r="J89" i="1"/>
  <c r="C78" i="3"/>
  <c r="T147" i="2"/>
  <c r="T197" i="2"/>
  <c r="T261" i="2"/>
  <c r="T329" i="2"/>
  <c r="T17" i="2"/>
  <c r="T18" i="2"/>
  <c r="T19" i="2"/>
  <c r="T20" i="2"/>
  <c r="T21" i="2"/>
  <c r="T27" i="2"/>
  <c r="T34" i="2"/>
  <c r="T35" i="2"/>
  <c r="T36" i="2"/>
  <c r="T37" i="2"/>
  <c r="T40" i="2"/>
  <c r="T41" i="2"/>
  <c r="T42" i="2"/>
  <c r="T43" i="2"/>
  <c r="T46" i="2"/>
  <c r="T49" i="2"/>
  <c r="T50" i="2"/>
  <c r="T51" i="2"/>
  <c r="T56" i="2"/>
  <c r="T57" i="2"/>
  <c r="T60" i="2"/>
  <c r="T61" i="2"/>
  <c r="T64" i="2"/>
  <c r="T65" i="2"/>
  <c r="T66" i="2"/>
  <c r="T67" i="2"/>
  <c r="T68" i="2"/>
  <c r="T78" i="2"/>
  <c r="T82" i="2"/>
  <c r="T83" i="2"/>
  <c r="T86" i="2"/>
  <c r="T87" i="2"/>
  <c r="T88" i="2"/>
  <c r="T89" i="2"/>
  <c r="T90" i="2"/>
  <c r="T96" i="2"/>
  <c r="T104" i="2"/>
  <c r="T108" i="2"/>
  <c r="T109" i="2"/>
  <c r="T112" i="2"/>
  <c r="T117" i="2"/>
  <c r="T118" i="2"/>
  <c r="T119" i="2"/>
  <c r="T127" i="2"/>
  <c r="T130" i="2"/>
  <c r="T131" i="2"/>
  <c r="T141" i="2"/>
  <c r="T142" i="2"/>
  <c r="T146" i="2"/>
  <c r="T148" i="2"/>
  <c r="T149" i="2"/>
  <c r="T150" i="2"/>
  <c r="T153" i="2"/>
  <c r="T165" i="2"/>
  <c r="T166" i="2"/>
  <c r="T169" i="2"/>
  <c r="T170" i="2"/>
  <c r="T171" i="2"/>
  <c r="T172" i="2"/>
  <c r="T173" i="2"/>
  <c r="T177" i="2"/>
  <c r="T179" i="2"/>
  <c r="T180" i="2"/>
  <c r="T183" i="2"/>
  <c r="T185" i="2"/>
  <c r="T190" i="2"/>
  <c r="T200" i="2"/>
  <c r="T201" i="2"/>
  <c r="T209" i="2"/>
  <c r="T210" i="2"/>
  <c r="T211" i="2"/>
  <c r="T214" i="2"/>
  <c r="T215" i="2"/>
  <c r="T229" i="2"/>
  <c r="T233" i="2"/>
  <c r="T234" i="2"/>
  <c r="T237" i="2"/>
  <c r="T240" i="2"/>
  <c r="T241" i="2"/>
  <c r="T242" i="2"/>
  <c r="T245" i="2"/>
  <c r="T246" i="2"/>
  <c r="T247" i="2"/>
  <c r="T248" i="2"/>
  <c r="T255" i="2"/>
  <c r="T256" i="2"/>
  <c r="T257" i="2"/>
  <c r="T266" i="2"/>
  <c r="T272" i="2"/>
  <c r="T283" i="2"/>
  <c r="T284" i="2"/>
  <c r="T287" i="2"/>
  <c r="T289" i="2"/>
  <c r="T292" i="2"/>
  <c r="T301" i="2"/>
  <c r="T302" i="2"/>
  <c r="T303" i="2"/>
  <c r="T304" i="2"/>
  <c r="T305" i="2"/>
  <c r="T316" i="2"/>
  <c r="T319" i="2"/>
  <c r="T320" i="2"/>
  <c r="T321" i="2"/>
  <c r="T322" i="2"/>
  <c r="T323" i="2"/>
  <c r="T324" i="2"/>
  <c r="T325" i="2"/>
  <c r="T326" i="2"/>
  <c r="T330" i="2"/>
  <c r="T331" i="2"/>
  <c r="T332" i="2"/>
  <c r="T337" i="2"/>
  <c r="T348" i="2"/>
  <c r="T349" i="2"/>
  <c r="T350" i="2"/>
  <c r="T351" i="2"/>
  <c r="T352" i="2"/>
  <c r="T355" i="2"/>
  <c r="T356" i="2"/>
  <c r="T359" i="2"/>
  <c r="T360" i="2"/>
  <c r="T363" i="2"/>
  <c r="T365" i="2"/>
  <c r="T366" i="2"/>
  <c r="T369" i="2"/>
  <c r="T370" i="2"/>
  <c r="T382" i="2"/>
  <c r="T385" i="2"/>
  <c r="T386" i="2"/>
  <c r="T387" i="2"/>
  <c r="T388" i="2"/>
  <c r="T389" i="2"/>
  <c r="T393" i="2"/>
  <c r="T394" i="2"/>
  <c r="T395" i="2"/>
  <c r="T398" i="2"/>
  <c r="K89" i="1"/>
  <c r="D78" i="3"/>
  <c r="L89" i="1"/>
  <c r="E78" i="3"/>
  <c r="G78" i="3"/>
  <c r="I88" i="1"/>
  <c r="B77" i="3"/>
  <c r="J88" i="1"/>
  <c r="C77" i="3"/>
  <c r="K88" i="1"/>
  <c r="D77" i="3"/>
  <c r="L88" i="1"/>
  <c r="E77" i="3"/>
  <c r="G77" i="3"/>
  <c r="I86" i="1"/>
  <c r="I87" i="1"/>
  <c r="B76" i="3"/>
  <c r="J86" i="1"/>
  <c r="J87" i="1"/>
  <c r="C76" i="3"/>
  <c r="K86" i="1"/>
  <c r="K87" i="1"/>
  <c r="D76" i="3"/>
  <c r="L86" i="1"/>
  <c r="L87" i="1"/>
  <c r="E76" i="3"/>
  <c r="G76" i="3"/>
  <c r="I85" i="1"/>
  <c r="B75" i="3"/>
  <c r="J85" i="1"/>
  <c r="C75" i="3"/>
  <c r="K85" i="1"/>
  <c r="D75" i="3"/>
  <c r="L85" i="1"/>
  <c r="E75" i="3"/>
  <c r="G75" i="3"/>
  <c r="I84" i="1"/>
  <c r="B74" i="3"/>
  <c r="J84" i="1"/>
  <c r="C74" i="3"/>
  <c r="K84" i="1"/>
  <c r="D74" i="3"/>
  <c r="L84" i="1"/>
  <c r="E74" i="3"/>
  <c r="G74" i="3"/>
  <c r="I83" i="1"/>
  <c r="B73" i="3"/>
  <c r="J83" i="1"/>
  <c r="C73" i="3"/>
  <c r="K83" i="1"/>
  <c r="D73" i="3"/>
  <c r="L83" i="1"/>
  <c r="E73" i="3"/>
  <c r="G73" i="3"/>
  <c r="I82" i="1"/>
  <c r="B72" i="3"/>
  <c r="J82" i="1"/>
  <c r="C72" i="3"/>
  <c r="K82" i="1"/>
  <c r="D72" i="3"/>
  <c r="L82" i="1"/>
  <c r="E72" i="3"/>
  <c r="G72" i="3"/>
  <c r="I81" i="1"/>
  <c r="B71" i="3"/>
  <c r="J81" i="1"/>
  <c r="C71" i="3"/>
  <c r="K81" i="1"/>
  <c r="D71" i="3"/>
  <c r="L81" i="1"/>
  <c r="E71" i="3"/>
  <c r="G71" i="3"/>
  <c r="I80" i="1"/>
  <c r="B70" i="3"/>
  <c r="J80" i="1"/>
  <c r="C70" i="3"/>
  <c r="K80" i="1"/>
  <c r="D70" i="3"/>
  <c r="L80" i="1"/>
  <c r="E70" i="3"/>
  <c r="G70" i="3"/>
  <c r="I79" i="1"/>
  <c r="B69" i="3"/>
  <c r="J79" i="1"/>
  <c r="C69" i="3"/>
  <c r="K79" i="1"/>
  <c r="D69" i="3"/>
  <c r="L79" i="1"/>
  <c r="E69" i="3"/>
  <c r="G69" i="3"/>
  <c r="I78" i="1"/>
  <c r="B68" i="3"/>
  <c r="J78" i="1"/>
  <c r="C68" i="3"/>
  <c r="K78" i="1"/>
  <c r="D68" i="3"/>
  <c r="L78" i="1"/>
  <c r="E68" i="3"/>
  <c r="G68" i="3"/>
  <c r="I77" i="1"/>
  <c r="B67" i="3"/>
  <c r="J77" i="1"/>
  <c r="C67" i="3"/>
  <c r="K77" i="1"/>
  <c r="D67" i="3"/>
  <c r="L77" i="1"/>
  <c r="E67" i="3"/>
  <c r="G67" i="3"/>
  <c r="I76" i="1"/>
  <c r="B66" i="3"/>
  <c r="J76" i="1"/>
  <c r="C66" i="3"/>
  <c r="K76" i="1"/>
  <c r="D66" i="3"/>
  <c r="L76" i="1"/>
  <c r="E66" i="3"/>
  <c r="G66" i="3"/>
  <c r="I75" i="1"/>
  <c r="B65" i="3"/>
  <c r="J75" i="1"/>
  <c r="C65" i="3"/>
  <c r="K75" i="1"/>
  <c r="D65" i="3"/>
  <c r="L75" i="1"/>
  <c r="E65" i="3"/>
  <c r="G65" i="3"/>
  <c r="I74" i="1"/>
  <c r="B64" i="3"/>
  <c r="J74" i="1"/>
  <c r="C64" i="3"/>
  <c r="K74" i="1"/>
  <c r="D64" i="3"/>
  <c r="L74" i="1"/>
  <c r="E64" i="3"/>
  <c r="G64" i="3"/>
  <c r="I73" i="1"/>
  <c r="B63" i="3"/>
  <c r="J73" i="1"/>
  <c r="C63" i="3"/>
  <c r="K73" i="1"/>
  <c r="D63" i="3"/>
  <c r="L73" i="1"/>
  <c r="E63" i="3"/>
  <c r="G63" i="3"/>
  <c r="I72" i="1"/>
  <c r="B62" i="3"/>
  <c r="J72" i="1"/>
  <c r="C62" i="3"/>
  <c r="K72" i="1"/>
  <c r="D62" i="3"/>
  <c r="L72" i="1"/>
  <c r="E62" i="3"/>
  <c r="G62" i="3"/>
  <c r="I71" i="1"/>
  <c r="B61" i="3"/>
  <c r="J71" i="1"/>
  <c r="C61" i="3"/>
  <c r="K71" i="1"/>
  <c r="D61" i="3"/>
  <c r="L71" i="1"/>
  <c r="E61" i="3"/>
  <c r="G61" i="3"/>
  <c r="I68" i="1"/>
  <c r="I69" i="1"/>
  <c r="I70" i="1"/>
  <c r="B60" i="3"/>
  <c r="J68" i="1"/>
  <c r="J69" i="1"/>
  <c r="J70" i="1"/>
  <c r="C60" i="3"/>
  <c r="K68" i="1"/>
  <c r="K69" i="1"/>
  <c r="K70" i="1"/>
  <c r="D60" i="3"/>
  <c r="L68" i="1"/>
  <c r="L69" i="1"/>
  <c r="L70" i="1"/>
  <c r="E60" i="3"/>
  <c r="G60" i="3"/>
  <c r="I67" i="1"/>
  <c r="B59" i="3"/>
  <c r="J67" i="1"/>
  <c r="C59" i="3"/>
  <c r="K67" i="1"/>
  <c r="D59" i="3"/>
  <c r="L67" i="1"/>
  <c r="E59" i="3"/>
  <c r="G59" i="3"/>
  <c r="I66" i="1"/>
  <c r="B58" i="3"/>
  <c r="J66" i="1"/>
  <c r="C58" i="3"/>
  <c r="K66" i="1"/>
  <c r="D58" i="3"/>
  <c r="L66" i="1"/>
  <c r="E58" i="3"/>
  <c r="G58" i="3"/>
  <c r="I65" i="1"/>
  <c r="B57" i="3"/>
  <c r="J65" i="1"/>
  <c r="C57" i="3"/>
  <c r="K65" i="1"/>
  <c r="D57" i="3"/>
  <c r="L65" i="1"/>
  <c r="E57" i="3"/>
  <c r="G57" i="3"/>
  <c r="I64" i="1"/>
  <c r="B56" i="3"/>
  <c r="J64" i="1"/>
  <c r="C56" i="3"/>
  <c r="K64" i="1"/>
  <c r="D56" i="3"/>
  <c r="L64" i="1"/>
  <c r="E56" i="3"/>
  <c r="G56" i="3"/>
  <c r="I62" i="1"/>
  <c r="B54" i="3"/>
  <c r="J62" i="1"/>
  <c r="C54" i="3"/>
  <c r="K62" i="1"/>
  <c r="D54" i="3"/>
  <c r="L62" i="1"/>
  <c r="E54" i="3"/>
  <c r="G54" i="3"/>
  <c r="I61" i="1"/>
  <c r="B53" i="3"/>
  <c r="J61" i="1"/>
  <c r="C53" i="3"/>
  <c r="K61" i="1"/>
  <c r="D53" i="3"/>
  <c r="L61" i="1"/>
  <c r="E53" i="3"/>
  <c r="G53" i="3"/>
  <c r="I60" i="1"/>
  <c r="B52" i="3"/>
  <c r="J60" i="1"/>
  <c r="C52" i="3"/>
  <c r="K60" i="1"/>
  <c r="D52" i="3"/>
  <c r="L60" i="1"/>
  <c r="E52" i="3"/>
  <c r="G52" i="3"/>
  <c r="I58" i="1"/>
  <c r="B50" i="3"/>
  <c r="J58" i="1"/>
  <c r="C50" i="3"/>
  <c r="K58" i="1"/>
  <c r="D50" i="3"/>
  <c r="L58" i="1"/>
  <c r="E50" i="3"/>
  <c r="G50" i="3"/>
  <c r="I57" i="1"/>
  <c r="B49" i="3"/>
  <c r="J57" i="1"/>
  <c r="C49" i="3"/>
  <c r="K57" i="1"/>
  <c r="D49" i="3"/>
  <c r="L57" i="1"/>
  <c r="E49" i="3"/>
  <c r="G49" i="3"/>
  <c r="I56" i="1"/>
  <c r="B48" i="3"/>
  <c r="J56" i="1"/>
  <c r="C48" i="3"/>
  <c r="K56" i="1"/>
  <c r="D48" i="3"/>
  <c r="L56" i="1"/>
  <c r="E48" i="3"/>
  <c r="G48" i="3"/>
  <c r="I55" i="1"/>
  <c r="B47" i="3"/>
  <c r="J55" i="1"/>
  <c r="C47" i="3"/>
  <c r="K55" i="1"/>
  <c r="D47" i="3"/>
  <c r="L55" i="1"/>
  <c r="E47" i="3"/>
  <c r="G47" i="3"/>
  <c r="I54" i="1"/>
  <c r="B46" i="3"/>
  <c r="J54" i="1"/>
  <c r="C46" i="3"/>
  <c r="K54" i="1"/>
  <c r="D46" i="3"/>
  <c r="L54" i="1"/>
  <c r="E46" i="3"/>
  <c r="G46" i="3"/>
  <c r="I53" i="1"/>
  <c r="B45" i="3"/>
  <c r="J53" i="1"/>
  <c r="C45" i="3"/>
  <c r="K53" i="1"/>
  <c r="D45" i="3"/>
  <c r="L53" i="1"/>
  <c r="E45" i="3"/>
  <c r="G45" i="3"/>
  <c r="I52" i="1"/>
  <c r="B44" i="3"/>
  <c r="J52" i="1"/>
  <c r="C44" i="3"/>
  <c r="K52" i="1"/>
  <c r="D44" i="3"/>
  <c r="L52" i="1"/>
  <c r="E44" i="3"/>
  <c r="G44" i="3"/>
  <c r="I51" i="1"/>
  <c r="B43" i="3"/>
  <c r="J51" i="1"/>
  <c r="C43" i="3"/>
  <c r="K51" i="1"/>
  <c r="D43" i="3"/>
  <c r="L51" i="1"/>
  <c r="E43" i="3"/>
  <c r="G43" i="3"/>
  <c r="I49" i="1"/>
  <c r="B41" i="3"/>
  <c r="J49" i="1"/>
  <c r="C41" i="3"/>
  <c r="K49" i="1"/>
  <c r="D41" i="3"/>
  <c r="L49" i="1"/>
  <c r="E41" i="3"/>
  <c r="G41" i="3"/>
  <c r="I48" i="1"/>
  <c r="B40" i="3"/>
  <c r="J48" i="1"/>
  <c r="C40" i="3"/>
  <c r="K48" i="1"/>
  <c r="D40" i="3"/>
  <c r="L48" i="1"/>
  <c r="E40" i="3"/>
  <c r="G40" i="3"/>
  <c r="I47" i="1"/>
  <c r="B39" i="3"/>
  <c r="J47" i="1"/>
  <c r="C39" i="3"/>
  <c r="K47" i="1"/>
  <c r="D39" i="3"/>
  <c r="L47" i="1"/>
  <c r="E39" i="3"/>
  <c r="G39" i="3"/>
  <c r="I46" i="1"/>
  <c r="B38" i="3"/>
  <c r="J46" i="1"/>
  <c r="C38" i="3"/>
  <c r="K46" i="1"/>
  <c r="D38" i="3"/>
  <c r="L46" i="1"/>
  <c r="E38" i="3"/>
  <c r="G38" i="3"/>
  <c r="I45" i="1"/>
  <c r="B37" i="3"/>
  <c r="J45" i="1"/>
  <c r="C37" i="3"/>
  <c r="K45" i="1"/>
  <c r="D37" i="3"/>
  <c r="L45" i="1"/>
  <c r="E37" i="3"/>
  <c r="G37" i="3"/>
  <c r="I44" i="1"/>
  <c r="B36" i="3"/>
  <c r="J44" i="1"/>
  <c r="C36" i="3"/>
  <c r="K44" i="1"/>
  <c r="D36" i="3"/>
  <c r="L44" i="1"/>
  <c r="E36" i="3"/>
  <c r="G36" i="3"/>
  <c r="I42" i="1"/>
  <c r="I43" i="1"/>
  <c r="B35" i="3"/>
  <c r="J42" i="1"/>
  <c r="J43" i="1"/>
  <c r="C35" i="3"/>
  <c r="K42" i="1"/>
  <c r="K43" i="1"/>
  <c r="D35" i="3"/>
  <c r="L42" i="1"/>
  <c r="L43" i="1"/>
  <c r="E35" i="3"/>
  <c r="G35" i="3"/>
  <c r="I41" i="1"/>
  <c r="B34" i="3"/>
  <c r="J41" i="1"/>
  <c r="C34" i="3"/>
  <c r="K41" i="1"/>
  <c r="D34" i="3"/>
  <c r="L41" i="1"/>
  <c r="E34" i="3"/>
  <c r="G34" i="3"/>
  <c r="I39" i="1"/>
  <c r="B32" i="3"/>
  <c r="J39" i="1"/>
  <c r="C32" i="3"/>
  <c r="K39" i="1"/>
  <c r="D32" i="3"/>
  <c r="L39" i="1"/>
  <c r="E32" i="3"/>
  <c r="G32" i="3"/>
  <c r="I38" i="1"/>
  <c r="B31" i="3"/>
  <c r="J38" i="1"/>
  <c r="C31" i="3"/>
  <c r="K38" i="1"/>
  <c r="D31" i="3"/>
  <c r="L38" i="1"/>
  <c r="E31" i="3"/>
  <c r="G31" i="3"/>
  <c r="I37" i="1"/>
  <c r="B30" i="3"/>
  <c r="J37" i="1"/>
  <c r="C30" i="3"/>
  <c r="K37" i="1"/>
  <c r="D30" i="3"/>
  <c r="L37" i="1"/>
  <c r="E30" i="3"/>
  <c r="G30" i="3"/>
  <c r="I36" i="1"/>
  <c r="B29" i="3"/>
  <c r="J36" i="1"/>
  <c r="C29" i="3"/>
  <c r="K36" i="1"/>
  <c r="D29" i="3"/>
  <c r="L36" i="1"/>
  <c r="E29" i="3"/>
  <c r="G29" i="3"/>
  <c r="I35" i="1"/>
  <c r="B28" i="3"/>
  <c r="J35" i="1"/>
  <c r="C28" i="3"/>
  <c r="K35" i="1"/>
  <c r="D28" i="3"/>
  <c r="L35" i="1"/>
  <c r="E28" i="3"/>
  <c r="G28" i="3"/>
  <c r="I34" i="1"/>
  <c r="B27" i="3"/>
  <c r="J34" i="1"/>
  <c r="C27" i="3"/>
  <c r="K34" i="1"/>
  <c r="D27" i="3"/>
  <c r="L34" i="1"/>
  <c r="E27" i="3"/>
  <c r="G27" i="3"/>
  <c r="I33" i="1"/>
  <c r="B26" i="3"/>
  <c r="J33" i="1"/>
  <c r="C26" i="3"/>
  <c r="K33" i="1"/>
  <c r="D26" i="3"/>
  <c r="L33" i="1"/>
  <c r="E26" i="3"/>
  <c r="G26" i="3"/>
  <c r="I32" i="1"/>
  <c r="B25" i="3"/>
  <c r="J32" i="1"/>
  <c r="C25" i="3"/>
  <c r="K32" i="1"/>
  <c r="D25" i="3"/>
  <c r="L32" i="1"/>
  <c r="E25" i="3"/>
  <c r="G25" i="3"/>
  <c r="I30" i="1"/>
  <c r="I31" i="1"/>
  <c r="B24" i="3"/>
  <c r="J30" i="1"/>
  <c r="J31" i="1"/>
  <c r="C24" i="3"/>
  <c r="K30" i="1"/>
  <c r="K31" i="1"/>
  <c r="D24" i="3"/>
  <c r="L30" i="1"/>
  <c r="L31" i="1"/>
  <c r="E24" i="3"/>
  <c r="G24" i="3"/>
  <c r="I29" i="1"/>
  <c r="B23" i="3"/>
  <c r="J29" i="1"/>
  <c r="C23" i="3"/>
  <c r="K29" i="1"/>
  <c r="D23" i="3"/>
  <c r="L29" i="1"/>
  <c r="E23" i="3"/>
  <c r="G23" i="3"/>
  <c r="I28" i="1"/>
  <c r="B22" i="3"/>
  <c r="J28" i="1"/>
  <c r="C22" i="3"/>
  <c r="K28" i="1"/>
  <c r="D22" i="3"/>
  <c r="L28" i="1"/>
  <c r="E22" i="3"/>
  <c r="G22" i="3"/>
  <c r="I27" i="1"/>
  <c r="B21" i="3"/>
  <c r="J27" i="1"/>
  <c r="C21" i="3"/>
  <c r="K27" i="1"/>
  <c r="D21" i="3"/>
  <c r="L27" i="1"/>
  <c r="E21" i="3"/>
  <c r="G21" i="3"/>
  <c r="I26" i="1"/>
  <c r="B20" i="3"/>
  <c r="J26" i="1"/>
  <c r="C20" i="3"/>
  <c r="K26" i="1"/>
  <c r="D20" i="3"/>
  <c r="L26" i="1"/>
  <c r="E20" i="3"/>
  <c r="G20" i="3"/>
  <c r="I25" i="1"/>
  <c r="B19" i="3"/>
  <c r="J25" i="1"/>
  <c r="C19" i="3"/>
  <c r="K25" i="1"/>
  <c r="D19" i="3"/>
  <c r="L25" i="1"/>
  <c r="E19" i="3"/>
  <c r="G19" i="3"/>
  <c r="I24" i="1"/>
  <c r="B18" i="3"/>
  <c r="J24" i="1"/>
  <c r="C18" i="3"/>
  <c r="K24" i="1"/>
  <c r="D18" i="3"/>
  <c r="L24" i="1"/>
  <c r="E18" i="3"/>
  <c r="G18" i="3"/>
  <c r="I23" i="1"/>
  <c r="B17" i="3"/>
  <c r="J23" i="1"/>
  <c r="C17" i="3"/>
  <c r="K23" i="1"/>
  <c r="D17" i="3"/>
  <c r="L23" i="1"/>
  <c r="E17" i="3"/>
  <c r="G17" i="3"/>
  <c r="I22" i="1"/>
  <c r="B16" i="3"/>
  <c r="J22" i="1"/>
  <c r="C16" i="3"/>
  <c r="K22" i="1"/>
  <c r="D16" i="3"/>
  <c r="L22" i="1"/>
  <c r="E16" i="3"/>
  <c r="G16" i="3"/>
  <c r="I21" i="1"/>
  <c r="B15" i="3"/>
  <c r="J21" i="1"/>
  <c r="C15" i="3"/>
  <c r="K21" i="1"/>
  <c r="D15" i="3"/>
  <c r="L21" i="1"/>
  <c r="E15" i="3"/>
  <c r="G15" i="3"/>
  <c r="I20" i="1"/>
  <c r="B14" i="3"/>
  <c r="J20" i="1"/>
  <c r="C14" i="3"/>
  <c r="K20" i="1"/>
  <c r="D14" i="3"/>
  <c r="L20" i="1"/>
  <c r="E14" i="3"/>
  <c r="G14" i="3"/>
  <c r="I19" i="1"/>
  <c r="B13" i="3"/>
  <c r="J19" i="1"/>
  <c r="C13" i="3"/>
  <c r="K19" i="1"/>
  <c r="D13" i="3"/>
  <c r="L19" i="1"/>
  <c r="E13" i="3"/>
  <c r="G13" i="3"/>
  <c r="I18" i="1"/>
  <c r="B12" i="3"/>
  <c r="J18" i="1"/>
  <c r="C12" i="3"/>
  <c r="K18" i="1"/>
  <c r="D12" i="3"/>
  <c r="L18" i="1"/>
  <c r="E12" i="3"/>
  <c r="G12" i="3"/>
  <c r="I17" i="1"/>
  <c r="B11" i="3"/>
  <c r="J17" i="1"/>
  <c r="C11" i="3"/>
  <c r="K17" i="1"/>
  <c r="D11" i="3"/>
  <c r="L17" i="1"/>
  <c r="E11" i="3"/>
  <c r="G11" i="3"/>
  <c r="I13" i="1"/>
  <c r="I14" i="1"/>
  <c r="I15" i="1"/>
  <c r="I16" i="1"/>
  <c r="B10" i="3"/>
  <c r="J13" i="1"/>
  <c r="J14" i="1"/>
  <c r="J15" i="1"/>
  <c r="J16" i="1"/>
  <c r="C10" i="3"/>
  <c r="K13" i="1"/>
  <c r="K14" i="1"/>
  <c r="K15" i="1"/>
  <c r="K16" i="1"/>
  <c r="D10" i="3"/>
  <c r="L13" i="1"/>
  <c r="L14" i="1"/>
  <c r="L15" i="1"/>
  <c r="L16" i="1"/>
  <c r="E10" i="3"/>
  <c r="G10" i="3"/>
  <c r="I12" i="1"/>
  <c r="B9" i="3"/>
  <c r="J12" i="1"/>
  <c r="C9" i="3"/>
  <c r="K12" i="1"/>
  <c r="D9" i="3"/>
  <c r="L12" i="1"/>
  <c r="E9" i="3"/>
  <c r="G9" i="3"/>
  <c r="I11" i="1"/>
  <c r="B8" i="3"/>
  <c r="J11" i="1"/>
  <c r="C8" i="3"/>
  <c r="K11" i="1"/>
  <c r="D8" i="3"/>
  <c r="L11" i="1"/>
  <c r="E8" i="3"/>
  <c r="G8" i="3"/>
  <c r="I7" i="1"/>
  <c r="I8" i="1"/>
  <c r="I9" i="1"/>
  <c r="I4" i="1"/>
  <c r="I5" i="1"/>
  <c r="I6" i="1"/>
  <c r="I10" i="1"/>
  <c r="B7" i="3"/>
  <c r="J7" i="1"/>
  <c r="J8" i="1"/>
  <c r="J9" i="1"/>
  <c r="J4" i="1"/>
  <c r="J5" i="1"/>
  <c r="J6" i="1"/>
  <c r="J10" i="1"/>
  <c r="C7" i="3"/>
  <c r="K7" i="1"/>
  <c r="K8" i="1"/>
  <c r="K9" i="1"/>
  <c r="K4" i="1"/>
  <c r="K5" i="1"/>
  <c r="K6" i="1"/>
  <c r="K10" i="1"/>
  <c r="D7" i="3"/>
  <c r="L7" i="1"/>
  <c r="L8" i="1"/>
  <c r="L9" i="1"/>
  <c r="L4" i="1"/>
  <c r="L5" i="1"/>
  <c r="L6" i="1"/>
  <c r="L10" i="1"/>
  <c r="E7" i="3"/>
  <c r="G7" i="3"/>
  <c r="B6" i="3"/>
  <c r="C6" i="3"/>
  <c r="D6" i="3"/>
  <c r="E6" i="3"/>
  <c r="G6" i="3"/>
  <c r="B5" i="3"/>
  <c r="C5" i="3"/>
  <c r="D5" i="3"/>
  <c r="E5" i="3"/>
  <c r="G5" i="3"/>
  <c r="B4" i="3"/>
  <c r="C4" i="3"/>
  <c r="D4" i="3"/>
  <c r="E4" i="3"/>
  <c r="G4" i="3"/>
  <c r="G73" i="1"/>
  <c r="M50" i="2"/>
  <c r="AA49" i="2"/>
  <c r="AD49" i="2"/>
  <c r="AC49" i="2"/>
  <c r="AB49" i="2"/>
  <c r="V49" i="2"/>
  <c r="Y49" i="2"/>
  <c r="X49" i="2"/>
  <c r="W49" i="2"/>
  <c r="G39" i="1"/>
  <c r="M49" i="2"/>
  <c r="D49" i="2"/>
  <c r="C49" i="2"/>
  <c r="B49" i="2"/>
  <c r="AA50" i="2"/>
  <c r="AD50" i="2"/>
  <c r="AC50" i="2"/>
  <c r="AB50" i="2"/>
  <c r="V50" i="2"/>
  <c r="Y50" i="2"/>
  <c r="X50" i="2"/>
  <c r="W50" i="2"/>
  <c r="D50" i="2"/>
  <c r="C50" i="2"/>
  <c r="B50" i="2"/>
  <c r="G30" i="1"/>
  <c r="V142" i="2"/>
  <c r="W142" i="2"/>
  <c r="G46" i="1"/>
  <c r="M51" i="2"/>
  <c r="O34" i="2"/>
  <c r="P34" i="2"/>
  <c r="K8" i="5"/>
  <c r="K7" i="5"/>
  <c r="K6" i="5"/>
  <c r="K5" i="5"/>
  <c r="K4" i="5"/>
  <c r="K3" i="5"/>
  <c r="D24" i="2"/>
  <c r="D23" i="2"/>
  <c r="D22" i="2"/>
  <c r="D21" i="2"/>
  <c r="D20" i="2"/>
  <c r="D19" i="2"/>
  <c r="D18" i="2"/>
  <c r="D17" i="2"/>
  <c r="D27" i="2"/>
  <c r="D51" i="2"/>
  <c r="D46" i="2"/>
  <c r="D43" i="2"/>
  <c r="D42" i="2"/>
  <c r="D41" i="2"/>
  <c r="D40" i="2"/>
  <c r="D37" i="2"/>
  <c r="D36" i="2"/>
  <c r="D35" i="2"/>
  <c r="D34" i="2"/>
  <c r="AA24" i="2"/>
  <c r="AD24" i="2"/>
  <c r="AC24" i="2"/>
  <c r="AB24" i="2"/>
  <c r="V24" i="2"/>
  <c r="Y24" i="2"/>
  <c r="X24" i="2"/>
  <c r="W24" i="2"/>
  <c r="C24" i="2"/>
  <c r="AA23" i="2"/>
  <c r="AD23" i="2"/>
  <c r="AC23" i="2"/>
  <c r="AB23" i="2"/>
  <c r="V23" i="2"/>
  <c r="Y23" i="2"/>
  <c r="X23" i="2"/>
  <c r="W23" i="2"/>
  <c r="C23" i="2"/>
  <c r="AA22" i="2"/>
  <c r="AD22" i="2"/>
  <c r="AC22" i="2"/>
  <c r="AB22" i="2"/>
  <c r="V22" i="2"/>
  <c r="Y22" i="2"/>
  <c r="X22" i="2"/>
  <c r="W22" i="2"/>
  <c r="C22" i="2"/>
  <c r="AA21" i="2"/>
  <c r="AD21" i="2"/>
  <c r="AC21" i="2"/>
  <c r="AB21" i="2"/>
  <c r="V21" i="2"/>
  <c r="Y21" i="2"/>
  <c r="X21" i="2"/>
  <c r="W21" i="2"/>
  <c r="H52" i="1"/>
  <c r="N21" i="2"/>
  <c r="P21" i="2"/>
  <c r="O21" i="2"/>
  <c r="C21" i="2"/>
  <c r="B21" i="2"/>
  <c r="AA20" i="2"/>
  <c r="AD20" i="2"/>
  <c r="AC20" i="2"/>
  <c r="AB20" i="2"/>
  <c r="V20" i="2"/>
  <c r="Y20" i="2"/>
  <c r="X20" i="2"/>
  <c r="W20" i="2"/>
  <c r="P20" i="2"/>
  <c r="O20" i="2"/>
  <c r="C20" i="2"/>
  <c r="B20" i="2"/>
  <c r="AA19" i="2"/>
  <c r="AD19" i="2"/>
  <c r="AC19" i="2"/>
  <c r="AB19" i="2"/>
  <c r="V19" i="2"/>
  <c r="Y19" i="2"/>
  <c r="X19" i="2"/>
  <c r="W19" i="2"/>
  <c r="P19" i="2"/>
  <c r="O19" i="2"/>
  <c r="C19" i="2"/>
  <c r="B19" i="2"/>
  <c r="AA18" i="2"/>
  <c r="AD18" i="2"/>
  <c r="AC18" i="2"/>
  <c r="AB18" i="2"/>
  <c r="V18" i="2"/>
  <c r="Y18" i="2"/>
  <c r="X18" i="2"/>
  <c r="W18" i="2"/>
  <c r="P18" i="2"/>
  <c r="O18" i="2"/>
  <c r="C18" i="2"/>
  <c r="B18" i="2"/>
  <c r="AA17" i="2"/>
  <c r="AD17" i="2"/>
  <c r="AC17" i="2"/>
  <c r="AB17" i="2"/>
  <c r="V17" i="2"/>
  <c r="Y17" i="2"/>
  <c r="X17" i="2"/>
  <c r="W17" i="2"/>
  <c r="H19" i="1"/>
  <c r="N17" i="2"/>
  <c r="P17" i="2"/>
  <c r="O17" i="2"/>
  <c r="C17" i="2"/>
  <c r="B17" i="2"/>
  <c r="O27" i="2"/>
  <c r="H88" i="1"/>
  <c r="N27" i="2"/>
  <c r="P27" i="2"/>
  <c r="AA27" i="2"/>
  <c r="AD27" i="2"/>
  <c r="AC27" i="2"/>
  <c r="AB27" i="2"/>
  <c r="V27" i="2"/>
  <c r="Y27" i="2"/>
  <c r="X27" i="2"/>
  <c r="W27" i="2"/>
  <c r="C27" i="2"/>
  <c r="B27" i="2"/>
  <c r="D302" i="2"/>
  <c r="G72" i="1"/>
  <c r="M305" i="2"/>
  <c r="G22" i="1"/>
  <c r="M302" i="2"/>
  <c r="G75" i="1"/>
  <c r="M301" i="2"/>
  <c r="AA301" i="2"/>
  <c r="AD301" i="2"/>
  <c r="AC301" i="2"/>
  <c r="AB301" i="2"/>
  <c r="V301" i="2"/>
  <c r="Y301" i="2"/>
  <c r="X301" i="2"/>
  <c r="W301" i="2"/>
  <c r="D301" i="2"/>
  <c r="C301" i="2"/>
  <c r="B301" i="2"/>
  <c r="AA303" i="2"/>
  <c r="AD303" i="2"/>
  <c r="AC303" i="2"/>
  <c r="AB303" i="2"/>
  <c r="V303" i="2"/>
  <c r="Y303" i="2"/>
  <c r="X303" i="2"/>
  <c r="W303" i="2"/>
  <c r="D303" i="2"/>
  <c r="C303" i="2"/>
  <c r="B303" i="2"/>
  <c r="AA302" i="2"/>
  <c r="AD302" i="2"/>
  <c r="AC302" i="2"/>
  <c r="AB302" i="2"/>
  <c r="V302" i="2"/>
  <c r="Y302" i="2"/>
  <c r="X302" i="2"/>
  <c r="W302" i="2"/>
  <c r="C302" i="2"/>
  <c r="B302" i="2"/>
  <c r="AA304" i="2"/>
  <c r="AD304" i="2"/>
  <c r="AC304" i="2"/>
  <c r="AB304" i="2"/>
  <c r="V304" i="2"/>
  <c r="Y304" i="2"/>
  <c r="X304" i="2"/>
  <c r="W304" i="2"/>
  <c r="D304" i="2"/>
  <c r="C304" i="2"/>
  <c r="B304" i="2"/>
  <c r="AA305" i="2"/>
  <c r="AD305" i="2"/>
  <c r="AC305" i="2"/>
  <c r="AB305" i="2"/>
  <c r="V305" i="2"/>
  <c r="Y305" i="2"/>
  <c r="X305" i="2"/>
  <c r="W305" i="2"/>
  <c r="D305" i="2"/>
  <c r="C305" i="2"/>
  <c r="B305" i="2"/>
  <c r="G85" i="1"/>
  <c r="M292" i="2"/>
  <c r="AA292" i="2"/>
  <c r="AD292" i="2"/>
  <c r="AC292" i="2"/>
  <c r="AB292" i="2"/>
  <c r="V292" i="2"/>
  <c r="Y292" i="2"/>
  <c r="X292" i="2"/>
  <c r="W292" i="2"/>
  <c r="D292" i="2"/>
  <c r="C292" i="2"/>
  <c r="B292" i="2"/>
  <c r="G27" i="1"/>
  <c r="M289" i="2"/>
  <c r="AA288" i="2"/>
  <c r="AD288" i="2"/>
  <c r="AC288" i="2"/>
  <c r="AB288" i="2"/>
  <c r="V288" i="2"/>
  <c r="Y288" i="2"/>
  <c r="X288" i="2"/>
  <c r="W288" i="2"/>
  <c r="O288" i="2"/>
  <c r="P288" i="2"/>
  <c r="D288" i="2"/>
  <c r="C288" i="2"/>
  <c r="B288" i="2"/>
  <c r="AA287" i="2"/>
  <c r="AD287" i="2"/>
  <c r="AC287" i="2"/>
  <c r="AB287" i="2"/>
  <c r="V287" i="2"/>
  <c r="Y287" i="2"/>
  <c r="X287" i="2"/>
  <c r="O287" i="2"/>
  <c r="P287" i="2"/>
  <c r="W287" i="2"/>
  <c r="D287" i="2"/>
  <c r="C287" i="2"/>
  <c r="B287" i="2"/>
  <c r="AA289" i="2"/>
  <c r="AD289" i="2"/>
  <c r="AC289" i="2"/>
  <c r="AB289" i="2"/>
  <c r="V289" i="2"/>
  <c r="Y289" i="2"/>
  <c r="X289" i="2"/>
  <c r="W289" i="2"/>
  <c r="D289" i="2"/>
  <c r="C289" i="2"/>
  <c r="B289" i="2"/>
  <c r="AA284" i="2"/>
  <c r="AD284" i="2"/>
  <c r="AC284" i="2"/>
  <c r="AB284" i="2"/>
  <c r="V284" i="2"/>
  <c r="Y284" i="2"/>
  <c r="X284" i="2"/>
  <c r="W284" i="2"/>
  <c r="H64" i="1"/>
  <c r="N284" i="2"/>
  <c r="O284" i="2"/>
  <c r="P284" i="2"/>
  <c r="D284" i="2"/>
  <c r="C284" i="2"/>
  <c r="B284" i="2"/>
  <c r="G24" i="1"/>
  <c r="AA283" i="2"/>
  <c r="AD283" i="2"/>
  <c r="AC283" i="2"/>
  <c r="AB283" i="2"/>
  <c r="V283" i="2"/>
  <c r="Y283" i="2"/>
  <c r="X283" i="2"/>
  <c r="W283" i="2"/>
  <c r="M283" i="2"/>
  <c r="D283" i="2"/>
  <c r="C283" i="2"/>
  <c r="B283" i="2"/>
  <c r="AA220" i="2"/>
  <c r="AD220" i="2"/>
  <c r="AC220" i="2"/>
  <c r="AB220" i="2"/>
  <c r="V220" i="2"/>
  <c r="Y220" i="2"/>
  <c r="X220" i="2"/>
  <c r="W220" i="2"/>
  <c r="D220" i="2"/>
  <c r="C220" i="2"/>
  <c r="AA202" i="2"/>
  <c r="AD202" i="2"/>
  <c r="AC202" i="2"/>
  <c r="AB202" i="2"/>
  <c r="V202" i="2"/>
  <c r="Y202" i="2"/>
  <c r="X202" i="2"/>
  <c r="W202" i="2"/>
  <c r="D202" i="2"/>
  <c r="C202" i="2"/>
  <c r="B350" i="2"/>
  <c r="C350" i="2"/>
  <c r="D350" i="2"/>
  <c r="H58" i="1"/>
  <c r="N350" i="2"/>
  <c r="O350" i="2"/>
  <c r="P350" i="2"/>
  <c r="V350" i="2"/>
  <c r="W350" i="2"/>
  <c r="X350" i="2"/>
  <c r="Y350" i="2"/>
  <c r="AA350" i="2"/>
  <c r="AB350" i="2"/>
  <c r="AC350" i="2"/>
  <c r="AD350" i="2"/>
  <c r="D124" i="2"/>
  <c r="D123" i="2"/>
  <c r="D122" i="2"/>
  <c r="D107" i="2"/>
  <c r="D61" i="2"/>
  <c r="O183" i="2"/>
  <c r="P183" i="2"/>
  <c r="O370" i="2"/>
  <c r="P370" i="2"/>
  <c r="D401" i="2"/>
  <c r="D400" i="2"/>
  <c r="D399" i="2"/>
  <c r="D398" i="2"/>
  <c r="D395" i="2"/>
  <c r="D394" i="2"/>
  <c r="D393" i="2"/>
  <c r="D392" i="2"/>
  <c r="D389" i="2"/>
  <c r="D388" i="2"/>
  <c r="D387" i="2"/>
  <c r="D386" i="2"/>
  <c r="D385" i="2"/>
  <c r="D382" i="2"/>
  <c r="D192" i="2"/>
  <c r="D191" i="2"/>
  <c r="D190" i="2"/>
  <c r="D185" i="2"/>
  <c r="D184" i="2"/>
  <c r="D183" i="2"/>
  <c r="D180" i="2"/>
  <c r="D179" i="2"/>
  <c r="D178" i="2"/>
  <c r="D177" i="2"/>
  <c r="D176" i="2"/>
  <c r="D173" i="2"/>
  <c r="D172" i="2"/>
  <c r="D171" i="2"/>
  <c r="D170" i="2"/>
  <c r="D169" i="2"/>
  <c r="D166" i="2"/>
  <c r="D165" i="2"/>
  <c r="D164" i="2"/>
  <c r="D341" i="2"/>
  <c r="D340" i="2"/>
  <c r="D339" i="2"/>
  <c r="D338" i="2"/>
  <c r="D337" i="2"/>
  <c r="D332" i="2"/>
  <c r="D331" i="2"/>
  <c r="D330" i="2"/>
  <c r="D329" i="2"/>
  <c r="D326" i="2"/>
  <c r="D325" i="2"/>
  <c r="D324" i="2"/>
  <c r="D323" i="2"/>
  <c r="D322" i="2"/>
  <c r="D321" i="2"/>
  <c r="D320" i="2"/>
  <c r="D316" i="2"/>
  <c r="D319" i="2"/>
  <c r="D136" i="2"/>
  <c r="D131" i="2"/>
  <c r="D130" i="2"/>
  <c r="D127" i="2"/>
  <c r="D119" i="2"/>
  <c r="D118" i="2"/>
  <c r="D117" i="2"/>
  <c r="D116" i="2"/>
  <c r="D113" i="2"/>
  <c r="D112" i="2"/>
  <c r="D109" i="2"/>
  <c r="D108" i="2"/>
  <c r="D104" i="2"/>
  <c r="D276" i="2"/>
  <c r="D275" i="2"/>
  <c r="D272" i="2"/>
  <c r="D269" i="2"/>
  <c r="D266" i="2"/>
  <c r="D261" i="2"/>
  <c r="D258" i="2"/>
  <c r="D257" i="2"/>
  <c r="D256" i="2"/>
  <c r="D255" i="2"/>
  <c r="D250" i="2"/>
  <c r="D249" i="2"/>
  <c r="D248" i="2"/>
  <c r="D247" i="2"/>
  <c r="D246" i="2"/>
  <c r="D245" i="2"/>
  <c r="D242" i="2"/>
  <c r="D240" i="2"/>
  <c r="D241" i="2"/>
  <c r="D237" i="2"/>
  <c r="D234" i="2"/>
  <c r="D233" i="2"/>
  <c r="D230" i="2"/>
  <c r="D229" i="2"/>
  <c r="D224" i="2"/>
  <c r="D221" i="2"/>
  <c r="D211" i="2"/>
  <c r="D215" i="2"/>
  <c r="D210" i="2"/>
  <c r="D214" i="2"/>
  <c r="D209" i="2"/>
  <c r="D197" i="2"/>
  <c r="D201" i="2"/>
  <c r="D200" i="2"/>
  <c r="D373" i="2"/>
  <c r="D372" i="2"/>
  <c r="D371" i="2"/>
  <c r="D370" i="2"/>
  <c r="D369" i="2"/>
  <c r="D366" i="2"/>
  <c r="D365" i="2"/>
  <c r="D364" i="2"/>
  <c r="D363" i="2"/>
  <c r="D360" i="2"/>
  <c r="D359" i="2"/>
  <c r="D356" i="2"/>
  <c r="D355" i="2"/>
  <c r="D352" i="2"/>
  <c r="D351" i="2"/>
  <c r="D349" i="2"/>
  <c r="D348" i="2"/>
  <c r="D159" i="2"/>
  <c r="D153" i="2"/>
  <c r="D158" i="2"/>
  <c r="D150" i="2"/>
  <c r="D149" i="2"/>
  <c r="D148" i="2"/>
  <c r="D147" i="2"/>
  <c r="D146" i="2"/>
  <c r="D141" i="2"/>
  <c r="D143" i="2"/>
  <c r="D142" i="2"/>
  <c r="D96" i="2"/>
  <c r="D91" i="2"/>
  <c r="D90" i="2"/>
  <c r="D89" i="2"/>
  <c r="D88" i="2"/>
  <c r="D87" i="2"/>
  <c r="D86" i="2"/>
  <c r="D83" i="2"/>
  <c r="D82" i="2"/>
  <c r="D81" i="2"/>
  <c r="D78" i="2"/>
  <c r="D71" i="2"/>
  <c r="D73" i="2"/>
  <c r="D68" i="2"/>
  <c r="D72" i="2"/>
  <c r="D67" i="2"/>
  <c r="D66" i="2"/>
  <c r="D65" i="2"/>
  <c r="D64" i="2"/>
  <c r="D60" i="2"/>
  <c r="D56" i="2"/>
  <c r="D57" i="2"/>
  <c r="AA401" i="2"/>
  <c r="AD401" i="2"/>
  <c r="AC401" i="2"/>
  <c r="AB401" i="2"/>
  <c r="V401" i="2"/>
  <c r="Y401" i="2"/>
  <c r="X401" i="2"/>
  <c r="W401" i="2"/>
  <c r="AA400" i="2"/>
  <c r="AD400" i="2"/>
  <c r="AC400" i="2"/>
  <c r="AB400" i="2"/>
  <c r="V400" i="2"/>
  <c r="Y400" i="2"/>
  <c r="X400" i="2"/>
  <c r="W400" i="2"/>
  <c r="AA398" i="2"/>
  <c r="AD398" i="2"/>
  <c r="AC398" i="2"/>
  <c r="AB398" i="2"/>
  <c r="V398" i="2"/>
  <c r="Y398" i="2"/>
  <c r="X398" i="2"/>
  <c r="W398" i="2"/>
  <c r="AA395" i="2"/>
  <c r="AD395" i="2"/>
  <c r="AC395" i="2"/>
  <c r="AB395" i="2"/>
  <c r="V395" i="2"/>
  <c r="Y395" i="2"/>
  <c r="X395" i="2"/>
  <c r="W395" i="2"/>
  <c r="AA394" i="2"/>
  <c r="AD394" i="2"/>
  <c r="AC394" i="2"/>
  <c r="AB394" i="2"/>
  <c r="V394" i="2"/>
  <c r="Y394" i="2"/>
  <c r="X394" i="2"/>
  <c r="W394" i="2"/>
  <c r="AA393" i="2"/>
  <c r="AD393" i="2"/>
  <c r="AC393" i="2"/>
  <c r="AB393" i="2"/>
  <c r="V393" i="2"/>
  <c r="Y393" i="2"/>
  <c r="X393" i="2"/>
  <c r="W393" i="2"/>
  <c r="AA392" i="2"/>
  <c r="AD392" i="2"/>
  <c r="AC392" i="2"/>
  <c r="AB392" i="2"/>
  <c r="V392" i="2"/>
  <c r="Y392" i="2"/>
  <c r="X392" i="2"/>
  <c r="W392" i="2"/>
  <c r="AA389" i="2"/>
  <c r="AD389" i="2"/>
  <c r="AC389" i="2"/>
  <c r="AB389" i="2"/>
  <c r="V389" i="2"/>
  <c r="Y389" i="2"/>
  <c r="X389" i="2"/>
  <c r="W389" i="2"/>
  <c r="AA388" i="2"/>
  <c r="AD388" i="2"/>
  <c r="AC388" i="2"/>
  <c r="AB388" i="2"/>
  <c r="V388" i="2"/>
  <c r="Y388" i="2"/>
  <c r="X388" i="2"/>
  <c r="W388" i="2"/>
  <c r="AA387" i="2"/>
  <c r="AD387" i="2"/>
  <c r="AC387" i="2"/>
  <c r="AB387" i="2"/>
  <c r="V387" i="2"/>
  <c r="Y387" i="2"/>
  <c r="X387" i="2"/>
  <c r="W387" i="2"/>
  <c r="AA386" i="2"/>
  <c r="AD386" i="2"/>
  <c r="AC386" i="2"/>
  <c r="AB386" i="2"/>
  <c r="V386" i="2"/>
  <c r="Y386" i="2"/>
  <c r="X386" i="2"/>
  <c r="W386" i="2"/>
  <c r="AA385" i="2"/>
  <c r="AD385" i="2"/>
  <c r="AC385" i="2"/>
  <c r="AB385" i="2"/>
  <c r="V385" i="2"/>
  <c r="Y385" i="2"/>
  <c r="X385" i="2"/>
  <c r="W385" i="2"/>
  <c r="AA382" i="2"/>
  <c r="AD382" i="2"/>
  <c r="AC382" i="2"/>
  <c r="AB382" i="2"/>
  <c r="V382" i="2"/>
  <c r="Y382" i="2"/>
  <c r="X382" i="2"/>
  <c r="W382" i="2"/>
  <c r="AA192" i="2"/>
  <c r="AD192" i="2"/>
  <c r="AC192" i="2"/>
  <c r="AB192" i="2"/>
  <c r="V192" i="2"/>
  <c r="Y192" i="2"/>
  <c r="X192" i="2"/>
  <c r="W192" i="2"/>
  <c r="AA190" i="2"/>
  <c r="AD190" i="2"/>
  <c r="AC190" i="2"/>
  <c r="AB190" i="2"/>
  <c r="V190" i="2"/>
  <c r="Y190" i="2"/>
  <c r="X190" i="2"/>
  <c r="W190" i="2"/>
  <c r="AA185" i="2"/>
  <c r="AD185" i="2"/>
  <c r="AC185" i="2"/>
  <c r="AB185" i="2"/>
  <c r="V185" i="2"/>
  <c r="Y185" i="2"/>
  <c r="X185" i="2"/>
  <c r="W185" i="2"/>
  <c r="AA184" i="2"/>
  <c r="AD184" i="2"/>
  <c r="AC184" i="2"/>
  <c r="AB184" i="2"/>
  <c r="V184" i="2"/>
  <c r="Y184" i="2"/>
  <c r="X184" i="2"/>
  <c r="W184" i="2"/>
  <c r="AA183" i="2"/>
  <c r="AD183" i="2"/>
  <c r="AC183" i="2"/>
  <c r="AB183" i="2"/>
  <c r="V183" i="2"/>
  <c r="Y183" i="2"/>
  <c r="X183" i="2"/>
  <c r="W183" i="2"/>
  <c r="AA180" i="2"/>
  <c r="AD180" i="2"/>
  <c r="AC180" i="2"/>
  <c r="AB180" i="2"/>
  <c r="V180" i="2"/>
  <c r="Y180" i="2"/>
  <c r="X180" i="2"/>
  <c r="W180" i="2"/>
  <c r="AA179" i="2"/>
  <c r="AD179" i="2"/>
  <c r="AC179" i="2"/>
  <c r="AB179" i="2"/>
  <c r="V179" i="2"/>
  <c r="Y179" i="2"/>
  <c r="X179" i="2"/>
  <c r="W179" i="2"/>
  <c r="AA178" i="2"/>
  <c r="AD178" i="2"/>
  <c r="AC178" i="2"/>
  <c r="AB178" i="2"/>
  <c r="V178" i="2"/>
  <c r="Y178" i="2"/>
  <c r="X178" i="2"/>
  <c r="W178" i="2"/>
  <c r="AA177" i="2"/>
  <c r="AD177" i="2"/>
  <c r="AC177" i="2"/>
  <c r="AB177" i="2"/>
  <c r="V177" i="2"/>
  <c r="Y177" i="2"/>
  <c r="X177" i="2"/>
  <c r="W177" i="2"/>
  <c r="AA176" i="2"/>
  <c r="AD176" i="2"/>
  <c r="AC176" i="2"/>
  <c r="AB176" i="2"/>
  <c r="V176" i="2"/>
  <c r="Y176" i="2"/>
  <c r="X176" i="2"/>
  <c r="W176" i="2"/>
  <c r="AA173" i="2"/>
  <c r="AD173" i="2"/>
  <c r="AC173" i="2"/>
  <c r="AB173" i="2"/>
  <c r="V173" i="2"/>
  <c r="Y173" i="2"/>
  <c r="X173" i="2"/>
  <c r="W173" i="2"/>
  <c r="AA172" i="2"/>
  <c r="AD172" i="2"/>
  <c r="AC172" i="2"/>
  <c r="AB172" i="2"/>
  <c r="V172" i="2"/>
  <c r="Y172" i="2"/>
  <c r="X172" i="2"/>
  <c r="W172" i="2"/>
  <c r="AA171" i="2"/>
  <c r="AD171" i="2"/>
  <c r="AC171" i="2"/>
  <c r="AB171" i="2"/>
  <c r="V171" i="2"/>
  <c r="Y171" i="2"/>
  <c r="X171" i="2"/>
  <c r="W171" i="2"/>
  <c r="AA170" i="2"/>
  <c r="AD170" i="2"/>
  <c r="AC170" i="2"/>
  <c r="AB170" i="2"/>
  <c r="V170" i="2"/>
  <c r="Y170" i="2"/>
  <c r="X170" i="2"/>
  <c r="W170" i="2"/>
  <c r="AA169" i="2"/>
  <c r="AD169" i="2"/>
  <c r="AC169" i="2"/>
  <c r="AB169" i="2"/>
  <c r="V169" i="2"/>
  <c r="Y169" i="2"/>
  <c r="X169" i="2"/>
  <c r="W169" i="2"/>
  <c r="AA166" i="2"/>
  <c r="AD166" i="2"/>
  <c r="AC166" i="2"/>
  <c r="AB166" i="2"/>
  <c r="V166" i="2"/>
  <c r="Y166" i="2"/>
  <c r="X166" i="2"/>
  <c r="W166" i="2"/>
  <c r="AA165" i="2"/>
  <c r="AD165" i="2"/>
  <c r="AC165" i="2"/>
  <c r="AB165" i="2"/>
  <c r="V165" i="2"/>
  <c r="Y165" i="2"/>
  <c r="X165" i="2"/>
  <c r="W165" i="2"/>
  <c r="AA164" i="2"/>
  <c r="AD164" i="2"/>
  <c r="AC164" i="2"/>
  <c r="AB164" i="2"/>
  <c r="V164" i="2"/>
  <c r="Y164" i="2"/>
  <c r="X164" i="2"/>
  <c r="W164" i="2"/>
  <c r="AA341" i="2"/>
  <c r="AD341" i="2"/>
  <c r="AC341" i="2"/>
  <c r="AB341" i="2"/>
  <c r="V341" i="2"/>
  <c r="Y341" i="2"/>
  <c r="X341" i="2"/>
  <c r="W341" i="2"/>
  <c r="AA340" i="2"/>
  <c r="AD340" i="2"/>
  <c r="AC340" i="2"/>
  <c r="AB340" i="2"/>
  <c r="V340" i="2"/>
  <c r="Y340" i="2"/>
  <c r="X340" i="2"/>
  <c r="W340" i="2"/>
  <c r="AA339" i="2"/>
  <c r="AD339" i="2"/>
  <c r="AC339" i="2"/>
  <c r="AB339" i="2"/>
  <c r="V339" i="2"/>
  <c r="Y339" i="2"/>
  <c r="X339" i="2"/>
  <c r="W339" i="2"/>
  <c r="AA338" i="2"/>
  <c r="AD338" i="2"/>
  <c r="AC338" i="2"/>
  <c r="AB338" i="2"/>
  <c r="V338" i="2"/>
  <c r="Y338" i="2"/>
  <c r="X338" i="2"/>
  <c r="W338" i="2"/>
  <c r="AA337" i="2"/>
  <c r="AD337" i="2"/>
  <c r="AC337" i="2"/>
  <c r="AB337" i="2"/>
  <c r="V337" i="2"/>
  <c r="Y337" i="2"/>
  <c r="X337" i="2"/>
  <c r="W337" i="2"/>
  <c r="AA332" i="2"/>
  <c r="AD332" i="2"/>
  <c r="AC332" i="2"/>
  <c r="AB332" i="2"/>
  <c r="V332" i="2"/>
  <c r="Y332" i="2"/>
  <c r="X332" i="2"/>
  <c r="W332" i="2"/>
  <c r="AA331" i="2"/>
  <c r="AD331" i="2"/>
  <c r="AC331" i="2"/>
  <c r="AB331" i="2"/>
  <c r="V331" i="2"/>
  <c r="Y331" i="2"/>
  <c r="X331" i="2"/>
  <c r="W331" i="2"/>
  <c r="AA330" i="2"/>
  <c r="AD330" i="2"/>
  <c r="AC330" i="2"/>
  <c r="AB330" i="2"/>
  <c r="V330" i="2"/>
  <c r="Y330" i="2"/>
  <c r="X330" i="2"/>
  <c r="W330" i="2"/>
  <c r="AA329" i="2"/>
  <c r="AD329" i="2"/>
  <c r="AC329" i="2"/>
  <c r="AB329" i="2"/>
  <c r="V329" i="2"/>
  <c r="Y329" i="2"/>
  <c r="X329" i="2"/>
  <c r="W329" i="2"/>
  <c r="AA326" i="2"/>
  <c r="AD326" i="2"/>
  <c r="AC326" i="2"/>
  <c r="AB326" i="2"/>
  <c r="V326" i="2"/>
  <c r="Y326" i="2"/>
  <c r="X326" i="2"/>
  <c r="W326" i="2"/>
  <c r="AA325" i="2"/>
  <c r="AD325" i="2"/>
  <c r="AC325" i="2"/>
  <c r="AB325" i="2"/>
  <c r="V325" i="2"/>
  <c r="Y325" i="2"/>
  <c r="X325" i="2"/>
  <c r="W325" i="2"/>
  <c r="AA324" i="2"/>
  <c r="AD324" i="2"/>
  <c r="AC324" i="2"/>
  <c r="AB324" i="2"/>
  <c r="V324" i="2"/>
  <c r="Y324" i="2"/>
  <c r="X324" i="2"/>
  <c r="W324" i="2"/>
  <c r="AA323" i="2"/>
  <c r="AD323" i="2"/>
  <c r="AC323" i="2"/>
  <c r="AB323" i="2"/>
  <c r="V323" i="2"/>
  <c r="Y323" i="2"/>
  <c r="X323" i="2"/>
  <c r="W323" i="2"/>
  <c r="AA322" i="2"/>
  <c r="AD322" i="2"/>
  <c r="AC322" i="2"/>
  <c r="AB322" i="2"/>
  <c r="V322" i="2"/>
  <c r="Y322" i="2"/>
  <c r="X322" i="2"/>
  <c r="W322" i="2"/>
  <c r="AA321" i="2"/>
  <c r="AD321" i="2"/>
  <c r="AC321" i="2"/>
  <c r="AB321" i="2"/>
  <c r="V321" i="2"/>
  <c r="Y321" i="2"/>
  <c r="X321" i="2"/>
  <c r="W321" i="2"/>
  <c r="AA320" i="2"/>
  <c r="AD320" i="2"/>
  <c r="AC320" i="2"/>
  <c r="AB320" i="2"/>
  <c r="V320" i="2"/>
  <c r="Y320" i="2"/>
  <c r="X320" i="2"/>
  <c r="W320" i="2"/>
  <c r="AA316" i="2"/>
  <c r="AD316" i="2"/>
  <c r="AC316" i="2"/>
  <c r="AB316" i="2"/>
  <c r="V316" i="2"/>
  <c r="Y316" i="2"/>
  <c r="X316" i="2"/>
  <c r="W316" i="2"/>
  <c r="AA319" i="2"/>
  <c r="AD319" i="2"/>
  <c r="AC319" i="2"/>
  <c r="AB319" i="2"/>
  <c r="V319" i="2"/>
  <c r="Y319" i="2"/>
  <c r="X319" i="2"/>
  <c r="W319" i="2"/>
  <c r="AA136" i="2"/>
  <c r="AD136" i="2"/>
  <c r="AC136" i="2"/>
  <c r="AB136" i="2"/>
  <c r="V136" i="2"/>
  <c r="Y136" i="2"/>
  <c r="X136" i="2"/>
  <c r="W136" i="2"/>
  <c r="AA131" i="2"/>
  <c r="AD131" i="2"/>
  <c r="AC131" i="2"/>
  <c r="AB131" i="2"/>
  <c r="V131" i="2"/>
  <c r="Y131" i="2"/>
  <c r="X131" i="2"/>
  <c r="W131" i="2"/>
  <c r="AA130" i="2"/>
  <c r="AD130" i="2"/>
  <c r="AC130" i="2"/>
  <c r="AB130" i="2"/>
  <c r="V130" i="2"/>
  <c r="Y130" i="2"/>
  <c r="X130" i="2"/>
  <c r="W130" i="2"/>
  <c r="AA127" i="2"/>
  <c r="AD127" i="2"/>
  <c r="AC127" i="2"/>
  <c r="AB127" i="2"/>
  <c r="V127" i="2"/>
  <c r="Y127" i="2"/>
  <c r="X127" i="2"/>
  <c r="W127" i="2"/>
  <c r="AA119" i="2"/>
  <c r="AD119" i="2"/>
  <c r="AC119" i="2"/>
  <c r="AB119" i="2"/>
  <c r="V119" i="2"/>
  <c r="Y119" i="2"/>
  <c r="X119" i="2"/>
  <c r="W119" i="2"/>
  <c r="AA118" i="2"/>
  <c r="AD118" i="2"/>
  <c r="AC118" i="2"/>
  <c r="AB118" i="2"/>
  <c r="V118" i="2"/>
  <c r="Y118" i="2"/>
  <c r="X118" i="2"/>
  <c r="W118" i="2"/>
  <c r="AA117" i="2"/>
  <c r="AD117" i="2"/>
  <c r="AC117" i="2"/>
  <c r="AB117" i="2"/>
  <c r="V117" i="2"/>
  <c r="Y117" i="2"/>
  <c r="X117" i="2"/>
  <c r="W117" i="2"/>
  <c r="AA116" i="2"/>
  <c r="AD116" i="2"/>
  <c r="AC116" i="2"/>
  <c r="AB116" i="2"/>
  <c r="V116" i="2"/>
  <c r="Y116" i="2"/>
  <c r="X116" i="2"/>
  <c r="W116" i="2"/>
  <c r="AA113" i="2"/>
  <c r="AD113" i="2"/>
  <c r="AC113" i="2"/>
  <c r="AB113" i="2"/>
  <c r="V113" i="2"/>
  <c r="Y113" i="2"/>
  <c r="X113" i="2"/>
  <c r="W113" i="2"/>
  <c r="AA112" i="2"/>
  <c r="AD112" i="2"/>
  <c r="AC112" i="2"/>
  <c r="AB112" i="2"/>
  <c r="V112" i="2"/>
  <c r="Y112" i="2"/>
  <c r="X112" i="2"/>
  <c r="W112" i="2"/>
  <c r="AA109" i="2"/>
  <c r="AD109" i="2"/>
  <c r="AC109" i="2"/>
  <c r="AB109" i="2"/>
  <c r="V109" i="2"/>
  <c r="Y109" i="2"/>
  <c r="X109" i="2"/>
  <c r="W109" i="2"/>
  <c r="AA108" i="2"/>
  <c r="AD108" i="2"/>
  <c r="AC108" i="2"/>
  <c r="AB108" i="2"/>
  <c r="V108" i="2"/>
  <c r="Y108" i="2"/>
  <c r="X108" i="2"/>
  <c r="W108" i="2"/>
  <c r="AA104" i="2"/>
  <c r="AD104" i="2"/>
  <c r="AC104" i="2"/>
  <c r="AB104" i="2"/>
  <c r="V104" i="2"/>
  <c r="Y104" i="2"/>
  <c r="X104" i="2"/>
  <c r="W104" i="2"/>
  <c r="AA272" i="2"/>
  <c r="AD272" i="2"/>
  <c r="AC272" i="2"/>
  <c r="AB272" i="2"/>
  <c r="V272" i="2"/>
  <c r="Y272" i="2"/>
  <c r="X272" i="2"/>
  <c r="W272" i="2"/>
  <c r="AA269" i="2"/>
  <c r="AD269" i="2"/>
  <c r="AC269" i="2"/>
  <c r="AB269" i="2"/>
  <c r="V269" i="2"/>
  <c r="Y269" i="2"/>
  <c r="X269" i="2"/>
  <c r="W269" i="2"/>
  <c r="AA266" i="2"/>
  <c r="AD266" i="2"/>
  <c r="AC266" i="2"/>
  <c r="AB266" i="2"/>
  <c r="V266" i="2"/>
  <c r="Y266" i="2"/>
  <c r="X266" i="2"/>
  <c r="W266" i="2"/>
  <c r="AA261" i="2"/>
  <c r="AD261" i="2"/>
  <c r="AC261" i="2"/>
  <c r="AB261" i="2"/>
  <c r="V261" i="2"/>
  <c r="Y261" i="2"/>
  <c r="X261" i="2"/>
  <c r="W261" i="2"/>
  <c r="AA258" i="2"/>
  <c r="AD258" i="2"/>
  <c r="AC258" i="2"/>
  <c r="AB258" i="2"/>
  <c r="V258" i="2"/>
  <c r="Y258" i="2"/>
  <c r="X258" i="2"/>
  <c r="W258" i="2"/>
  <c r="AA257" i="2"/>
  <c r="AD257" i="2"/>
  <c r="AC257" i="2"/>
  <c r="AB257" i="2"/>
  <c r="V257" i="2"/>
  <c r="Y257" i="2"/>
  <c r="X257" i="2"/>
  <c r="W257" i="2"/>
  <c r="AA256" i="2"/>
  <c r="AD256" i="2"/>
  <c r="AC256" i="2"/>
  <c r="AB256" i="2"/>
  <c r="V256" i="2"/>
  <c r="Y256" i="2"/>
  <c r="X256" i="2"/>
  <c r="W256" i="2"/>
  <c r="AA255" i="2"/>
  <c r="AD255" i="2"/>
  <c r="AC255" i="2"/>
  <c r="AB255" i="2"/>
  <c r="V255" i="2"/>
  <c r="Y255" i="2"/>
  <c r="X255" i="2"/>
  <c r="W255" i="2"/>
  <c r="AA248" i="2"/>
  <c r="AD248" i="2"/>
  <c r="AC248" i="2"/>
  <c r="AB248" i="2"/>
  <c r="V248" i="2"/>
  <c r="Y248" i="2"/>
  <c r="X248" i="2"/>
  <c r="W248" i="2"/>
  <c r="AA247" i="2"/>
  <c r="AD247" i="2"/>
  <c r="AC247" i="2"/>
  <c r="AB247" i="2"/>
  <c r="V247" i="2"/>
  <c r="Y247" i="2"/>
  <c r="X247" i="2"/>
  <c r="W247" i="2"/>
  <c r="AA246" i="2"/>
  <c r="AD246" i="2"/>
  <c r="AC246" i="2"/>
  <c r="AB246" i="2"/>
  <c r="V246" i="2"/>
  <c r="Y246" i="2"/>
  <c r="X246" i="2"/>
  <c r="W246" i="2"/>
  <c r="AA245" i="2"/>
  <c r="AD245" i="2"/>
  <c r="AC245" i="2"/>
  <c r="AB245" i="2"/>
  <c r="V245" i="2"/>
  <c r="Y245" i="2"/>
  <c r="X245" i="2"/>
  <c r="W245" i="2"/>
  <c r="AA242" i="2"/>
  <c r="AD242" i="2"/>
  <c r="AC242" i="2"/>
  <c r="AB242" i="2"/>
  <c r="V242" i="2"/>
  <c r="Y242" i="2"/>
  <c r="X242" i="2"/>
  <c r="W242" i="2"/>
  <c r="AA240" i="2"/>
  <c r="AD240" i="2"/>
  <c r="AC240" i="2"/>
  <c r="AB240" i="2"/>
  <c r="V240" i="2"/>
  <c r="Y240" i="2"/>
  <c r="X240" i="2"/>
  <c r="W240" i="2"/>
  <c r="AA241" i="2"/>
  <c r="AD241" i="2"/>
  <c r="AC241" i="2"/>
  <c r="AB241" i="2"/>
  <c r="V241" i="2"/>
  <c r="Y241" i="2"/>
  <c r="X241" i="2"/>
  <c r="W241" i="2"/>
  <c r="AA237" i="2"/>
  <c r="AD237" i="2"/>
  <c r="AC237" i="2"/>
  <c r="AB237" i="2"/>
  <c r="V237" i="2"/>
  <c r="Y237" i="2"/>
  <c r="X237" i="2"/>
  <c r="W237" i="2"/>
  <c r="AA234" i="2"/>
  <c r="AD234" i="2"/>
  <c r="AC234" i="2"/>
  <c r="AB234" i="2"/>
  <c r="V234" i="2"/>
  <c r="Y234" i="2"/>
  <c r="X234" i="2"/>
  <c r="W234" i="2"/>
  <c r="AA233" i="2"/>
  <c r="AD233" i="2"/>
  <c r="AC233" i="2"/>
  <c r="AB233" i="2"/>
  <c r="V233" i="2"/>
  <c r="Y233" i="2"/>
  <c r="X233" i="2"/>
  <c r="W233" i="2"/>
  <c r="AA230" i="2"/>
  <c r="AD230" i="2"/>
  <c r="AC230" i="2"/>
  <c r="AB230" i="2"/>
  <c r="V230" i="2"/>
  <c r="Y230" i="2"/>
  <c r="X230" i="2"/>
  <c r="W230" i="2"/>
  <c r="AA229" i="2"/>
  <c r="AD229" i="2"/>
  <c r="AC229" i="2"/>
  <c r="AB229" i="2"/>
  <c r="V229" i="2"/>
  <c r="Y229" i="2"/>
  <c r="X229" i="2"/>
  <c r="W229" i="2"/>
  <c r="AA224" i="2"/>
  <c r="AD224" i="2"/>
  <c r="AC224" i="2"/>
  <c r="AB224" i="2"/>
  <c r="V224" i="2"/>
  <c r="Y224" i="2"/>
  <c r="X224" i="2"/>
  <c r="W224" i="2"/>
  <c r="AA221" i="2"/>
  <c r="AD221" i="2"/>
  <c r="AC221" i="2"/>
  <c r="AB221" i="2"/>
  <c r="V221" i="2"/>
  <c r="Y221" i="2"/>
  <c r="X221" i="2"/>
  <c r="W221" i="2"/>
  <c r="AA211" i="2"/>
  <c r="AD211" i="2"/>
  <c r="AC211" i="2"/>
  <c r="AB211" i="2"/>
  <c r="V211" i="2"/>
  <c r="Y211" i="2"/>
  <c r="X211" i="2"/>
  <c r="W211" i="2"/>
  <c r="AA215" i="2"/>
  <c r="AD215" i="2"/>
  <c r="AC215" i="2"/>
  <c r="AB215" i="2"/>
  <c r="V215" i="2"/>
  <c r="Y215" i="2"/>
  <c r="X215" i="2"/>
  <c r="W215" i="2"/>
  <c r="AA210" i="2"/>
  <c r="AD210" i="2"/>
  <c r="AC210" i="2"/>
  <c r="AB210" i="2"/>
  <c r="V210" i="2"/>
  <c r="Y210" i="2"/>
  <c r="X210" i="2"/>
  <c r="W210" i="2"/>
  <c r="AA214" i="2"/>
  <c r="AD214" i="2"/>
  <c r="AC214" i="2"/>
  <c r="AB214" i="2"/>
  <c r="V214" i="2"/>
  <c r="Y214" i="2"/>
  <c r="X214" i="2"/>
  <c r="W214" i="2"/>
  <c r="AA209" i="2"/>
  <c r="AD209" i="2"/>
  <c r="AC209" i="2"/>
  <c r="AB209" i="2"/>
  <c r="V209" i="2"/>
  <c r="Y209" i="2"/>
  <c r="X209" i="2"/>
  <c r="W209" i="2"/>
  <c r="AA197" i="2"/>
  <c r="AD197" i="2"/>
  <c r="AC197" i="2"/>
  <c r="AB197" i="2"/>
  <c r="V197" i="2"/>
  <c r="Y197" i="2"/>
  <c r="X197" i="2"/>
  <c r="W197" i="2"/>
  <c r="AA201" i="2"/>
  <c r="AD201" i="2"/>
  <c r="AC201" i="2"/>
  <c r="AB201" i="2"/>
  <c r="V201" i="2"/>
  <c r="Y201" i="2"/>
  <c r="X201" i="2"/>
  <c r="W201" i="2"/>
  <c r="AA200" i="2"/>
  <c r="AD200" i="2"/>
  <c r="AC200" i="2"/>
  <c r="AB200" i="2"/>
  <c r="V200" i="2"/>
  <c r="Y200" i="2"/>
  <c r="X200" i="2"/>
  <c r="W200" i="2"/>
  <c r="AA373" i="2"/>
  <c r="AD373" i="2"/>
  <c r="AC373" i="2"/>
  <c r="AB373" i="2"/>
  <c r="V373" i="2"/>
  <c r="Y373" i="2"/>
  <c r="X373" i="2"/>
  <c r="W373" i="2"/>
  <c r="AA372" i="2"/>
  <c r="AD372" i="2"/>
  <c r="AC372" i="2"/>
  <c r="AB372" i="2"/>
  <c r="V372" i="2"/>
  <c r="Y372" i="2"/>
  <c r="X372" i="2"/>
  <c r="W372" i="2"/>
  <c r="AA371" i="2"/>
  <c r="AD371" i="2"/>
  <c r="AC371" i="2"/>
  <c r="AB371" i="2"/>
  <c r="V371" i="2"/>
  <c r="Y371" i="2"/>
  <c r="X371" i="2"/>
  <c r="W371" i="2"/>
  <c r="AA370" i="2"/>
  <c r="AD370" i="2"/>
  <c r="AC370" i="2"/>
  <c r="AB370" i="2"/>
  <c r="V370" i="2"/>
  <c r="Y370" i="2"/>
  <c r="X370" i="2"/>
  <c r="W370" i="2"/>
  <c r="AA369" i="2"/>
  <c r="AD369" i="2"/>
  <c r="AC369" i="2"/>
  <c r="AB369" i="2"/>
  <c r="V369" i="2"/>
  <c r="Y369" i="2"/>
  <c r="X369" i="2"/>
  <c r="W369" i="2"/>
  <c r="AA366" i="2"/>
  <c r="AD366" i="2"/>
  <c r="AC366" i="2"/>
  <c r="AB366" i="2"/>
  <c r="V366" i="2"/>
  <c r="Y366" i="2"/>
  <c r="X366" i="2"/>
  <c r="W366" i="2"/>
  <c r="AA365" i="2"/>
  <c r="AD365" i="2"/>
  <c r="AC365" i="2"/>
  <c r="AB365" i="2"/>
  <c r="V365" i="2"/>
  <c r="Y365" i="2"/>
  <c r="X365" i="2"/>
  <c r="W365" i="2"/>
  <c r="AA364" i="2"/>
  <c r="AD364" i="2"/>
  <c r="AC364" i="2"/>
  <c r="AB364" i="2"/>
  <c r="V364" i="2"/>
  <c r="Y364" i="2"/>
  <c r="X364" i="2"/>
  <c r="W364" i="2"/>
  <c r="AA363" i="2"/>
  <c r="AD363" i="2"/>
  <c r="AC363" i="2"/>
  <c r="AB363" i="2"/>
  <c r="V363" i="2"/>
  <c r="Y363" i="2"/>
  <c r="X363" i="2"/>
  <c r="W363" i="2"/>
  <c r="AA360" i="2"/>
  <c r="AD360" i="2"/>
  <c r="AC360" i="2"/>
  <c r="AB360" i="2"/>
  <c r="V360" i="2"/>
  <c r="Y360" i="2"/>
  <c r="X360" i="2"/>
  <c r="W360" i="2"/>
  <c r="AA359" i="2"/>
  <c r="AD359" i="2"/>
  <c r="AC359" i="2"/>
  <c r="AB359" i="2"/>
  <c r="V359" i="2"/>
  <c r="Y359" i="2"/>
  <c r="X359" i="2"/>
  <c r="W359" i="2"/>
  <c r="AA356" i="2"/>
  <c r="AD356" i="2"/>
  <c r="AC356" i="2"/>
  <c r="AB356" i="2"/>
  <c r="V356" i="2"/>
  <c r="Y356" i="2"/>
  <c r="X356" i="2"/>
  <c r="W356" i="2"/>
  <c r="AA355" i="2"/>
  <c r="AD355" i="2"/>
  <c r="AC355" i="2"/>
  <c r="AB355" i="2"/>
  <c r="V355" i="2"/>
  <c r="Y355" i="2"/>
  <c r="X355" i="2"/>
  <c r="W355" i="2"/>
  <c r="AA352" i="2"/>
  <c r="AD352" i="2"/>
  <c r="AC352" i="2"/>
  <c r="AB352" i="2"/>
  <c r="V352" i="2"/>
  <c r="Y352" i="2"/>
  <c r="X352" i="2"/>
  <c r="W352" i="2"/>
  <c r="AA351" i="2"/>
  <c r="AD351" i="2"/>
  <c r="AC351" i="2"/>
  <c r="AB351" i="2"/>
  <c r="V351" i="2"/>
  <c r="Y351" i="2"/>
  <c r="X351" i="2"/>
  <c r="W351" i="2"/>
  <c r="AA349" i="2"/>
  <c r="AD349" i="2"/>
  <c r="AC349" i="2"/>
  <c r="AB349" i="2"/>
  <c r="V349" i="2"/>
  <c r="Y349" i="2"/>
  <c r="X349" i="2"/>
  <c r="W349" i="2"/>
  <c r="AA348" i="2"/>
  <c r="AD348" i="2"/>
  <c r="AC348" i="2"/>
  <c r="AB348" i="2"/>
  <c r="V348" i="2"/>
  <c r="Y348" i="2"/>
  <c r="X348" i="2"/>
  <c r="W348" i="2"/>
  <c r="AA153" i="2"/>
  <c r="AD153" i="2"/>
  <c r="AC153" i="2"/>
  <c r="AB153" i="2"/>
  <c r="V153" i="2"/>
  <c r="Y153" i="2"/>
  <c r="X153" i="2"/>
  <c r="W153" i="2"/>
  <c r="AA159" i="2"/>
  <c r="AD159" i="2"/>
  <c r="AC159" i="2"/>
  <c r="AB159" i="2"/>
  <c r="V159" i="2"/>
  <c r="Y159" i="2"/>
  <c r="X159" i="2"/>
  <c r="W159" i="2"/>
  <c r="AA158" i="2"/>
  <c r="AD158" i="2"/>
  <c r="AC158" i="2"/>
  <c r="AB158" i="2"/>
  <c r="V158" i="2"/>
  <c r="Y158" i="2"/>
  <c r="X158" i="2"/>
  <c r="W158" i="2"/>
  <c r="AA150" i="2"/>
  <c r="AD150" i="2"/>
  <c r="AC150" i="2"/>
  <c r="AB150" i="2"/>
  <c r="V150" i="2"/>
  <c r="Y150" i="2"/>
  <c r="X150" i="2"/>
  <c r="W150" i="2"/>
  <c r="AA149" i="2"/>
  <c r="AD149" i="2"/>
  <c r="AC149" i="2"/>
  <c r="AB149" i="2"/>
  <c r="V149" i="2"/>
  <c r="Y149" i="2"/>
  <c r="X149" i="2"/>
  <c r="W149" i="2"/>
  <c r="AA148" i="2"/>
  <c r="AD148" i="2"/>
  <c r="AC148" i="2"/>
  <c r="AB148" i="2"/>
  <c r="V148" i="2"/>
  <c r="Y148" i="2"/>
  <c r="X148" i="2"/>
  <c r="W148" i="2"/>
  <c r="AA147" i="2"/>
  <c r="AD147" i="2"/>
  <c r="AC147" i="2"/>
  <c r="AB147" i="2"/>
  <c r="V147" i="2"/>
  <c r="Y147" i="2"/>
  <c r="X147" i="2"/>
  <c r="W147" i="2"/>
  <c r="AA146" i="2"/>
  <c r="AD146" i="2"/>
  <c r="AC146" i="2"/>
  <c r="AB146" i="2"/>
  <c r="V146" i="2"/>
  <c r="Y146" i="2"/>
  <c r="X146" i="2"/>
  <c r="W146" i="2"/>
  <c r="AA143" i="2"/>
  <c r="AD143" i="2"/>
  <c r="AC143" i="2"/>
  <c r="AB143" i="2"/>
  <c r="V143" i="2"/>
  <c r="Y143" i="2"/>
  <c r="X143" i="2"/>
  <c r="W143" i="2"/>
  <c r="AA142" i="2"/>
  <c r="AD142" i="2"/>
  <c r="AC142" i="2"/>
  <c r="AB142" i="2"/>
  <c r="Y142" i="2"/>
  <c r="X142" i="2"/>
  <c r="AA141" i="2"/>
  <c r="AD141" i="2"/>
  <c r="AC141" i="2"/>
  <c r="AB141" i="2"/>
  <c r="V141" i="2"/>
  <c r="Y141" i="2"/>
  <c r="X141" i="2"/>
  <c r="W141" i="2"/>
  <c r="AA96" i="2"/>
  <c r="AD96" i="2"/>
  <c r="AC96" i="2"/>
  <c r="AB96" i="2"/>
  <c r="V96" i="2"/>
  <c r="Y96" i="2"/>
  <c r="X96" i="2"/>
  <c r="W96" i="2"/>
  <c r="AA91" i="2"/>
  <c r="AD91" i="2"/>
  <c r="AC91" i="2"/>
  <c r="AB91" i="2"/>
  <c r="V91" i="2"/>
  <c r="Y91" i="2"/>
  <c r="X91" i="2"/>
  <c r="W91" i="2"/>
  <c r="AA90" i="2"/>
  <c r="AD90" i="2"/>
  <c r="AC90" i="2"/>
  <c r="AB90" i="2"/>
  <c r="V90" i="2"/>
  <c r="Y90" i="2"/>
  <c r="X90" i="2"/>
  <c r="W90" i="2"/>
  <c r="AA89" i="2"/>
  <c r="AD89" i="2"/>
  <c r="AC89" i="2"/>
  <c r="AB89" i="2"/>
  <c r="V89" i="2"/>
  <c r="Y89" i="2"/>
  <c r="X89" i="2"/>
  <c r="W89" i="2"/>
  <c r="AA88" i="2"/>
  <c r="AD88" i="2"/>
  <c r="AC88" i="2"/>
  <c r="AB88" i="2"/>
  <c r="V88" i="2"/>
  <c r="Y88" i="2"/>
  <c r="X88" i="2"/>
  <c r="W88" i="2"/>
  <c r="AA87" i="2"/>
  <c r="AD87" i="2"/>
  <c r="AC87" i="2"/>
  <c r="AB87" i="2"/>
  <c r="V87" i="2"/>
  <c r="Y87" i="2"/>
  <c r="X87" i="2"/>
  <c r="W87" i="2"/>
  <c r="AA86" i="2"/>
  <c r="AD86" i="2"/>
  <c r="AC86" i="2"/>
  <c r="AB86" i="2"/>
  <c r="V86" i="2"/>
  <c r="Y86" i="2"/>
  <c r="X86" i="2"/>
  <c r="W86" i="2"/>
  <c r="AA83" i="2"/>
  <c r="AD83" i="2"/>
  <c r="AC83" i="2"/>
  <c r="AB83" i="2"/>
  <c r="V83" i="2"/>
  <c r="Y83" i="2"/>
  <c r="X83" i="2"/>
  <c r="W83" i="2"/>
  <c r="AA82" i="2"/>
  <c r="AD82" i="2"/>
  <c r="AC82" i="2"/>
  <c r="AB82" i="2"/>
  <c r="V82" i="2"/>
  <c r="Y82" i="2"/>
  <c r="X82" i="2"/>
  <c r="W82" i="2"/>
  <c r="AA81" i="2"/>
  <c r="AD81" i="2"/>
  <c r="AC81" i="2"/>
  <c r="AB81" i="2"/>
  <c r="V81" i="2"/>
  <c r="Y81" i="2"/>
  <c r="X81" i="2"/>
  <c r="W81" i="2"/>
  <c r="AA78" i="2"/>
  <c r="AD78" i="2"/>
  <c r="AC78" i="2"/>
  <c r="AB78" i="2"/>
  <c r="V78" i="2"/>
  <c r="Y78" i="2"/>
  <c r="X78" i="2"/>
  <c r="W78" i="2"/>
  <c r="AA68" i="2"/>
  <c r="AD68" i="2"/>
  <c r="AC68" i="2"/>
  <c r="AB68" i="2"/>
  <c r="V68" i="2"/>
  <c r="Y68" i="2"/>
  <c r="X68" i="2"/>
  <c r="W68" i="2"/>
  <c r="AA67" i="2"/>
  <c r="AD67" i="2"/>
  <c r="AC67" i="2"/>
  <c r="AB67" i="2"/>
  <c r="V67" i="2"/>
  <c r="Y67" i="2"/>
  <c r="X67" i="2"/>
  <c r="W67" i="2"/>
  <c r="AA66" i="2"/>
  <c r="AD66" i="2"/>
  <c r="AC66" i="2"/>
  <c r="AB66" i="2"/>
  <c r="V66" i="2"/>
  <c r="Y66" i="2"/>
  <c r="X66" i="2"/>
  <c r="W66" i="2"/>
  <c r="AA65" i="2"/>
  <c r="AD65" i="2"/>
  <c r="AC65" i="2"/>
  <c r="AB65" i="2"/>
  <c r="V65" i="2"/>
  <c r="Y65" i="2"/>
  <c r="X65" i="2"/>
  <c r="W65" i="2"/>
  <c r="AA64" i="2"/>
  <c r="AD64" i="2"/>
  <c r="AC64" i="2"/>
  <c r="AB64" i="2"/>
  <c r="V64" i="2"/>
  <c r="Y64" i="2"/>
  <c r="X64" i="2"/>
  <c r="W64" i="2"/>
  <c r="AA60" i="2"/>
  <c r="AD60" i="2"/>
  <c r="AC60" i="2"/>
  <c r="AB60" i="2"/>
  <c r="V60" i="2"/>
  <c r="Y60" i="2"/>
  <c r="X60" i="2"/>
  <c r="W60" i="2"/>
  <c r="AA61" i="2"/>
  <c r="AD61" i="2"/>
  <c r="AC61" i="2"/>
  <c r="AB61" i="2"/>
  <c r="V61" i="2"/>
  <c r="Y61" i="2"/>
  <c r="X61" i="2"/>
  <c r="W61" i="2"/>
  <c r="AA57" i="2"/>
  <c r="AD57" i="2"/>
  <c r="AC57" i="2"/>
  <c r="AB57" i="2"/>
  <c r="V57" i="2"/>
  <c r="Y57" i="2"/>
  <c r="X57" i="2"/>
  <c r="W57" i="2"/>
  <c r="AA56" i="2"/>
  <c r="AD56" i="2"/>
  <c r="AC56" i="2"/>
  <c r="AB56" i="2"/>
  <c r="V56" i="2"/>
  <c r="Y56" i="2"/>
  <c r="X56" i="2"/>
  <c r="W56" i="2"/>
  <c r="AA51" i="2"/>
  <c r="AD51" i="2"/>
  <c r="AC51" i="2"/>
  <c r="AB51" i="2"/>
  <c r="V51" i="2"/>
  <c r="Y51" i="2"/>
  <c r="X51" i="2"/>
  <c r="W51" i="2"/>
  <c r="AA46" i="2"/>
  <c r="AD46" i="2"/>
  <c r="AC46" i="2"/>
  <c r="AB46" i="2"/>
  <c r="V46" i="2"/>
  <c r="Y46" i="2"/>
  <c r="X46" i="2"/>
  <c r="W46" i="2"/>
  <c r="AA43" i="2"/>
  <c r="AD43" i="2"/>
  <c r="AC43" i="2"/>
  <c r="AB43" i="2"/>
  <c r="V43" i="2"/>
  <c r="Y43" i="2"/>
  <c r="X43" i="2"/>
  <c r="W43" i="2"/>
  <c r="AA42" i="2"/>
  <c r="AD42" i="2"/>
  <c r="AC42" i="2"/>
  <c r="AB42" i="2"/>
  <c r="V42" i="2"/>
  <c r="Y42" i="2"/>
  <c r="X42" i="2"/>
  <c r="W42" i="2"/>
  <c r="AA41" i="2"/>
  <c r="AD41" i="2"/>
  <c r="AC41" i="2"/>
  <c r="AB41" i="2"/>
  <c r="V41" i="2"/>
  <c r="Y41" i="2"/>
  <c r="X41" i="2"/>
  <c r="W41" i="2"/>
  <c r="AA40" i="2"/>
  <c r="AD40" i="2"/>
  <c r="AC40" i="2"/>
  <c r="AB40" i="2"/>
  <c r="V40" i="2"/>
  <c r="Y40" i="2"/>
  <c r="X40" i="2"/>
  <c r="W40" i="2"/>
  <c r="AA37" i="2"/>
  <c r="AD37" i="2"/>
  <c r="AC37" i="2"/>
  <c r="AB37" i="2"/>
  <c r="V37" i="2"/>
  <c r="Y37" i="2"/>
  <c r="X37" i="2"/>
  <c r="W37" i="2"/>
  <c r="AA36" i="2"/>
  <c r="AD36" i="2"/>
  <c r="AC36" i="2"/>
  <c r="AB36" i="2"/>
  <c r="V36" i="2"/>
  <c r="Y36" i="2"/>
  <c r="X36" i="2"/>
  <c r="W36" i="2"/>
  <c r="AA35" i="2"/>
  <c r="AD35" i="2"/>
  <c r="AC35" i="2"/>
  <c r="AB35" i="2"/>
  <c r="V35" i="2"/>
  <c r="Y35" i="2"/>
  <c r="X35" i="2"/>
  <c r="W35" i="2"/>
  <c r="AA34" i="2"/>
  <c r="AD34" i="2"/>
  <c r="AC34" i="2"/>
  <c r="AB34" i="2"/>
  <c r="V34" i="2"/>
  <c r="X34" i="2"/>
  <c r="Y34" i="2"/>
  <c r="W34" i="2"/>
  <c r="G41" i="1"/>
  <c r="M184" i="2"/>
  <c r="H41" i="1"/>
  <c r="N184" i="2"/>
  <c r="P398" i="2"/>
  <c r="O398" i="2"/>
  <c r="P395" i="2"/>
  <c r="O395" i="2"/>
  <c r="P394" i="2"/>
  <c r="O394" i="2"/>
  <c r="N393" i="2"/>
  <c r="P393" i="2"/>
  <c r="O393" i="2"/>
  <c r="G38" i="1"/>
  <c r="M389" i="2"/>
  <c r="P386" i="2"/>
  <c r="O386" i="2"/>
  <c r="G56" i="1"/>
  <c r="M385" i="2"/>
  <c r="G11" i="1"/>
  <c r="M190" i="2"/>
  <c r="P185" i="2"/>
  <c r="O185" i="2"/>
  <c r="P184" i="2"/>
  <c r="P180" i="2"/>
  <c r="O180" i="2"/>
  <c r="P179" i="2"/>
  <c r="O179" i="2"/>
  <c r="P178" i="2"/>
  <c r="O178" i="2"/>
  <c r="N177" i="2"/>
  <c r="P177" i="2"/>
  <c r="O177" i="2"/>
  <c r="P173" i="2"/>
  <c r="O173" i="2"/>
  <c r="M172" i="2"/>
  <c r="N171" i="2"/>
  <c r="P171" i="2"/>
  <c r="O171" i="2"/>
  <c r="G77" i="1"/>
  <c r="M170" i="2"/>
  <c r="G67" i="1"/>
  <c r="M169" i="2"/>
  <c r="G76" i="1"/>
  <c r="M166" i="2"/>
  <c r="M165" i="2"/>
  <c r="P165" i="2"/>
  <c r="N165" i="2"/>
  <c r="P338" i="2"/>
  <c r="O338" i="2"/>
  <c r="P337" i="2"/>
  <c r="O337" i="2"/>
  <c r="P332" i="2"/>
  <c r="O332" i="2"/>
  <c r="N331" i="2"/>
  <c r="P331" i="2"/>
  <c r="O331" i="2"/>
  <c r="N330" i="2"/>
  <c r="P330" i="2"/>
  <c r="O330" i="2"/>
  <c r="G89" i="1"/>
  <c r="M329" i="2"/>
  <c r="M324" i="2"/>
  <c r="P321" i="2"/>
  <c r="O321" i="2"/>
  <c r="M320" i="2"/>
  <c r="P316" i="2"/>
  <c r="O316" i="2"/>
  <c r="M319" i="2"/>
  <c r="M127" i="2"/>
  <c r="M119" i="2"/>
  <c r="P118" i="2"/>
  <c r="O118" i="2"/>
  <c r="P113" i="2"/>
  <c r="O113" i="2"/>
  <c r="P112" i="2"/>
  <c r="O112" i="2"/>
  <c r="M109" i="2"/>
  <c r="G54" i="1"/>
  <c r="M272" i="2"/>
  <c r="G90" i="1"/>
  <c r="M269" i="2"/>
  <c r="P269" i="2"/>
  <c r="H90" i="1"/>
  <c r="N269" i="2"/>
  <c r="G87" i="1"/>
  <c r="M266" i="2"/>
  <c r="P266" i="2"/>
  <c r="H87" i="1"/>
  <c r="N266" i="2"/>
  <c r="M261" i="2"/>
  <c r="P258" i="2"/>
  <c r="O258" i="2"/>
  <c r="P257" i="2"/>
  <c r="O257" i="2"/>
  <c r="P256" i="2"/>
  <c r="O256" i="2"/>
  <c r="M255" i="2"/>
  <c r="G83" i="1"/>
  <c r="M248" i="2"/>
  <c r="G62" i="1"/>
  <c r="M247" i="2"/>
  <c r="P246" i="2"/>
  <c r="O246" i="2"/>
  <c r="N245" i="2"/>
  <c r="P245" i="2"/>
  <c r="O245" i="2"/>
  <c r="M242" i="2"/>
  <c r="P240" i="2"/>
  <c r="O240" i="2"/>
  <c r="N241" i="2"/>
  <c r="P241" i="2"/>
  <c r="O241" i="2"/>
  <c r="P237" i="2"/>
  <c r="O237" i="2"/>
  <c r="G71" i="1"/>
  <c r="M234" i="2"/>
  <c r="G17" i="1"/>
  <c r="M233" i="2"/>
  <c r="G61" i="1"/>
  <c r="M229" i="2"/>
  <c r="G57" i="1"/>
  <c r="M211" i="2"/>
  <c r="G55" i="1"/>
  <c r="M215" i="2"/>
  <c r="M210" i="2"/>
  <c r="P209" i="2"/>
  <c r="O209" i="2"/>
  <c r="M197" i="2"/>
  <c r="N201" i="2"/>
  <c r="P201" i="2"/>
  <c r="O201" i="2"/>
  <c r="N200" i="2"/>
  <c r="P200" i="2"/>
  <c r="O200" i="2"/>
  <c r="P369" i="2"/>
  <c r="O369" i="2"/>
  <c r="P365" i="2"/>
  <c r="O365" i="2"/>
  <c r="P364" i="2"/>
  <c r="O364" i="2"/>
  <c r="P363" i="2"/>
  <c r="O363" i="2"/>
  <c r="N360" i="2"/>
  <c r="P360" i="2"/>
  <c r="O360" i="2"/>
  <c r="N359" i="2"/>
  <c r="P359" i="2"/>
  <c r="O359" i="2"/>
  <c r="M356" i="2"/>
  <c r="M355" i="2"/>
  <c r="M352" i="2"/>
  <c r="M351" i="2"/>
  <c r="P349" i="2"/>
  <c r="O349" i="2"/>
  <c r="M348" i="2"/>
  <c r="G70" i="1"/>
  <c r="M153" i="2"/>
  <c r="P153" i="2"/>
  <c r="H70" i="1"/>
  <c r="N153" i="2"/>
  <c r="P150" i="2"/>
  <c r="O150" i="2"/>
  <c r="P149" i="2"/>
  <c r="O149" i="2"/>
  <c r="P148" i="2"/>
  <c r="O148" i="2"/>
  <c r="M147" i="2"/>
  <c r="P146" i="2"/>
  <c r="O146" i="2"/>
  <c r="P143" i="2"/>
  <c r="O143" i="2"/>
  <c r="P142" i="2"/>
  <c r="O142" i="2"/>
  <c r="M141" i="2"/>
  <c r="P90" i="2"/>
  <c r="O90" i="2"/>
  <c r="P82" i="2"/>
  <c r="O82" i="2"/>
  <c r="P81" i="2"/>
  <c r="O81" i="2"/>
  <c r="P60" i="2"/>
  <c r="O60" i="2"/>
  <c r="N61" i="2"/>
  <c r="P61" i="2"/>
  <c r="O61" i="2"/>
  <c r="M56" i="2"/>
  <c r="N56" i="2"/>
  <c r="P56" i="2"/>
  <c r="M41" i="2"/>
  <c r="M42" i="2"/>
  <c r="M46" i="2"/>
  <c r="M37" i="2"/>
  <c r="M36" i="2"/>
  <c r="M35" i="2"/>
  <c r="C51" i="2"/>
  <c r="B51" i="2"/>
  <c r="C46" i="2"/>
  <c r="B46" i="2"/>
  <c r="C43" i="2"/>
  <c r="B43" i="2"/>
  <c r="C42" i="2"/>
  <c r="B42" i="2"/>
  <c r="C41" i="2"/>
  <c r="B41" i="2"/>
  <c r="C40" i="2"/>
  <c r="B40" i="2"/>
  <c r="C36" i="2"/>
  <c r="B36" i="2"/>
  <c r="C35" i="2"/>
  <c r="B35" i="2"/>
  <c r="C34" i="2"/>
  <c r="B34" i="2"/>
  <c r="C37" i="2"/>
  <c r="B37" i="2"/>
  <c r="C400" i="2"/>
  <c r="C399" i="2"/>
  <c r="C398" i="2"/>
  <c r="B398" i="2"/>
  <c r="C395" i="2"/>
  <c r="B395" i="2"/>
  <c r="C394" i="2"/>
  <c r="B394" i="2"/>
  <c r="C393" i="2"/>
  <c r="B393" i="2"/>
  <c r="C392" i="2"/>
  <c r="B392" i="2"/>
  <c r="C382" i="2"/>
  <c r="B382" i="2"/>
  <c r="C389" i="2"/>
  <c r="B389" i="2"/>
  <c r="C388" i="2"/>
  <c r="B388" i="2"/>
  <c r="C387" i="2"/>
  <c r="B387" i="2"/>
  <c r="C386" i="2"/>
  <c r="B386" i="2"/>
  <c r="C385" i="2"/>
  <c r="B385" i="2"/>
  <c r="C192" i="2"/>
  <c r="C191" i="2"/>
  <c r="C190" i="2"/>
  <c r="B190" i="2"/>
  <c r="C183" i="2"/>
  <c r="B183" i="2"/>
  <c r="C184" i="2"/>
  <c r="B184" i="2"/>
  <c r="C185" i="2"/>
  <c r="B185" i="2"/>
  <c r="C177" i="2"/>
  <c r="B177" i="2"/>
  <c r="C176" i="2"/>
  <c r="B176" i="2"/>
  <c r="C179" i="2"/>
  <c r="B179" i="2"/>
  <c r="C178" i="2"/>
  <c r="B178" i="2"/>
  <c r="C180" i="2"/>
  <c r="B180" i="2"/>
  <c r="C169" i="2"/>
  <c r="B169" i="2"/>
  <c r="C171" i="2"/>
  <c r="B171" i="2"/>
  <c r="C170" i="2"/>
  <c r="B170" i="2"/>
  <c r="C172" i="2"/>
  <c r="B172" i="2"/>
  <c r="C173" i="2"/>
  <c r="B173" i="2"/>
  <c r="C166" i="2"/>
  <c r="B166" i="2"/>
  <c r="C164" i="2"/>
  <c r="C165" i="2"/>
  <c r="B165" i="2"/>
  <c r="C341" i="2"/>
  <c r="C340" i="2"/>
  <c r="C339" i="2"/>
  <c r="C331" i="2"/>
  <c r="B331" i="2"/>
  <c r="C330" i="2"/>
  <c r="B330" i="2"/>
  <c r="C329" i="2"/>
  <c r="B329" i="2"/>
  <c r="C337" i="2"/>
  <c r="B337" i="2"/>
  <c r="C332" i="2"/>
  <c r="B332" i="2"/>
  <c r="B323" i="2"/>
  <c r="B322" i="2"/>
  <c r="B321" i="2"/>
  <c r="B320" i="2"/>
  <c r="B316" i="2"/>
  <c r="C338" i="2"/>
  <c r="B338" i="2"/>
  <c r="C326" i="2"/>
  <c r="B326" i="2"/>
  <c r="C325" i="2"/>
  <c r="B325" i="2"/>
  <c r="C324" i="2"/>
  <c r="B324" i="2"/>
  <c r="C323" i="2"/>
  <c r="C322" i="2"/>
  <c r="C321" i="2"/>
  <c r="C320" i="2"/>
  <c r="C316" i="2"/>
  <c r="C319" i="2"/>
  <c r="B319" i="2"/>
  <c r="C371" i="2"/>
  <c r="C373" i="2"/>
  <c r="C372" i="2"/>
  <c r="B131" i="2"/>
  <c r="B130" i="2"/>
  <c r="B127" i="2"/>
  <c r="B119" i="2"/>
  <c r="B118" i="2"/>
  <c r="B117" i="2"/>
  <c r="B116" i="2"/>
  <c r="B113" i="2"/>
  <c r="B112" i="2"/>
  <c r="B109" i="2"/>
  <c r="B108" i="2"/>
  <c r="B104" i="2"/>
  <c r="B272" i="2"/>
  <c r="B269" i="2"/>
  <c r="B266" i="2"/>
  <c r="B261" i="2"/>
  <c r="B258" i="2"/>
  <c r="B257" i="2"/>
  <c r="B256" i="2"/>
  <c r="B255" i="2"/>
  <c r="B248" i="2"/>
  <c r="B247" i="2"/>
  <c r="B246" i="2"/>
  <c r="B245" i="2"/>
  <c r="B242" i="2"/>
  <c r="B240" i="2"/>
  <c r="B241" i="2"/>
  <c r="B237" i="2"/>
  <c r="B234" i="2"/>
  <c r="B233" i="2"/>
  <c r="B230" i="2"/>
  <c r="B229" i="2"/>
  <c r="B211" i="2"/>
  <c r="B215" i="2"/>
  <c r="B210" i="2"/>
  <c r="B214" i="2"/>
  <c r="B209" i="2"/>
  <c r="B197" i="2"/>
  <c r="B201" i="2"/>
  <c r="B200" i="2"/>
  <c r="B370" i="2"/>
  <c r="B369" i="2"/>
  <c r="B366" i="2"/>
  <c r="B365" i="2"/>
  <c r="B364" i="2"/>
  <c r="B363" i="2"/>
  <c r="B360" i="2"/>
  <c r="B359" i="2"/>
  <c r="B356" i="2"/>
  <c r="B355" i="2"/>
  <c r="B352" i="2"/>
  <c r="B351" i="2"/>
  <c r="B349" i="2"/>
  <c r="B348" i="2"/>
  <c r="B153" i="2"/>
  <c r="B150" i="2"/>
  <c r="B149" i="2"/>
  <c r="B148" i="2"/>
  <c r="B147" i="2"/>
  <c r="B146" i="2"/>
  <c r="B143" i="2"/>
  <c r="B142" i="2"/>
  <c r="B141" i="2"/>
  <c r="B96" i="2"/>
  <c r="B91" i="2"/>
  <c r="B90" i="2"/>
  <c r="B89" i="2"/>
  <c r="B88" i="2"/>
  <c r="B87" i="2"/>
  <c r="B86" i="2"/>
  <c r="B83" i="2"/>
  <c r="B82" i="2"/>
  <c r="B81" i="2"/>
  <c r="B78" i="2"/>
  <c r="B68" i="2"/>
  <c r="B67" i="2"/>
  <c r="B66" i="2"/>
  <c r="B65" i="2"/>
  <c r="B64" i="2"/>
  <c r="B60" i="2"/>
  <c r="B61" i="2"/>
  <c r="B57" i="2"/>
  <c r="B56" i="2"/>
  <c r="C370" i="2"/>
  <c r="C136" i="2"/>
  <c r="C131" i="2"/>
  <c r="C130" i="2"/>
  <c r="C127" i="2"/>
  <c r="C119" i="2"/>
  <c r="C118" i="2"/>
  <c r="C117" i="2"/>
  <c r="C116" i="2"/>
  <c r="C113" i="2"/>
  <c r="C112" i="2"/>
  <c r="C109" i="2"/>
  <c r="C108" i="2"/>
  <c r="C104" i="2"/>
  <c r="C272" i="2"/>
  <c r="C269" i="2"/>
  <c r="C266" i="2"/>
  <c r="C261" i="2"/>
  <c r="C258" i="2"/>
  <c r="C257" i="2"/>
  <c r="C256" i="2"/>
  <c r="C255" i="2"/>
  <c r="C248" i="2"/>
  <c r="C247" i="2"/>
  <c r="C246" i="2"/>
  <c r="C245" i="2"/>
  <c r="C242" i="2"/>
  <c r="C240" i="2"/>
  <c r="C241" i="2"/>
  <c r="C237" i="2"/>
  <c r="C234" i="2"/>
  <c r="C233" i="2"/>
  <c r="C230" i="2"/>
  <c r="C229" i="2"/>
  <c r="C224" i="2"/>
  <c r="C221" i="2"/>
  <c r="C211" i="2"/>
  <c r="C215" i="2"/>
  <c r="C210" i="2"/>
  <c r="C214" i="2"/>
  <c r="C209" i="2"/>
  <c r="C197" i="2"/>
  <c r="C201" i="2"/>
  <c r="C200" i="2"/>
  <c r="C369" i="2"/>
  <c r="C366" i="2"/>
  <c r="C365" i="2"/>
  <c r="C364" i="2"/>
  <c r="C363" i="2"/>
  <c r="C360" i="2"/>
  <c r="C359" i="2"/>
  <c r="C356" i="2"/>
  <c r="C355" i="2"/>
  <c r="C352" i="2"/>
  <c r="C351" i="2"/>
  <c r="C349" i="2"/>
  <c r="C348" i="2"/>
  <c r="C153" i="2"/>
  <c r="C159" i="2"/>
  <c r="C158" i="2"/>
  <c r="C150" i="2"/>
  <c r="C149" i="2"/>
  <c r="C148" i="2"/>
  <c r="C147" i="2"/>
  <c r="C146" i="2"/>
  <c r="C143" i="2"/>
  <c r="C142" i="2"/>
  <c r="C141" i="2"/>
  <c r="C96" i="2"/>
  <c r="C91" i="2"/>
  <c r="C90" i="2"/>
  <c r="C89" i="2"/>
  <c r="C88" i="2"/>
  <c r="C87" i="2"/>
  <c r="C86" i="2"/>
  <c r="C83" i="2"/>
  <c r="C82" i="2"/>
  <c r="C81" i="2"/>
  <c r="C78" i="2"/>
  <c r="C72" i="2"/>
  <c r="C68" i="2"/>
  <c r="C67" i="2"/>
  <c r="C66" i="2"/>
  <c r="C65" i="2"/>
  <c r="C64" i="2"/>
  <c r="C60" i="2"/>
  <c r="C61" i="2"/>
  <c r="C57" i="2"/>
  <c r="C56" i="2"/>
  <c r="H45" i="1"/>
  <c r="G45" i="1"/>
  <c r="H31" i="1"/>
  <c r="G31" i="1"/>
  <c r="H29" i="1"/>
  <c r="G29" i="1"/>
</calcChain>
</file>

<file path=xl/sharedStrings.xml><?xml version="1.0" encoding="utf-8"?>
<sst xmlns="http://schemas.openxmlformats.org/spreadsheetml/2006/main" count="1612" uniqueCount="455">
  <si>
    <t>g</t>
  </si>
  <si>
    <t>ml</t>
  </si>
  <si>
    <t>broccoli</t>
  </si>
  <si>
    <t>kumara</t>
  </si>
  <si>
    <t>chopped potatoes</t>
  </si>
  <si>
    <t>chopped carrots</t>
  </si>
  <si>
    <t>chopped onions</t>
  </si>
  <si>
    <t>split peas</t>
  </si>
  <si>
    <t>garlic cloves</t>
  </si>
  <si>
    <t>curry powder</t>
  </si>
  <si>
    <t>garam masala</t>
  </si>
  <si>
    <t>salt</t>
  </si>
  <si>
    <t>kg</t>
  </si>
  <si>
    <t>tsp</t>
  </si>
  <si>
    <t>ground cumin</t>
  </si>
  <si>
    <t>tbs</t>
  </si>
  <si>
    <t>cup</t>
  </si>
  <si>
    <t>item</t>
  </si>
  <si>
    <t>1. COOK</t>
  </si>
  <si>
    <t>2. SAUTE</t>
  </si>
  <si>
    <t>SPLIT PEA COMBINATION CURRY</t>
  </si>
  <si>
    <t>•</t>
  </si>
  <si>
    <t>comment</t>
  </si>
  <si>
    <t>RECIPE FOR SATURDAY LUNCH</t>
  </si>
  <si>
    <t>RECIPE FOR SATURDAY DINNER</t>
  </si>
  <si>
    <t>GYPSY SOUP</t>
  </si>
  <si>
    <t>RECIPE FOR SUNDAY LUNCH</t>
  </si>
  <si>
    <t>RECIPE FOR SUNDAY DINNER</t>
  </si>
  <si>
    <t>ITALIAN SOUP</t>
  </si>
  <si>
    <t>RECIPE FOR MONDAY DINNER</t>
  </si>
  <si>
    <t>RECIPE FOR MONDAY LUNCH</t>
  </si>
  <si>
    <t>RECIPE FOR TUESDAY LUNCH</t>
  </si>
  <si>
    <t>RECIPE FOR TUESDAY DINNER</t>
  </si>
  <si>
    <t>RECIPE FOR WEDNESDAY LUNCH</t>
  </si>
  <si>
    <t>RECIPE FOR WEDNESDAY DINNER</t>
  </si>
  <si>
    <t>RECIPE FOR THURSDAY LUNCH</t>
  </si>
  <si>
    <t>RECIPE FOR THURSDAY DINNER</t>
  </si>
  <si>
    <t>RECIPE FOR FRIDAY LUNCH</t>
  </si>
  <si>
    <t>COURGETTE AND CHICKPEA CURRY</t>
  </si>
  <si>
    <t>BROCCOLI AND TOFU WITH PEANUT SAUCE</t>
  </si>
  <si>
    <t>MISO AND TOFU SOUP</t>
  </si>
  <si>
    <t>CURRIED KUMARA AND CARROT SOUP</t>
  </si>
  <si>
    <t>THAI STYLE VEGETABLES</t>
  </si>
  <si>
    <t>VEGGIE AND SPLIT PEA SOUP</t>
  </si>
  <si>
    <t>TBD</t>
  </si>
  <si>
    <t>red lentils</t>
  </si>
  <si>
    <t>oil</t>
  </si>
  <si>
    <t>tins chopped tomatoes</t>
  </si>
  <si>
    <t>water</t>
  </si>
  <si>
    <t>green chili</t>
  </si>
  <si>
    <t>minced green chili</t>
  </si>
  <si>
    <t>black mustard seeds</t>
  </si>
  <si>
    <t>cumin seeds</t>
  </si>
  <si>
    <t>itemNames</t>
  </si>
  <si>
    <t>unitNames</t>
  </si>
  <si>
    <t>measured
qty</t>
  </si>
  <si>
    <t>reference servings</t>
  </si>
  <si>
    <t>l</t>
  </si>
  <si>
    <t>vegetable stock</t>
  </si>
  <si>
    <t>wakame</t>
  </si>
  <si>
    <t>miso</t>
  </si>
  <si>
    <t>thinly sliced carrots</t>
  </si>
  <si>
    <t>thinly sliced celery stalks</t>
  </si>
  <si>
    <t>tofu</t>
  </si>
  <si>
    <t>celery</t>
  </si>
  <si>
    <t>carrots</t>
  </si>
  <si>
    <t>onions</t>
  </si>
  <si>
    <t>potatoes</t>
  </si>
  <si>
    <t>zucchini</t>
  </si>
  <si>
    <t>garlic</t>
  </si>
  <si>
    <t>ginger</t>
  </si>
  <si>
    <t>tomatoes</t>
  </si>
  <si>
    <t>white cabbages</t>
  </si>
  <si>
    <t>list
name</t>
  </si>
  <si>
    <t>tins creamed corn</t>
  </si>
  <si>
    <t>dijon mustard</t>
  </si>
  <si>
    <t>nutritional yeast</t>
  </si>
  <si>
    <t>olive oil</t>
  </si>
  <si>
    <t>Dunedin 2017 p. 5</t>
  </si>
  <si>
    <t>fresh corriander</t>
  </si>
  <si>
    <t>ground black pepper</t>
  </si>
  <si>
    <t>Dunedin 2017 p. 12</t>
  </si>
  <si>
    <t>Dunedin 2017, p. 10</t>
  </si>
  <si>
    <t>chopped fresh chives</t>
  </si>
  <si>
    <t>fresh chives</t>
  </si>
  <si>
    <t>Dunedin 2017, p. 8</t>
  </si>
  <si>
    <t>tins chickpeas</t>
  </si>
  <si>
    <t>sprigs fresh corriander</t>
  </si>
  <si>
    <t>sprigs fresh rosemary</t>
  </si>
  <si>
    <t>sprigs fresh thyme</t>
  </si>
  <si>
    <t>bay leaves</t>
  </si>
  <si>
    <t>fresh rosemary</t>
  </si>
  <si>
    <t>fresh thyme</t>
  </si>
  <si>
    <t>silverbeet</t>
  </si>
  <si>
    <t>thinly sliced silverbeet</t>
  </si>
  <si>
    <t>Dunedin 2016, p.13</t>
  </si>
  <si>
    <t>Dunedin 2016, p.14</t>
  </si>
  <si>
    <t>Dunedin 2016, p.11</t>
  </si>
  <si>
    <t>chickpeas</t>
  </si>
  <si>
    <t>dried chickpeas</t>
  </si>
  <si>
    <t>dried red lentils</t>
  </si>
  <si>
    <t>diced carrots</t>
  </si>
  <si>
    <t>diced celery stalks</t>
  </si>
  <si>
    <t>thinly sliced white cabbage leaves</t>
  </si>
  <si>
    <t>paprika</t>
  </si>
  <si>
    <t>dried basil</t>
  </si>
  <si>
    <t>cinnamon</t>
  </si>
  <si>
    <t>6. ADD</t>
  </si>
  <si>
    <t>adjust seasoning as required</t>
  </si>
  <si>
    <t>peanut butter</t>
  </si>
  <si>
    <t>sliced zucchini</t>
  </si>
  <si>
    <t>tins coconut cream</t>
  </si>
  <si>
    <t>sliced silverbeet leaves</t>
  </si>
  <si>
    <t>shoppingNames</t>
  </si>
  <si>
    <t>to buy
qty</t>
  </si>
  <si>
    <t>to buy
kg</t>
  </si>
  <si>
    <t>to buy
l</t>
  </si>
  <si>
    <t>hot water</t>
  </si>
  <si>
    <t>cider vinegar</t>
  </si>
  <si>
    <t>soy sauce</t>
  </si>
  <si>
    <t>chopped broccoli</t>
  </si>
  <si>
    <t>peanuts</t>
  </si>
  <si>
    <t>tins coconut milk</t>
  </si>
  <si>
    <t>1. WHISK TOGETHER</t>
  </si>
  <si>
    <t>2. ADD</t>
  </si>
  <si>
    <t>3. GRILL IN GREASED DISH</t>
  </si>
  <si>
    <t>4. SAUTE</t>
  </si>
  <si>
    <t>5. ADD &amp; MIX</t>
  </si>
  <si>
    <t>grilled tofu</t>
  </si>
  <si>
    <t>peanut sauce</t>
  </si>
  <si>
    <t>round
to</t>
  </si>
  <si>
    <t>roundTo</t>
  </si>
  <si>
    <t>Recipe 01</t>
  </si>
  <si>
    <t>Recipe 02</t>
  </si>
  <si>
    <t>Recipe 03</t>
  </si>
  <si>
    <t>Recipe 04</t>
  </si>
  <si>
    <t>Recipe 05</t>
  </si>
  <si>
    <t>Recipe 06</t>
  </si>
  <si>
    <t>Recipe 07</t>
  </si>
  <si>
    <t>Recipe 08</t>
  </si>
  <si>
    <t>Recipe 09</t>
  </si>
  <si>
    <t>Recipe 10</t>
  </si>
  <si>
    <t>Recipe 11</t>
  </si>
  <si>
    <t>Recipe 12</t>
  </si>
  <si>
    <t>measured
kg</t>
  </si>
  <si>
    <t>measured
l</t>
  </si>
  <si>
    <t>calculated
kg/qty</t>
  </si>
  <si>
    <t>calculated
l/qty</t>
  </si>
  <si>
    <t>item
kg/qty</t>
  </si>
  <si>
    <t>item
l/qty</t>
  </si>
  <si>
    <t>recipe item
name</t>
  </si>
  <si>
    <t>list item
name</t>
  </si>
  <si>
    <t>GLOSSARY OF TERMS</t>
  </si>
  <si>
    <t>ChCh, Mon4 Evening</t>
  </si>
  <si>
    <t>ChCh, Tue5 Lunch</t>
  </si>
  <si>
    <t>chopped celery stalks</t>
  </si>
  <si>
    <t>ground corriander</t>
  </si>
  <si>
    <t>2. ADD AND SIMMER:</t>
  </si>
  <si>
    <t>chopped kumara</t>
  </si>
  <si>
    <t>tins black beans</t>
  </si>
  <si>
    <t>3. MASH.</t>
  </si>
  <si>
    <t>4. ADD:</t>
  </si>
  <si>
    <t>lemons</t>
  </si>
  <si>
    <t>cucumbers</t>
  </si>
  <si>
    <t>cauliflowers</t>
  </si>
  <si>
    <t>green capsicums</t>
  </si>
  <si>
    <t>lettuces</t>
  </si>
  <si>
    <t>chopped cauliflowers</t>
  </si>
  <si>
    <t>This is a thick soup so don't add too much water at the beginning.</t>
  </si>
  <si>
    <t>5. BRING TO BOIL AND TURN OFF HEAT.</t>
  </si>
  <si>
    <t>ChCh, Sun3 Lunch</t>
  </si>
  <si>
    <t>tamari</t>
  </si>
  <si>
    <t>1. MIX AND GRILL IN OVEN:</t>
  </si>
  <si>
    <t>sesame oil</t>
  </si>
  <si>
    <t>thai green curry</t>
  </si>
  <si>
    <t>yellow capsicums</t>
  </si>
  <si>
    <t>chopped yellow capsicums</t>
  </si>
  <si>
    <t>sliced celery stalks</t>
  </si>
  <si>
    <t>notes</t>
  </si>
  <si>
    <t>tins bamboo</t>
  </si>
  <si>
    <t>200g</t>
  </si>
  <si>
    <t>limes</t>
  </si>
  <si>
    <t>green beans</t>
  </si>
  <si>
    <t>250g</t>
  </si>
  <si>
    <t>2. SAUTE LIGHTLY IN A BIG POT:</t>
  </si>
  <si>
    <t>3. ADD AND COOK UNTIL SLIGHTLY CRUNCHY:</t>
  </si>
  <si>
    <t>6. ADD:</t>
  </si>
  <si>
    <t>cashew nuts</t>
  </si>
  <si>
    <t>ChCh, FirstDinnerThurs</t>
  </si>
  <si>
    <t>1. COOK UNTIL SOFT AND DRAIN:</t>
  </si>
  <si>
    <t>+ condiment qty</t>
  </si>
  <si>
    <t>chopped silverbeet leaves</t>
  </si>
  <si>
    <t>3. ADD AND STIR TO KEEP FROM STICKING:</t>
  </si>
  <si>
    <t>DAILY SAFE RECIPE</t>
  </si>
  <si>
    <t>Recipe 13</t>
  </si>
  <si>
    <t>ozm</t>
  </si>
  <si>
    <t>gluten free soy sauce</t>
  </si>
  <si>
    <t>chopped zucchini</t>
  </si>
  <si>
    <t>porridge</t>
  </si>
  <si>
    <t>rice</t>
  </si>
  <si>
    <t>bread</t>
  </si>
  <si>
    <t>cheese</t>
  </si>
  <si>
    <t>etc</t>
  </si>
  <si>
    <t>dried split peas</t>
  </si>
  <si>
    <t>prep
methods</t>
  </si>
  <si>
    <t>prep
method</t>
  </si>
  <si>
    <t>chop</t>
  </si>
  <si>
    <t>soak</t>
  </si>
  <si>
    <t>prepMethods</t>
  </si>
  <si>
    <t>unit
names</t>
  </si>
  <si>
    <t>chop
units</t>
  </si>
  <si>
    <t>chop
item</t>
  </si>
  <si>
    <t>needs
chop</t>
  </si>
  <si>
    <t>needs
soak</t>
  </si>
  <si>
    <t>soak
units</t>
  </si>
  <si>
    <t>soak
item</t>
  </si>
  <si>
    <t>, to taste</t>
  </si>
  <si>
    <t>, if required</t>
  </si>
  <si>
    <t>, for garnish</t>
  </si>
  <si>
    <t>3. ADD &amp; SAUTE</t>
  </si>
  <si>
    <t>NOTE: sauce will form around potatoes and peas</t>
  </si>
  <si>
    <t>2. STEAM WITH LID ON</t>
  </si>
  <si>
    <t>3. ADD &amp; STEAM WITH LID ON</t>
  </si>
  <si>
    <t>4. COVER AND SIMMER</t>
  </si>
  <si>
    <t>5. ADD</t>
  </si>
  <si>
    <t>diced green capsicums</t>
  </si>
  <si>
    <t>, approximately</t>
  </si>
  <si>
    <t>6. COVER AND SIMMER</t>
  </si>
  <si>
    <t>. Blot with paper towels or clean tea towels to get as dry as possible</t>
  </si>
  <si>
    <t>4. THEN ADD</t>
  </si>
  <si>
    <t>, drained</t>
  </si>
  <si>
    <t>minced fresh ginger</t>
  </si>
  <si>
    <t>5. COOK</t>
  </si>
  <si>
    <t>bring to boil over high heat then cover and reduce heat</t>
  </si>
  <si>
    <t>simmer for 20 minutes or until lentils have dissolved into a thick soup porridge</t>
  </si>
  <si>
    <t>add more water if needed and set aside</t>
  </si>
  <si>
    <t>8. ADD fried seeds to dahl and stir through</t>
  </si>
  <si>
    <t>9. GARNISH WITH</t>
  </si>
  <si>
    <t>, if available</t>
  </si>
  <si>
    <t>1. SAUTE until softened</t>
  </si>
  <si>
    <t>4. ADD and bring up to temperature</t>
  </si>
  <si>
    <t>cooked split peas from step 1</t>
  </si>
  <si>
    <t>cooked potatoes from step 1. Should be soft but recognisable when served</t>
  </si>
  <si>
    <t>. Remove from oil once cooked</t>
  </si>
  <si>
    <t>. Soaked by Tenzo the night before. Rinse and drain first</t>
  </si>
  <si>
    <t>washed lentils from step 1</t>
  </si>
  <si>
    <t>6. HEAT in a small pan</t>
  </si>
  <si>
    <t>3. ADD and fry for one more minute</t>
  </si>
  <si>
    <t>2. FRY for 30 seconds on medium heat</t>
  </si>
  <si>
    <t>3. ADD for final 10 minutes of cooking</t>
  </si>
  <si>
    <t>4. REMOVE sprigs of rosemary, thyme and the bay leaf</t>
  </si>
  <si>
    <t>. Rinse and drain first</t>
  </si>
  <si>
    <t>1. WASH and drain well</t>
  </si>
  <si>
    <t>1. SAUTE LIGHTLY</t>
  </si>
  <si>
    <t>2. STIR IN</t>
  </si>
  <si>
    <t>3. ADD and simmer 10 minutes</t>
  </si>
  <si>
    <t>4. ADD and cook until slightly crunchy</t>
  </si>
  <si>
    <t>5. MIX IN</t>
  </si>
  <si>
    <t>6. BRING UP TO TEMPERATURE (DON'T BOIL) AND TURN OFF HEAT</t>
  </si>
  <si>
    <t>KUMARA, CARROT, AND CORN SOUP</t>
  </si>
  <si>
    <t>1. HEAT in a large saucepan</t>
  </si>
  <si>
    <t>, ONLY IF REQUIRED to completely cover vegetables</t>
  </si>
  <si>
    <t>3. SIMMER with lid on until vegetables are very soft (about 15 minutes)</t>
  </si>
  <si>
    <t>5. ADD and stir well</t>
  </si>
  <si>
    <t>6. THEN ADD and stir well</t>
  </si>
  <si>
    <t>7. GENTLY REHEAT for another 10 minutes or so</t>
  </si>
  <si>
    <t>5. SEASON by adding</t>
  </si>
  <si>
    <t>8. SEASON by adding</t>
  </si>
  <si>
    <t>9. GARNISH with</t>
  </si>
  <si>
    <t>4. MASH some of the vegetables with a potato masher, leaving some whole pieces as well</t>
  </si>
  <si>
    <t>blocks tofu, cut into cubes</t>
  </si>
  <si>
    <t>blocks tofu, cut into small cubes</t>
  </si>
  <si>
    <t>wrap in kitchen paper and press between two plates with heavy object on top until excess water removed, then cut</t>
  </si>
  <si>
    <t>RED LENTIL DAHL</t>
  </si>
  <si>
    <t>1. SWEAT in a minimal amount of oil</t>
  </si>
  <si>
    <t>2. ADD and bring to a boil</t>
  </si>
  <si>
    <t>3. REDUCE HEAT and SIMMER for 10-20 minutes</t>
  </si>
  <si>
    <t>4. ADD and simmer for 5 more minutes</t>
  </si>
  <si>
    <t>5. RINSE AND SOAK for 5 minutes in cold water</t>
  </si>
  <si>
    <t>, then drain and set aside</t>
  </si>
  <si>
    <t>6. JUST BEFORE SERVING, DISSOLVE in a bowl with a little of the broth</t>
  </si>
  <si>
    <t>miso broth</t>
  </si>
  <si>
    <t>soaked wakame</t>
  </si>
  <si>
    <t>7. JUST BEFORE SERVING, ADD</t>
  </si>
  <si>
    <r>
      <t xml:space="preserve">7. ADD and fry until they start to pop. </t>
    </r>
    <r>
      <rPr>
        <u/>
        <sz val="12"/>
        <color theme="1"/>
        <rFont val="Arial"/>
        <family val="2"/>
      </rPr>
      <t>WATCH CAREFULLY TO MAKE SURE IT DOESN'T BURN!</t>
    </r>
  </si>
  <si>
    <t>SHEPHERDESS PIE</t>
  </si>
  <si>
    <t>BASE</t>
  </si>
  <si>
    <t>dried brown lentils</t>
  </si>
  <si>
    <t>2. SWEAT in a minimal amount of oil</t>
  </si>
  <si>
    <t>dried sage</t>
  </si>
  <si>
    <t>tins pasta sauce</t>
  </si>
  <si>
    <t>4. LAY base mixture in 1-2 lasagne style dishes</t>
  </si>
  <si>
    <t>TOPPING</t>
  </si>
  <si>
    <t>5. MASH potatoes</t>
  </si>
  <si>
    <t>3. MIX lentils, carrots and celery with</t>
  </si>
  <si>
    <t>sweet chili sauce</t>
  </si>
  <si>
    <t>soymilk</t>
  </si>
  <si>
    <t>7. SPREAD the topping on the base</t>
  </si>
  <si>
    <t>8. BAKE 40-50 minutes at 150 degrees</t>
  </si>
  <si>
    <t>1. SAUTE:</t>
  </si>
  <si>
    <t>1. ADD and SAUTE UNTIL SOFTENED:</t>
  </si>
  <si>
    <t>. This soup is thick so DON'T ADD TOO MUCH</t>
  </si>
  <si>
    <t>2. SAUTE:</t>
  </si>
  <si>
    <t>5. BRING UP TO SERVING TEMPERATURE (DON'T BOIL) AND TURN OFF HEAT.</t>
  </si>
  <si>
    <t>ask Frances about kind</t>
  </si>
  <si>
    <t>1. COOK SEPARATELY</t>
  </si>
  <si>
    <t>watties italian herb tom sauce</t>
  </si>
  <si>
    <t>, drained and rinsed</t>
  </si>
  <si>
    <t>xmas cake</t>
  </si>
  <si>
    <t>treats</t>
  </si>
  <si>
    <t>choc</t>
  </si>
  <si>
    <t>nuts</t>
  </si>
  <si>
    <t>goodies see 2016</t>
  </si>
  <si>
    <t>chop
comment</t>
  </si>
  <si>
    <t>Recipe 14</t>
  </si>
  <si>
    <t>chopped tomatoes</t>
  </si>
  <si>
    <t>ground turmeric</t>
  </si>
  <si>
    <t>sliced cucumbers</t>
  </si>
  <si>
    <t>grated carrots</t>
  </si>
  <si>
    <t>sliced green capsicums</t>
  </si>
  <si>
    <t>fresh sprouts</t>
  </si>
  <si>
    <t>fresh herbs</t>
  </si>
  <si>
    <t>sunflower seeds</t>
  </si>
  <si>
    <t>1. TOSS</t>
  </si>
  <si>
    <t>salad dressing</t>
  </si>
  <si>
    <t>sa*Count</t>
  </si>
  <si>
    <t>su*Count</t>
  </si>
  <si>
    <t>mo*Count</t>
  </si>
  <si>
    <t>tu*Count</t>
  </si>
  <si>
    <t>we*Count</t>
  </si>
  <si>
    <t>th*Count</t>
  </si>
  <si>
    <t>fr*Count</t>
  </si>
  <si>
    <t>*Br*</t>
  </si>
  <si>
    <t>*Lu*</t>
  </si>
  <si>
    <t>*Di*</t>
  </si>
  <si>
    <t>*Sbr*</t>
  </si>
  <si>
    <t>*Slu*</t>
  </si>
  <si>
    <t>*Sdi*</t>
  </si>
  <si>
    <t>total servings</t>
  </si>
  <si>
    <t>totals</t>
  </si>
  <si>
    <t>sa</t>
  </si>
  <si>
    <t>su</t>
  </si>
  <si>
    <t>mo</t>
  </si>
  <si>
    <t>tu</t>
  </si>
  <si>
    <t>we</t>
  </si>
  <si>
    <t>th</t>
  </si>
  <si>
    <t>fr</t>
  </si>
  <si>
    <t>breakfast</t>
  </si>
  <si>
    <t>safe breakfast</t>
  </si>
  <si>
    <t>lunch</t>
  </si>
  <si>
    <t>safe lunch</t>
  </si>
  <si>
    <t>dinner</t>
  </si>
  <si>
    <t>safe dinner</t>
  </si>
  <si>
    <t>totalBrCount</t>
  </si>
  <si>
    <t>totalSbrCount</t>
  </si>
  <si>
    <t>totalLuCount</t>
  </si>
  <si>
    <t>totalSluCount</t>
  </si>
  <si>
    <t>totalDiCount</t>
  </si>
  <si>
    <t>totalSdiCount</t>
  </si>
  <si>
    <t>daily servings</t>
  </si>
  <si>
    <t>recipe14DayScale</t>
  </si>
  <si>
    <t>recipe14TotScale</t>
  </si>
  <si>
    <t>daily scale</t>
  </si>
  <si>
    <t>total scale</t>
  </si>
  <si>
    <t>daily
amt</t>
  </si>
  <si>
    <t>total
kg</t>
  </si>
  <si>
    <t>total
l</t>
  </si>
  <si>
    <t>total
qty</t>
  </si>
  <si>
    <t>recipe13DayScale</t>
  </si>
  <si>
    <t>recipe13TotScale</t>
  </si>
  <si>
    <t>recipe01DayScale</t>
  </si>
  <si>
    <t>recipe01TotScale</t>
  </si>
  <si>
    <t>recipe02DayScale</t>
  </si>
  <si>
    <t>recipe02TotScale</t>
  </si>
  <si>
    <t>recipe08DayScale</t>
  </si>
  <si>
    <t>recipe08TotScale</t>
  </si>
  <si>
    <t>recipe03DayScale</t>
  </si>
  <si>
    <t>recipe03TotScale</t>
  </si>
  <si>
    <t>recipe04DayScale</t>
  </si>
  <si>
    <t>recipe04TotScale</t>
  </si>
  <si>
    <t>recipe05DayScale</t>
  </si>
  <si>
    <t>recipe05TotScale</t>
  </si>
  <si>
    <t>recipe06DayScale</t>
  </si>
  <si>
    <t>recipe06TotScale</t>
  </si>
  <si>
    <t>recipe07DayScale</t>
  </si>
  <si>
    <t>recipe07TotScale</t>
  </si>
  <si>
    <t>recipe12DayScale</t>
  </si>
  <si>
    <t>recipe12TotScale</t>
  </si>
  <si>
    <t>recipe09DayScale</t>
  </si>
  <si>
    <t>recipe09TotScale</t>
  </si>
  <si>
    <t>recipe10DayScale</t>
  </si>
  <si>
    <t>recipe10TotScale</t>
  </si>
  <si>
    <t>recipe11DayScale</t>
  </si>
  <si>
    <t>recipe11TotScale</t>
  </si>
  <si>
    <t>juiced lemons</t>
  </si>
  <si>
    <t>juiced limes</t>
  </si>
  <si>
    <t>TOFU VEGETABLE STIR FRY</t>
  </si>
  <si>
    <t>1. SAUTE</t>
  </si>
  <si>
    <t>finely chopped fresh corriander</t>
  </si>
  <si>
    <t>chopped red capsicums</t>
  </si>
  <si>
    <t>red capsicums</t>
  </si>
  <si>
    <t>3. ADD AND SIMMER about 20 minutes</t>
  </si>
  <si>
    <t>4. ADD</t>
  </si>
  <si>
    <t>spinach</t>
  </si>
  <si>
    <t>finely chopped spinach</t>
  </si>
  <si>
    <t>low fat</t>
  </si>
  <si>
    <t>1. COOK for 50 minutes or so</t>
  </si>
  <si>
    <t xml:space="preserve">VEGAN BREAD </t>
  </si>
  <si>
    <t>Vogels Sprouted Whole Grains</t>
  </si>
  <si>
    <t>Vogels Sunflower and Barley</t>
  </si>
  <si>
    <t>Vogels Soy and Linseed</t>
  </si>
  <si>
    <t>Vogels Spelt and Flaxseed</t>
  </si>
  <si>
    <t>3. SERVE salad in two large bowls and tomatoes separately in a smaller bowl</t>
  </si>
  <si>
    <t>2. PUT IN A SEPARATE BOWL</t>
  </si>
  <si>
    <t>coarsely chopped lettuces</t>
  </si>
  <si>
    <t>Cut into pieces the size of your thumbnail</t>
  </si>
  <si>
    <t>Chopped:</t>
  </si>
  <si>
    <t>Cut into cubes the size of your thumbnail</t>
  </si>
  <si>
    <t>Cubed:</t>
  </si>
  <si>
    <t>Diced:</t>
  </si>
  <si>
    <t>Cut into pieces the size of your little fingernail</t>
  </si>
  <si>
    <t>Cut into pieces the size of a match head</t>
  </si>
  <si>
    <t>Minced:</t>
  </si>
  <si>
    <t>refs</t>
  </si>
  <si>
    <t>needs
review</t>
  </si>
  <si>
    <t>Recipe 15</t>
  </si>
  <si>
    <t>Dunedin Kitchen Book 2018, p.4</t>
  </si>
  <si>
    <t>recipe15DayScale</t>
  </si>
  <si>
    <t>recipe15TotScale</t>
  </si>
  <si>
    <t>1. MIX</t>
  </si>
  <si>
    <t>large tins fruit</t>
  </si>
  <si>
    <t>too pricey</t>
  </si>
  <si>
    <t>apples</t>
  </si>
  <si>
    <t>bananas</t>
  </si>
  <si>
    <t>pears</t>
  </si>
  <si>
    <t>oranges</t>
  </si>
  <si>
    <t>chopped apples</t>
  </si>
  <si>
    <t>sliced bananas</t>
  </si>
  <si>
    <t>chopped pears</t>
  </si>
  <si>
    <t>chopped peeled oranges</t>
  </si>
  <si>
    <t>if not too expensive</t>
  </si>
  <si>
    <t>grapes</t>
  </si>
  <si>
    <t>2. SERVE in two large bowls</t>
  </si>
  <si>
    <t>DAILY LUNCH</t>
  </si>
  <si>
    <t>SALAD</t>
  </si>
  <si>
    <t>DAILY BREAKFAST</t>
  </si>
  <si>
    <t>FRUIT SALAD</t>
  </si>
  <si>
    <t>+ snacking quantity</t>
  </si>
  <si>
    <t>ref
amt</t>
  </si>
  <si>
    <t>ref
units</t>
  </si>
  <si>
    <t>ref
kg</t>
  </si>
  <si>
    <t>ref
l</t>
  </si>
  <si>
    <t>req
units</t>
  </si>
  <si>
    <t>into 2cm x 2cm cubes</t>
  </si>
  <si>
    <t>Dunedin Kitchen Book 2018, p.7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</si>
</sst>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9" tint="-0.499984740745262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36">
    <border>
      <left/>
      <right/>
      <top/>
      <bottom/>
      <diagonal/>
    </border>
    <border>
      <left/>
      <right/>
      <top style="thick">
        <color theme="9" tint="0.39994506668294322"/>
      </top>
      <bottom/>
      <diagonal/>
    </border>
    <border>
      <left/>
      <right/>
      <top/>
      <bottom style="thick">
        <color theme="9" tint="0.39994506668294322"/>
      </bottom>
      <diagonal/>
    </border>
    <border>
      <left style="medium">
        <color theme="9" tint="0.39994506668294322"/>
      </left>
      <right style="medium">
        <color theme="9" tint="0.39994506668294322"/>
      </right>
      <top/>
      <bottom style="medium">
        <color theme="9" tint="0.39994506668294322"/>
      </bottom>
      <diagonal/>
    </border>
    <border>
      <left style="medium">
        <color theme="9" tint="0.39991454817346722"/>
      </left>
      <right style="medium">
        <color theme="9" tint="0.39991454817346722"/>
      </right>
      <top style="medium">
        <color theme="9" tint="0.39991454817346722"/>
      </top>
      <bottom/>
      <diagonal/>
    </border>
    <border>
      <left style="medium">
        <color theme="9" tint="0.39991454817346722"/>
      </left>
      <right style="medium">
        <color theme="9" tint="0.39991454817346722"/>
      </right>
      <top/>
      <bottom/>
      <diagonal/>
    </border>
    <border>
      <left/>
      <right style="thick">
        <color theme="9" tint="0.39991454817346722"/>
      </right>
      <top/>
      <bottom/>
      <diagonal/>
    </border>
    <border>
      <left style="medium">
        <color theme="9" tint="0.39985351115451523"/>
      </left>
      <right style="medium">
        <color theme="9" tint="0.39985351115451523"/>
      </right>
      <top style="medium">
        <color theme="9" tint="0.39985351115451523"/>
      </top>
      <bottom style="medium">
        <color theme="9" tint="0.39985351115451523"/>
      </bottom>
      <diagonal/>
    </border>
    <border>
      <left/>
      <right style="medium">
        <color theme="9" tint="0.39988402966399123"/>
      </right>
      <top style="medium">
        <color theme="9" tint="0.39988402966399123"/>
      </top>
      <bottom style="medium">
        <color theme="9" tint="0.39988402966399123"/>
      </bottom>
      <diagonal/>
    </border>
    <border>
      <left/>
      <right style="thick">
        <color theme="9" tint="0.39991454817346722"/>
      </right>
      <top style="thick">
        <color theme="9" tint="0.39994506668294322"/>
      </top>
      <bottom/>
      <diagonal/>
    </border>
    <border>
      <left/>
      <right style="thick">
        <color theme="9" tint="0.39991454817346722"/>
      </right>
      <top/>
      <bottom style="thick">
        <color theme="9" tint="0.39994506668294322"/>
      </bottom>
      <diagonal/>
    </border>
    <border>
      <left/>
      <right/>
      <top style="thick">
        <color theme="9" tint="0.39988402966399123"/>
      </top>
      <bottom/>
      <diagonal/>
    </border>
    <border>
      <left/>
      <right/>
      <top/>
      <bottom style="thick">
        <color theme="9" tint="0.39988402966399123"/>
      </bottom>
      <diagonal/>
    </border>
    <border>
      <left/>
      <right style="thick">
        <color theme="9" tint="0.39988402966399123"/>
      </right>
      <top style="thick">
        <color theme="9" tint="0.39991454817346722"/>
      </top>
      <bottom/>
      <diagonal/>
    </border>
    <border>
      <left/>
      <right style="thick">
        <color theme="9" tint="0.39988402966399123"/>
      </right>
      <top/>
      <bottom/>
      <diagonal/>
    </border>
    <border>
      <left/>
      <right style="thick">
        <color theme="9" tint="0.39988402966399123"/>
      </right>
      <top/>
      <bottom style="thick">
        <color theme="9" tint="0.39991454817346722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/>
      <diagonal/>
    </border>
    <border>
      <left style="medium">
        <color theme="9" tint="0.39994506668294322"/>
      </left>
      <right/>
      <top/>
      <bottom/>
      <diagonal/>
    </border>
    <border>
      <left style="medium">
        <color theme="9" tint="0.39994506668294322"/>
      </left>
      <right/>
      <top/>
      <bottom style="medium">
        <color theme="9" tint="0.39994506668294322"/>
      </bottom>
      <diagonal/>
    </border>
    <border>
      <left style="medium">
        <color theme="9" tint="0.39991454817346722"/>
      </left>
      <right/>
      <top style="medium">
        <color theme="9" tint="0.39991454817346722"/>
      </top>
      <bottom/>
      <diagonal/>
    </border>
    <border>
      <left/>
      <right/>
      <top style="medium">
        <color theme="9" tint="0.39991454817346722"/>
      </top>
      <bottom/>
      <diagonal/>
    </border>
    <border>
      <left/>
      <right style="medium">
        <color theme="9" tint="0.39991454817346722"/>
      </right>
      <top style="medium">
        <color theme="9" tint="0.39991454817346722"/>
      </top>
      <bottom/>
      <diagonal/>
    </border>
    <border>
      <left style="medium">
        <color theme="9" tint="0.39991454817346722"/>
      </left>
      <right/>
      <top/>
      <bottom/>
      <diagonal/>
    </border>
    <border>
      <left/>
      <right style="medium">
        <color theme="9" tint="0.39991454817346722"/>
      </right>
      <top/>
      <bottom/>
      <diagonal/>
    </border>
    <border>
      <left style="medium">
        <color theme="9" tint="0.39991454817346722"/>
      </left>
      <right/>
      <top/>
      <bottom style="medium">
        <color theme="9" tint="0.39991454817346722"/>
      </bottom>
      <diagonal/>
    </border>
    <border>
      <left/>
      <right/>
      <top/>
      <bottom style="medium">
        <color theme="9" tint="0.39991454817346722"/>
      </bottom>
      <diagonal/>
    </border>
    <border>
      <left/>
      <right style="medium">
        <color theme="9" tint="0.39991454817346722"/>
      </right>
      <top/>
      <bottom style="medium">
        <color theme="9" tint="0.39991454817346722"/>
      </bottom>
      <diagonal/>
    </border>
    <border>
      <left style="medium">
        <color theme="9" tint="0.39988402966399123"/>
      </left>
      <right style="medium">
        <color theme="9" tint="0.39988402966399123"/>
      </right>
      <top style="medium">
        <color theme="9" tint="0.39988402966399123"/>
      </top>
      <bottom style="medium">
        <color theme="9" tint="0.39988402966399123"/>
      </bottom>
      <diagonal/>
    </border>
    <border>
      <left/>
      <right style="medium">
        <color theme="9" tint="0.39991454817346722"/>
      </right>
      <top style="medium">
        <color theme="9" tint="0.39991454817346722"/>
      </top>
      <bottom style="medium">
        <color theme="9" tint="0.39994506668294322"/>
      </bottom>
      <diagonal/>
    </border>
    <border>
      <left/>
      <right style="medium">
        <color theme="9" tint="0.39991454817346722"/>
      </right>
      <top/>
      <bottom style="medium">
        <color theme="9" tint="0.39994506668294322"/>
      </bottom>
      <diagonal/>
    </border>
    <border>
      <left style="medium">
        <color theme="9" tint="0.39991454817346722"/>
      </left>
      <right style="medium">
        <color theme="9" tint="0.39994506668294322"/>
      </right>
      <top/>
      <bottom style="medium">
        <color theme="9" tint="0.39991454817346722"/>
      </bottom>
      <diagonal/>
    </border>
    <border>
      <left style="medium">
        <color theme="9" tint="0.39994506668294322"/>
      </left>
      <right style="medium">
        <color theme="9" tint="0.39994506668294322"/>
      </right>
      <top/>
      <bottom style="medium">
        <color theme="9" tint="0.39991454817346722"/>
      </bottom>
      <diagonal/>
    </border>
    <border>
      <left style="medium">
        <color theme="9" tint="0.39994506668294322"/>
      </left>
      <right style="medium">
        <color theme="9" tint="0.39991454817346722"/>
      </right>
      <top/>
      <bottom style="medium">
        <color theme="9" tint="0.39991454817346722"/>
      </bottom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9" tint="0.39988402966399123"/>
      </left>
      <right/>
      <top style="medium">
        <color theme="9" tint="0.39988402966399123"/>
      </top>
      <bottom style="medium">
        <color theme="9" tint="0.39988402966399123"/>
      </bottom>
      <diagonal/>
    </border>
    <border>
      <left style="medium">
        <color theme="9" tint="0.39988402966399123"/>
      </left>
      <right style="medium">
        <color theme="9" tint="0.39988402966399123"/>
      </right>
      <top style="medium">
        <color theme="9" tint="0.39988402966399123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2" fillId="2" borderId="0" xfId="0" applyFont="1" applyFill="1"/>
    <xf numFmtId="2" fontId="2" fillId="2" borderId="0" xfId="0" applyNumberFormat="1" applyFont="1" applyFill="1"/>
    <xf numFmtId="2" fontId="2" fillId="2" borderId="0" xfId="0" applyNumberFormat="1" applyFont="1" applyFill="1" applyBorder="1"/>
    <xf numFmtId="0" fontId="2" fillId="2" borderId="0" xfId="0" applyFont="1" applyFill="1" applyBorder="1"/>
    <xf numFmtId="0" fontId="2" fillId="6" borderId="0" xfId="0" applyFont="1" applyFill="1" applyBorder="1"/>
    <xf numFmtId="2" fontId="2" fillId="6" borderId="0" xfId="0" applyNumberFormat="1" applyFont="1" applyFill="1" applyBorder="1"/>
    <xf numFmtId="2" fontId="2" fillId="2" borderId="2" xfId="0" applyNumberFormat="1" applyFont="1" applyFill="1" applyBorder="1"/>
    <xf numFmtId="0" fontId="3" fillId="2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2" fontId="1" fillId="2" borderId="0" xfId="0" applyNumberFormat="1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2" fontId="1" fillId="2" borderId="0" xfId="0" applyNumberFormat="1" applyFont="1" applyFill="1" applyAlignment="1">
      <alignment wrapText="1"/>
    </xf>
    <xf numFmtId="2" fontId="2" fillId="2" borderId="1" xfId="0" applyNumberFormat="1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2" fillId="4" borderId="16" xfId="0" applyFont="1" applyFill="1" applyBorder="1"/>
    <xf numFmtId="0" fontId="2" fillId="4" borderId="17" xfId="0" applyFont="1" applyFill="1" applyBorder="1"/>
    <xf numFmtId="0" fontId="2" fillId="4" borderId="18" xfId="0" applyFont="1" applyFill="1" applyBorder="1"/>
    <xf numFmtId="2" fontId="2" fillId="2" borderId="19" xfId="0" applyNumberFormat="1" applyFont="1" applyFill="1" applyBorder="1"/>
    <xf numFmtId="2" fontId="2" fillId="2" borderId="20" xfId="0" applyNumberFormat="1" applyFont="1" applyFill="1" applyBorder="1"/>
    <xf numFmtId="2" fontId="2" fillId="2" borderId="21" xfId="0" applyNumberFormat="1" applyFont="1" applyFill="1" applyBorder="1"/>
    <xf numFmtId="2" fontId="2" fillId="2" borderId="22" xfId="0" applyNumberFormat="1" applyFont="1" applyFill="1" applyBorder="1"/>
    <xf numFmtId="2" fontId="2" fillId="2" borderId="23" xfId="0" applyNumberFormat="1" applyFont="1" applyFill="1" applyBorder="1"/>
    <xf numFmtId="2" fontId="2" fillId="2" borderId="24" xfId="0" applyNumberFormat="1" applyFont="1" applyFill="1" applyBorder="1"/>
    <xf numFmtId="2" fontId="2" fillId="2" borderId="25" xfId="0" applyNumberFormat="1" applyFont="1" applyFill="1" applyBorder="1"/>
    <xf numFmtId="2" fontId="2" fillId="2" borderId="26" xfId="0" applyNumberFormat="1" applyFont="1" applyFill="1" applyBorder="1"/>
    <xf numFmtId="0" fontId="2" fillId="2" borderId="0" xfId="0" applyFont="1" applyFill="1"/>
    <xf numFmtId="2" fontId="2" fillId="2" borderId="23" xfId="0" quotePrefix="1" applyNumberFormat="1" applyFont="1" applyFill="1" applyBorder="1"/>
    <xf numFmtId="0" fontId="1" fillId="2" borderId="0" xfId="0" applyFont="1" applyFill="1" applyAlignment="1">
      <alignment horizontal="left" wrapText="1"/>
    </xf>
    <xf numFmtId="0" fontId="2" fillId="2" borderId="11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/>
    </xf>
    <xf numFmtId="12" fontId="4" fillId="2" borderId="0" xfId="0" applyNumberFormat="1" applyFont="1" applyFill="1" applyBorder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2" fontId="5" fillId="2" borderId="0" xfId="0" applyNumberFormat="1" applyFont="1" applyFill="1" applyBorder="1" applyAlignment="1">
      <alignment horizontal="left" vertical="top"/>
    </xf>
    <xf numFmtId="49" fontId="5" fillId="2" borderId="0" xfId="0" applyNumberFormat="1" applyFont="1" applyFill="1" applyAlignment="1">
      <alignment horizontal="left" vertical="top"/>
    </xf>
    <xf numFmtId="2" fontId="5" fillId="2" borderId="0" xfId="0" applyNumberFormat="1" applyFont="1" applyFill="1" applyAlignment="1">
      <alignment horizontal="left" vertical="top"/>
    </xf>
    <xf numFmtId="12" fontId="5" fillId="2" borderId="0" xfId="0" applyNumberFormat="1" applyFont="1" applyFill="1" applyAlignment="1">
      <alignment horizontal="left" vertical="top"/>
    </xf>
    <xf numFmtId="0" fontId="5" fillId="2" borderId="0" xfId="0" applyFont="1" applyFill="1" applyAlignment="1">
      <alignment horizontal="left" vertical="top" wrapText="1"/>
    </xf>
    <xf numFmtId="2" fontId="5" fillId="4" borderId="7" xfId="0" applyNumberFormat="1" applyFont="1" applyFill="1" applyBorder="1" applyAlignment="1">
      <alignment horizontal="left" vertical="top"/>
    </xf>
    <xf numFmtId="0" fontId="6" fillId="2" borderId="8" xfId="0" applyFont="1" applyFill="1" applyBorder="1" applyAlignment="1">
      <alignment horizontal="left" vertical="top"/>
    </xf>
    <xf numFmtId="12" fontId="8" fillId="0" borderId="0" xfId="0" applyNumberFormat="1" applyFont="1" applyFill="1" applyAlignment="1">
      <alignment horizontal="left" vertical="top"/>
    </xf>
    <xf numFmtId="0" fontId="6" fillId="2" borderId="0" xfId="0" applyFont="1" applyFill="1" applyBorder="1" applyAlignment="1">
      <alignment horizontal="left" vertical="top"/>
    </xf>
    <xf numFmtId="2" fontId="5" fillId="7" borderId="0" xfId="0" applyNumberFormat="1" applyFont="1" applyFill="1" applyAlignment="1">
      <alignment horizontal="left" vertical="top"/>
    </xf>
    <xf numFmtId="0" fontId="5" fillId="7" borderId="0" xfId="0" applyFont="1" applyFill="1" applyAlignment="1">
      <alignment horizontal="left" vertical="top"/>
    </xf>
    <xf numFmtId="49" fontId="5" fillId="5" borderId="0" xfId="0" applyNumberFormat="1" applyFont="1" applyFill="1" applyAlignment="1">
      <alignment horizontal="left" vertical="top"/>
    </xf>
    <xf numFmtId="12" fontId="5" fillId="0" borderId="0" xfId="0" applyNumberFormat="1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 wrapText="1"/>
    </xf>
    <xf numFmtId="12" fontId="4" fillId="2" borderId="0" xfId="0" applyNumberFormat="1" applyFont="1" applyFill="1" applyAlignment="1">
      <alignment horizontal="left" vertical="top"/>
    </xf>
    <xf numFmtId="12" fontId="8" fillId="6" borderId="0" xfId="0" applyNumberFormat="1" applyFont="1" applyFill="1" applyAlignment="1">
      <alignment horizontal="left" vertical="top"/>
    </xf>
    <xf numFmtId="2" fontId="5" fillId="7" borderId="0" xfId="0" applyNumberFormat="1" applyFont="1" applyFill="1" applyBorder="1" applyAlignment="1">
      <alignment horizontal="left" vertical="top"/>
    </xf>
    <xf numFmtId="2" fontId="4" fillId="2" borderId="0" xfId="0" applyNumberFormat="1" applyFont="1" applyFill="1" applyAlignment="1">
      <alignment horizontal="left" vertical="top"/>
    </xf>
    <xf numFmtId="49" fontId="4" fillId="2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2" fontId="4" fillId="2" borderId="0" xfId="0" applyNumberFormat="1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49" fontId="4" fillId="2" borderId="0" xfId="0" applyNumberFormat="1" applyFont="1" applyFill="1" applyAlignment="1">
      <alignment horizontal="left" wrapText="1"/>
    </xf>
    <xf numFmtId="12" fontId="4" fillId="2" borderId="0" xfId="0" applyNumberFormat="1" applyFont="1" applyFill="1" applyAlignment="1">
      <alignment horizontal="left" wrapText="1"/>
    </xf>
    <xf numFmtId="12" fontId="5" fillId="8" borderId="0" xfId="0" applyNumberFormat="1" applyFont="1" applyFill="1" applyAlignment="1">
      <alignment horizontal="left" vertical="top"/>
    </xf>
    <xf numFmtId="0" fontId="5" fillId="8" borderId="0" xfId="0" applyFont="1" applyFill="1" applyAlignment="1">
      <alignment horizontal="left" vertical="top"/>
    </xf>
    <xf numFmtId="0" fontId="5" fillId="8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3" fillId="2" borderId="28" xfId="0" applyFont="1" applyFill="1" applyBorder="1"/>
    <xf numFmtId="0" fontId="3" fillId="2" borderId="29" xfId="0" applyFont="1" applyFill="1" applyBorder="1"/>
    <xf numFmtId="0" fontId="3" fillId="2" borderId="26" xfId="0" applyFont="1" applyFill="1" applyBorder="1"/>
    <xf numFmtId="0" fontId="3" fillId="2" borderId="30" xfId="0" applyFont="1" applyFill="1" applyBorder="1"/>
    <xf numFmtId="0" fontId="3" fillId="2" borderId="31" xfId="0" applyFont="1" applyFill="1" applyBorder="1"/>
    <xf numFmtId="0" fontId="3" fillId="2" borderId="32" xfId="0" applyFont="1" applyFill="1" applyBorder="1"/>
    <xf numFmtId="0" fontId="2" fillId="4" borderId="27" xfId="0" applyFont="1" applyFill="1" applyBorder="1"/>
    <xf numFmtId="0" fontId="2" fillId="4" borderId="34" xfId="0" applyFont="1" applyFill="1" applyBorder="1"/>
    <xf numFmtId="0" fontId="2" fillId="4" borderId="35" xfId="0" applyFont="1" applyFill="1" applyBorder="1"/>
    <xf numFmtId="0" fontId="2" fillId="9" borderId="33" xfId="0" applyFont="1" applyFill="1" applyBorder="1"/>
    <xf numFmtId="0" fontId="5" fillId="2" borderId="0" xfId="0" applyNumberFormat="1" applyFont="1" applyFill="1" applyAlignment="1">
      <alignment horizontal="left" vertical="top"/>
    </xf>
    <xf numFmtId="0" fontId="8" fillId="6" borderId="0" xfId="0" applyNumberFormat="1" applyFont="1" applyFill="1" applyAlignment="1">
      <alignment horizontal="left" vertical="top"/>
    </xf>
    <xf numFmtId="0" fontId="8" fillId="6" borderId="0" xfId="0" applyFont="1" applyFill="1" applyAlignment="1">
      <alignment horizontal="left" vertical="top"/>
    </xf>
    <xf numFmtId="0" fontId="8" fillId="0" borderId="0" xfId="0" applyNumberFormat="1" applyFont="1" applyFill="1" applyAlignment="1">
      <alignment horizontal="right" vertical="top"/>
    </xf>
    <xf numFmtId="0" fontId="1" fillId="2" borderId="0" xfId="0" applyNumberFormat="1" applyFont="1" applyFill="1" applyAlignment="1">
      <alignment wrapText="1"/>
    </xf>
    <xf numFmtId="0" fontId="2" fillId="2" borderId="9" xfId="0" applyNumberFormat="1" applyFont="1" applyFill="1" applyBorder="1"/>
    <xf numFmtId="0" fontId="2" fillId="2" borderId="6" xfId="0" applyNumberFormat="1" applyFont="1" applyFill="1" applyBorder="1"/>
    <xf numFmtId="0" fontId="2" fillId="2" borderId="10" xfId="0" applyNumberFormat="1" applyFont="1" applyFill="1" applyBorder="1"/>
    <xf numFmtId="0" fontId="2" fillId="2" borderId="0" xfId="0" applyNumberFormat="1" applyFont="1" applyFill="1"/>
    <xf numFmtId="0" fontId="2" fillId="2" borderId="20" xfId="0" applyNumberFormat="1" applyFont="1" applyFill="1" applyBorder="1"/>
    <xf numFmtId="0" fontId="2" fillId="2" borderId="0" xfId="0" applyNumberFormat="1" applyFont="1" applyFill="1" applyBorder="1"/>
    <xf numFmtId="0" fontId="2" fillId="2" borderId="25" xfId="0" applyNumberFormat="1" applyFont="1" applyFill="1" applyBorder="1"/>
    <xf numFmtId="2" fontId="2" fillId="2" borderId="0" xfId="0" quotePrefix="1" applyNumberFormat="1" applyFont="1" applyFill="1" applyBorder="1"/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12" fontId="4" fillId="2" borderId="0" xfId="0" applyNumberFormat="1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center" vertical="top"/>
    </xf>
    <xf numFmtId="0" fontId="7" fillId="0" borderId="0" xfId="0" applyFont="1" applyFill="1" applyAlignment="1">
      <alignment horizontal="left" vertical="top"/>
    </xf>
    <xf numFmtId="12" fontId="7" fillId="0" borderId="0" xfId="0" applyNumberFormat="1" applyFont="1" applyFill="1" applyAlignment="1">
      <alignment horizontal="center" vertical="top"/>
    </xf>
    <xf numFmtId="12" fontId="7" fillId="0" borderId="0" xfId="0" applyNumberFormat="1" applyFont="1" applyFill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2" fontId="2" fillId="2" borderId="20" xfId="0" quotePrefix="1" applyNumberFormat="1" applyFont="1" applyFill="1" applyBorder="1"/>
    <xf numFmtId="0" fontId="2" fillId="2" borderId="1" xfId="0" applyFont="1" applyFill="1" applyBorder="1"/>
    <xf numFmtId="0" fontId="2" fillId="2" borderId="2" xfId="0" applyFont="1" applyFill="1" applyBorder="1"/>
  </cellXfs>
  <cellStyles count="1">
    <cellStyle name="Normal" xfId="0" builtinId="0"/>
  </cellStyles>
  <dxfs count="176"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A565D-02FB-480E-870E-F643EB26C74A}">
  <dimension ref="A2:L9"/>
  <sheetViews>
    <sheetView workbookViewId="0">
      <selection activeCell="D38" sqref="D38"/>
    </sheetView>
  </sheetViews>
  <sheetFormatPr defaultRowHeight="12.75" x14ac:dyDescent="0.2"/>
  <cols>
    <col min="1" max="1" width="11.85546875" style="77" bestFit="1" customWidth="1"/>
    <col min="2" max="3" width="8.28515625" style="31" bestFit="1" customWidth="1"/>
    <col min="4" max="4" width="8.85546875" style="31" bestFit="1" customWidth="1"/>
    <col min="5" max="5" width="8" style="31" bestFit="1" customWidth="1"/>
    <col min="6" max="6" width="8.5703125" style="31" bestFit="1" customWidth="1"/>
    <col min="7" max="7" width="8" style="31" bestFit="1" customWidth="1"/>
    <col min="8" max="8" width="7.7109375" style="31" bestFit="1" customWidth="1"/>
    <col min="9" max="9" width="5.28515625" style="31" bestFit="1" customWidth="1"/>
    <col min="10" max="10" width="9.140625" style="31"/>
    <col min="11" max="11" width="5.5703125" style="31" bestFit="1" customWidth="1"/>
    <col min="12" max="12" width="11.85546875" style="31" bestFit="1" customWidth="1"/>
    <col min="13" max="16384" width="9.140625" style="31"/>
  </cols>
  <sheetData>
    <row r="2" spans="1:12" ht="13.5" thickBot="1" x14ac:dyDescent="0.25">
      <c r="B2" s="78" t="s">
        <v>340</v>
      </c>
      <c r="C2" s="78" t="s">
        <v>341</v>
      </c>
      <c r="D2" s="78" t="s">
        <v>342</v>
      </c>
      <c r="E2" s="78" t="s">
        <v>343</v>
      </c>
      <c r="F2" s="78" t="s">
        <v>344</v>
      </c>
      <c r="G2" s="78" t="s">
        <v>345</v>
      </c>
      <c r="H2" s="78" t="s">
        <v>346</v>
      </c>
      <c r="K2" s="78" t="s">
        <v>339</v>
      </c>
    </row>
    <row r="3" spans="1:12" ht="13.5" thickBot="1" x14ac:dyDescent="0.25">
      <c r="A3" s="79" t="s">
        <v>347</v>
      </c>
      <c r="B3" s="86">
        <v>10</v>
      </c>
      <c r="C3" s="86">
        <v>10</v>
      </c>
      <c r="D3" s="86">
        <v>10</v>
      </c>
      <c r="E3" s="86">
        <v>10</v>
      </c>
      <c r="F3" s="86">
        <v>10</v>
      </c>
      <c r="G3" s="86">
        <v>10</v>
      </c>
      <c r="H3" s="86">
        <v>10</v>
      </c>
      <c r="I3" s="80" t="s">
        <v>332</v>
      </c>
      <c r="K3" s="86">
        <f t="shared" ref="K3:K8" si="0">SUM(B3:H3)</f>
        <v>70</v>
      </c>
      <c r="L3" s="80" t="s">
        <v>353</v>
      </c>
    </row>
    <row r="4" spans="1:12" ht="13.5" thickBot="1" x14ac:dyDescent="0.25">
      <c r="A4" s="79" t="s">
        <v>348</v>
      </c>
      <c r="B4" s="86">
        <v>1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8">
        <v>1</v>
      </c>
      <c r="I4" s="81" t="s">
        <v>335</v>
      </c>
      <c r="K4" s="86">
        <f t="shared" si="0"/>
        <v>7</v>
      </c>
      <c r="L4" s="80" t="s">
        <v>354</v>
      </c>
    </row>
    <row r="5" spans="1:12" ht="13.5" thickBot="1" x14ac:dyDescent="0.25">
      <c r="A5" s="79" t="s">
        <v>349</v>
      </c>
      <c r="B5" s="86">
        <v>10</v>
      </c>
      <c r="C5" s="86">
        <v>10</v>
      </c>
      <c r="D5" s="86">
        <v>10</v>
      </c>
      <c r="E5" s="86">
        <v>10</v>
      </c>
      <c r="F5" s="86">
        <v>10</v>
      </c>
      <c r="G5" s="87">
        <v>10</v>
      </c>
      <c r="H5" s="89"/>
      <c r="I5" s="81" t="s">
        <v>333</v>
      </c>
      <c r="K5" s="86">
        <f t="shared" si="0"/>
        <v>60</v>
      </c>
      <c r="L5" s="80" t="s">
        <v>355</v>
      </c>
    </row>
    <row r="6" spans="1:12" ht="13.5" thickBot="1" x14ac:dyDescent="0.25">
      <c r="A6" s="79" t="s">
        <v>350</v>
      </c>
      <c r="B6" s="86">
        <v>1</v>
      </c>
      <c r="C6" s="86">
        <v>1</v>
      </c>
      <c r="D6" s="86">
        <v>1</v>
      </c>
      <c r="E6" s="86">
        <v>1</v>
      </c>
      <c r="F6" s="86">
        <v>1</v>
      </c>
      <c r="G6" s="87">
        <v>1</v>
      </c>
      <c r="H6" s="89"/>
      <c r="I6" s="81" t="s">
        <v>336</v>
      </c>
      <c r="K6" s="86">
        <f t="shared" si="0"/>
        <v>6</v>
      </c>
      <c r="L6" s="80" t="s">
        <v>356</v>
      </c>
    </row>
    <row r="7" spans="1:12" ht="13.5" thickBot="1" x14ac:dyDescent="0.25">
      <c r="A7" s="79" t="s">
        <v>351</v>
      </c>
      <c r="B7" s="86">
        <v>10</v>
      </c>
      <c r="C7" s="86">
        <v>10</v>
      </c>
      <c r="D7" s="86">
        <v>10</v>
      </c>
      <c r="E7" s="86">
        <v>10</v>
      </c>
      <c r="F7" s="86">
        <v>10</v>
      </c>
      <c r="G7" s="87">
        <v>10</v>
      </c>
      <c r="H7" s="89"/>
      <c r="I7" s="81" t="s">
        <v>334</v>
      </c>
      <c r="K7" s="86">
        <f t="shared" si="0"/>
        <v>60</v>
      </c>
      <c r="L7" s="80" t="s">
        <v>357</v>
      </c>
    </row>
    <row r="8" spans="1:12" ht="13.5" thickBot="1" x14ac:dyDescent="0.25">
      <c r="A8" s="79" t="s">
        <v>352</v>
      </c>
      <c r="B8" s="86">
        <v>1</v>
      </c>
      <c r="C8" s="86">
        <v>1</v>
      </c>
      <c r="D8" s="86">
        <v>1</v>
      </c>
      <c r="E8" s="86">
        <v>1</v>
      </c>
      <c r="F8" s="86">
        <v>1</v>
      </c>
      <c r="G8" s="87">
        <v>1</v>
      </c>
      <c r="H8" s="89"/>
      <c r="I8" s="82" t="s">
        <v>337</v>
      </c>
      <c r="K8" s="86">
        <f t="shared" si="0"/>
        <v>6</v>
      </c>
      <c r="L8" s="80" t="s">
        <v>358</v>
      </c>
    </row>
    <row r="9" spans="1:12" ht="13.5" thickBot="1" x14ac:dyDescent="0.25">
      <c r="B9" s="83" t="s">
        <v>325</v>
      </c>
      <c r="C9" s="84" t="s">
        <v>326</v>
      </c>
      <c r="D9" s="84" t="s">
        <v>327</v>
      </c>
      <c r="E9" s="84" t="s">
        <v>328</v>
      </c>
      <c r="F9" s="84" t="s">
        <v>329</v>
      </c>
      <c r="G9" s="84" t="s">
        <v>330</v>
      </c>
      <c r="H9" s="85" t="s">
        <v>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D8F90-B49A-4F27-A51C-C9DAC7C45CC5}">
  <dimension ref="A1:AD415"/>
  <sheetViews>
    <sheetView tabSelected="1" topLeftCell="A114" zoomScaleNormal="100" workbookViewId="0">
      <selection activeCell="A156" sqref="A156:D156"/>
    </sheetView>
  </sheetViews>
  <sheetFormatPr defaultRowHeight="15" x14ac:dyDescent="0.25"/>
  <cols>
    <col min="1" max="1" width="2.140625" style="40" bestFit="1" customWidth="1"/>
    <col min="2" max="2" width="10.42578125" style="40" bestFit="1" customWidth="1"/>
    <col min="3" max="3" width="4.85546875" style="39" bestFit="1" customWidth="1"/>
    <col min="4" max="4" width="78" style="40" customWidth="1"/>
    <col min="5" max="5" width="14.140625" style="44" bestFit="1" customWidth="1"/>
    <col min="6" max="6" width="4.85546875" style="44" bestFit="1" customWidth="1"/>
    <col min="7" max="7" width="14.7109375" style="44" bestFit="1" customWidth="1"/>
    <col min="8" max="8" width="2.7109375" style="44" customWidth="1"/>
    <col min="9" max="9" width="5.7109375" style="45" bestFit="1" customWidth="1"/>
    <col min="10" max="10" width="4.42578125" style="44" bestFit="1" customWidth="1"/>
    <col min="11" max="11" width="28.5703125" style="44" bestFit="1" customWidth="1"/>
    <col min="12" max="12" width="4.42578125" style="46" bestFit="1" customWidth="1"/>
    <col min="13" max="13" width="5.7109375" style="47" bestFit="1" customWidth="1"/>
    <col min="14" max="14" width="4.42578125" style="47" bestFit="1" customWidth="1"/>
    <col min="15" max="16" width="4" style="47" bestFit="1" customWidth="1"/>
    <col min="17" max="17" width="5.7109375" style="47" bestFit="1" customWidth="1"/>
    <col min="18" max="19" width="4.28515625" style="47" bestFit="1" customWidth="1"/>
    <col min="20" max="20" width="4.85546875" style="47" bestFit="1" customWidth="1"/>
    <col min="21" max="21" width="28.140625" style="44" customWidth="1"/>
    <col min="22" max="22" width="5.28515625" style="44" bestFit="1" customWidth="1"/>
    <col min="23" max="23" width="6.42578125" style="48" bestFit="1" customWidth="1"/>
    <col min="24" max="24" width="4.42578125" style="44" bestFit="1" customWidth="1"/>
    <col min="25" max="25" width="28.5703125" style="44" bestFit="1" customWidth="1"/>
    <col min="26" max="26" width="33.85546875" style="49" customWidth="1"/>
    <col min="27" max="27" width="5.28515625" style="44" bestFit="1" customWidth="1"/>
    <col min="28" max="29" width="4.42578125" style="44" bestFit="1" customWidth="1"/>
    <col min="30" max="30" width="9.140625" style="44" bestFit="1" customWidth="1"/>
    <col min="31" max="16384" width="9.140625" style="44"/>
  </cols>
  <sheetData>
    <row r="1" spans="1:30" s="106" customFormat="1" ht="15.75" x14ac:dyDescent="0.25">
      <c r="A1" s="108" t="s">
        <v>445</v>
      </c>
      <c r="B1" s="108"/>
      <c r="C1" s="108"/>
      <c r="D1" s="108"/>
      <c r="E1" s="43" t="s">
        <v>425</v>
      </c>
      <c r="F1" s="104" t="s">
        <v>426</v>
      </c>
      <c r="G1" s="104"/>
      <c r="I1" s="45"/>
      <c r="L1" s="46"/>
      <c r="M1" s="47"/>
      <c r="N1" s="47"/>
      <c r="O1" s="47"/>
      <c r="P1" s="47"/>
      <c r="Q1" s="47"/>
      <c r="R1" s="47"/>
      <c r="S1" s="47"/>
      <c r="T1" s="47"/>
      <c r="W1" s="48"/>
      <c r="Z1" s="49"/>
    </row>
    <row r="2" spans="1:30" s="106" customFormat="1" ht="24" x14ac:dyDescent="0.2">
      <c r="A2" s="108" t="s">
        <v>446</v>
      </c>
      <c r="B2" s="108"/>
      <c r="C2" s="108"/>
      <c r="D2" s="108"/>
      <c r="E2" s="104" t="s">
        <v>56</v>
      </c>
      <c r="F2" s="90">
        <v>10</v>
      </c>
      <c r="G2" s="47"/>
      <c r="I2" s="70" t="s">
        <v>448</v>
      </c>
      <c r="J2" s="71" t="s">
        <v>449</v>
      </c>
      <c r="K2" s="71" t="s">
        <v>17</v>
      </c>
      <c r="L2" s="72" t="s">
        <v>452</v>
      </c>
      <c r="M2" s="70" t="s">
        <v>148</v>
      </c>
      <c r="N2" s="70" t="s">
        <v>149</v>
      </c>
      <c r="O2" s="70" t="s">
        <v>450</v>
      </c>
      <c r="P2" s="70" t="s">
        <v>451</v>
      </c>
      <c r="Q2" s="71" t="s">
        <v>364</v>
      </c>
      <c r="R2" s="70" t="s">
        <v>365</v>
      </c>
      <c r="S2" s="70" t="s">
        <v>366</v>
      </c>
      <c r="T2" s="70" t="s">
        <v>367</v>
      </c>
      <c r="U2" s="71" t="s">
        <v>22</v>
      </c>
      <c r="V2" s="71" t="s">
        <v>212</v>
      </c>
      <c r="W2" s="73" t="s">
        <v>364</v>
      </c>
      <c r="X2" s="71" t="s">
        <v>210</v>
      </c>
      <c r="Y2" s="71" t="s">
        <v>211</v>
      </c>
      <c r="Z2" s="71" t="s">
        <v>313</v>
      </c>
      <c r="AA2" s="71" t="s">
        <v>213</v>
      </c>
      <c r="AB2" s="73" t="s">
        <v>364</v>
      </c>
      <c r="AC2" s="71" t="s">
        <v>214</v>
      </c>
      <c r="AD2" s="71" t="s">
        <v>215</v>
      </c>
    </row>
    <row r="3" spans="1:30" s="106" customFormat="1" ht="15.75" thickBot="1" x14ac:dyDescent="0.3">
      <c r="A3" s="107"/>
      <c r="B3" s="107"/>
      <c r="C3" s="107"/>
      <c r="D3" s="107"/>
      <c r="E3" s="104" t="s">
        <v>359</v>
      </c>
      <c r="F3" s="90">
        <v>10</v>
      </c>
      <c r="G3" s="47"/>
      <c r="I3" s="45"/>
      <c r="L3" s="46"/>
      <c r="M3" s="47"/>
      <c r="N3" s="47"/>
      <c r="O3" s="47"/>
      <c r="P3" s="47"/>
      <c r="Q3" s="47"/>
      <c r="R3" s="47"/>
      <c r="S3" s="47"/>
      <c r="T3" s="47"/>
      <c r="W3" s="48"/>
      <c r="Z3" s="49"/>
    </row>
    <row r="4" spans="1:30" s="106" customFormat="1" ht="15.75" thickBot="1" x14ac:dyDescent="0.3">
      <c r="A4" s="107" t="s">
        <v>429</v>
      </c>
      <c r="B4" s="107"/>
      <c r="C4" s="107"/>
      <c r="D4" s="107"/>
      <c r="E4" s="104" t="s">
        <v>362</v>
      </c>
      <c r="F4" s="50">
        <f>F3/F2</f>
        <v>1</v>
      </c>
      <c r="G4" s="51" t="s">
        <v>427</v>
      </c>
      <c r="I4" s="45"/>
      <c r="L4" s="46"/>
      <c r="M4" s="47"/>
      <c r="N4" s="47"/>
      <c r="O4" s="47"/>
      <c r="P4" s="47"/>
      <c r="Q4" s="47"/>
      <c r="R4" s="47"/>
      <c r="S4" s="47"/>
      <c r="T4" s="47"/>
      <c r="W4" s="48"/>
      <c r="Z4" s="49"/>
    </row>
    <row r="5" spans="1:30" s="106" customFormat="1" ht="15.75" thickBot="1" x14ac:dyDescent="0.3">
      <c r="A5" s="103" t="s">
        <v>21</v>
      </c>
      <c r="B5" s="52">
        <f t="shared" ref="B5" si="0">Q5</f>
        <v>0.25</v>
      </c>
      <c r="C5" s="39" t="str">
        <f t="shared" ref="C5" si="1">IF(L5="","",L5)</f>
        <v/>
      </c>
      <c r="D5" s="103" t="str">
        <f t="shared" ref="D5" si="2">_xlfn.CONCAT(K5, U5)</f>
        <v>large tins fruit</v>
      </c>
      <c r="E5" s="104" t="s">
        <v>338</v>
      </c>
      <c r="F5" s="106">
        <f>totalBrCount + totalSbrCount</f>
        <v>77</v>
      </c>
      <c r="I5" s="54">
        <v>0.25</v>
      </c>
      <c r="J5" s="55"/>
      <c r="K5" s="55" t="s">
        <v>430</v>
      </c>
      <c r="L5" s="56"/>
      <c r="M5" s="47">
        <f t="shared" ref="M5" si="3">INDEX(itemGPerQty, MATCH(K5, itemNames, 0))</f>
        <v>0</v>
      </c>
      <c r="N5" s="47">
        <f t="shared" ref="N5" si="4">INDEX(itemMlPerQty, MATCH(K5, itemNames, 0))</f>
        <v>0</v>
      </c>
      <c r="O5" s="47">
        <f t="shared" ref="O5" si="5">IF(J5 = "", I5 * M5, IF(ISNA(CONVERT(I5, J5, "kg")), CONVERT(I5, J5, "l") * IF(N5 &lt;&gt; 0, M5 / N5, 0), CONVERT(I5, J5, "kg")))</f>
        <v>0</v>
      </c>
      <c r="P5" s="47">
        <f t="shared" ref="P5" si="6">IF(J5 = "", I5 * N5, IF(ISNA(CONVERT(I5, J5, "l")), CONVERT(I5, J5, "kg") * IF(M5 &lt;&gt; 0, N5 / M5, 0), CONVERT(I5, J5, "l")))</f>
        <v>0</v>
      </c>
      <c r="Q5" s="47">
        <f>MROUND(IF(AND(J5 = "", L5 = ""), I5 * recipe15DayScale, IF(ISNA(CONVERT(O5, "kg", L5)), CONVERT(P5 * recipe15DayScale, "l", L5), CONVERT(O5 * recipe15DayScale, "kg", L5))), roundTo)</f>
        <v>0.25</v>
      </c>
      <c r="R5" s="47">
        <f>recipe15TotScale * IF(L5 = "", Q5 * M5, IF(ISNA(CONVERT(Q5, L5, "kg")), CONVERT(Q5, L5, "l") * IF(N5 &lt;&gt; 0, M5 / N5, 0), CONVERT(Q5, L5, "kg")))</f>
        <v>0</v>
      </c>
      <c r="S5" s="47">
        <f>recipe15TotScale * IF(R5 = 0, IF(L5 = "", Q5 * N5, IF(ISNA(CONVERT(Q5, L5, "l")), CONVERT(Q5, L5, "kg") * IF(M5 &lt;&gt; 0, N5 / M5, 0), CONVERT(Q5, L5, "l"))), 0)</f>
        <v>0</v>
      </c>
      <c r="T5" s="47">
        <f>recipe15TotScale * IF(AND(R5 = 0, S5 = 0, J5 = "", L5 = ""), Q5, 0)</f>
        <v>1.925</v>
      </c>
      <c r="V5" s="106" t="b">
        <f t="shared" ref="V5" si="7">INDEX(itemPrepMethods, MATCH(K5, itemNames, 0))="chop"</f>
        <v>0</v>
      </c>
      <c r="W5" s="57" t="str">
        <f t="shared" ref="W5" si="8">IF(V5, Q5, "")</f>
        <v/>
      </c>
      <c r="X5" s="58" t="str">
        <f t="shared" ref="X5" si="9">IF(V5, IF(L5 = "", "", L5), "")</f>
        <v/>
      </c>
      <c r="Y5" s="58" t="str">
        <f t="shared" ref="Y5" si="10">IF(V5, K5, "")</f>
        <v/>
      </c>
      <c r="Z5" s="59"/>
      <c r="AA5" s="106" t="b">
        <f t="shared" ref="AA5" si="11">INDEX(itemPrepMethods, MATCH(K5, itemNames, 0))="soak"</f>
        <v>0</v>
      </c>
      <c r="AB5" s="58" t="str">
        <f t="shared" ref="AB5" si="12">IF(AA5, Q5, "")</f>
        <v/>
      </c>
      <c r="AC5" s="58" t="str">
        <f t="shared" ref="AC5" si="13">IF(AA5, IF(L5 = "", "", L5), "")</f>
        <v/>
      </c>
      <c r="AD5" s="58" t="str">
        <f t="shared" ref="AD5" si="14">IF(AA5, K5, "")</f>
        <v/>
      </c>
    </row>
    <row r="6" spans="1:30" s="106" customFormat="1" ht="15.75" thickBot="1" x14ac:dyDescent="0.3">
      <c r="A6" s="103" t="s">
        <v>21</v>
      </c>
      <c r="B6" s="52">
        <f t="shared" ref="B6:B7" si="15">Q6</f>
        <v>2</v>
      </c>
      <c r="C6" s="39" t="str">
        <f t="shared" ref="C6:C7" si="16">IF(L6="","",L6)</f>
        <v/>
      </c>
      <c r="D6" s="103" t="str">
        <f t="shared" ref="D6:D7" si="17">_xlfn.CONCAT(K6, U6)</f>
        <v>chopped apples</v>
      </c>
      <c r="E6" s="104" t="s">
        <v>363</v>
      </c>
      <c r="F6" s="50">
        <f>F5/F3</f>
        <v>7.7</v>
      </c>
      <c r="G6" s="51" t="s">
        <v>428</v>
      </c>
      <c r="I6" s="54">
        <v>2</v>
      </c>
      <c r="J6" s="55"/>
      <c r="K6" s="55" t="s">
        <v>436</v>
      </c>
      <c r="L6" s="56"/>
      <c r="M6" s="47">
        <f t="shared" ref="M6:M7" si="18">INDEX(itemGPerQty, MATCH(K6, itemNames, 0))</f>
        <v>0</v>
      </c>
      <c r="N6" s="47">
        <f t="shared" ref="N6:N7" si="19">INDEX(itemMlPerQty, MATCH(K6, itemNames, 0))</f>
        <v>0</v>
      </c>
      <c r="O6" s="47">
        <f t="shared" ref="O6:O7" si="20">IF(J6 = "", I6 * M6, IF(ISNA(CONVERT(I6, J6, "kg")), CONVERT(I6, J6, "l") * IF(N6 &lt;&gt; 0, M6 / N6, 0), CONVERT(I6, J6, "kg")))</f>
        <v>0</v>
      </c>
      <c r="P6" s="47">
        <f t="shared" ref="P6:P7" si="21">IF(J6 = "", I6 * N6, IF(ISNA(CONVERT(I6, J6, "l")), CONVERT(I6, J6, "kg") * IF(M6 &lt;&gt; 0, N6 / M6, 0), CONVERT(I6, J6, "l")))</f>
        <v>0</v>
      </c>
      <c r="Q6" s="47">
        <f>MROUND(IF(AND(J6 = "", L6 = ""), I6 * recipe15DayScale, IF(ISNA(CONVERT(O6, "kg", L6)), CONVERT(P6 * recipe15DayScale, "l", L6), CONVERT(O6 * recipe15DayScale, "kg", L6))), roundTo)</f>
        <v>2</v>
      </c>
      <c r="R6" s="47">
        <f>recipe15TotScale * IF(L6 = "", Q6 * M6, IF(ISNA(CONVERT(Q6, L6, "kg")), CONVERT(Q6, L6, "l") * IF(N6 &lt;&gt; 0, M6 / N6, 0), CONVERT(Q6, L6, "kg")))</f>
        <v>0</v>
      </c>
      <c r="S6" s="47">
        <f>recipe15TotScale * IF(R6 = 0, IF(L6 = "", Q6 * N6, IF(ISNA(CONVERT(Q6, L6, "l")), CONVERT(Q6, L6, "kg") * IF(M6 &lt;&gt; 0, N6 / M6, 0), CONVERT(Q6, L6, "l"))), 0)</f>
        <v>0</v>
      </c>
      <c r="T6" s="47">
        <f>recipe15TotScale * IF(AND(R6 = 0, S6 = 0, J6 = "", L6 = ""), Q6, 0)</f>
        <v>15.4</v>
      </c>
      <c r="V6" s="106" t="b">
        <f t="shared" ref="V6:V7" si="22">INDEX(itemPrepMethods, MATCH(K6, itemNames, 0))="chop"</f>
        <v>1</v>
      </c>
      <c r="W6" s="57">
        <f t="shared" ref="W6:W7" si="23">IF(V6, Q6, "")</f>
        <v>2</v>
      </c>
      <c r="X6" s="58" t="str">
        <f t="shared" ref="X6:X7" si="24">IF(V6, IF(L6 = "", "", L6), "")</f>
        <v/>
      </c>
      <c r="Y6" s="58" t="str">
        <f t="shared" ref="Y6:Y7" si="25">IF(V6, K6, "")</f>
        <v>chopped apples</v>
      </c>
      <c r="Z6" s="59"/>
      <c r="AA6" s="106" t="b">
        <f t="shared" ref="AA6:AA7" si="26">INDEX(itemPrepMethods, MATCH(K6, itemNames, 0))="soak"</f>
        <v>0</v>
      </c>
      <c r="AB6" s="58" t="str">
        <f t="shared" ref="AB6:AB7" si="27">IF(AA6, Q6, "")</f>
        <v/>
      </c>
      <c r="AC6" s="58" t="str">
        <f t="shared" ref="AC6:AC7" si="28">IF(AA6, IF(L6 = "", "", L6), "")</f>
        <v/>
      </c>
      <c r="AD6" s="58" t="str">
        <f t="shared" ref="AD6:AD7" si="29">IF(AA6, K6, "")</f>
        <v/>
      </c>
    </row>
    <row r="7" spans="1:30" s="106" customFormat="1" x14ac:dyDescent="0.25">
      <c r="A7" s="103" t="s">
        <v>21</v>
      </c>
      <c r="B7" s="52">
        <f t="shared" si="15"/>
        <v>2</v>
      </c>
      <c r="C7" s="39" t="str">
        <f t="shared" si="16"/>
        <v/>
      </c>
      <c r="D7" s="103" t="str">
        <f t="shared" si="17"/>
        <v>sliced bananas</v>
      </c>
      <c r="I7" s="54">
        <v>2</v>
      </c>
      <c r="J7" s="55"/>
      <c r="K7" s="55" t="s">
        <v>437</v>
      </c>
      <c r="L7" s="56"/>
      <c r="M7" s="47">
        <f t="shared" si="18"/>
        <v>0</v>
      </c>
      <c r="N7" s="47">
        <f t="shared" si="19"/>
        <v>0</v>
      </c>
      <c r="O7" s="47">
        <f t="shared" si="20"/>
        <v>0</v>
      </c>
      <c r="P7" s="47">
        <f t="shared" si="21"/>
        <v>0</v>
      </c>
      <c r="Q7" s="47">
        <f>MROUND(IF(AND(J7 = "", L7 = ""), I7 * recipe15DayScale, IF(ISNA(CONVERT(O7, "kg", L7)), CONVERT(P7 * recipe15DayScale, "l", L7), CONVERT(O7 * recipe15DayScale, "kg", L7))), roundTo)</f>
        <v>2</v>
      </c>
      <c r="R7" s="47">
        <f>recipe15TotScale * IF(L7 = "", Q7 * M7, IF(ISNA(CONVERT(Q7, L7, "kg")), CONVERT(Q7, L7, "l") * IF(N7 &lt;&gt; 0, M7 / N7, 0), CONVERT(Q7, L7, "kg")))</f>
        <v>0</v>
      </c>
      <c r="S7" s="47">
        <f>recipe15TotScale * IF(R7 = 0, IF(L7 = "", Q7 * N7, IF(ISNA(CONVERT(Q7, L7, "l")), CONVERT(Q7, L7, "kg") * IF(M7 &lt;&gt; 0, N7 / M7, 0), CONVERT(Q7, L7, "l"))), 0)</f>
        <v>0</v>
      </c>
      <c r="T7" s="47">
        <f>recipe15TotScale * IF(AND(R7 = 0, S7 = 0, J7 = "", L7 = ""), Q7, 0)</f>
        <v>15.4</v>
      </c>
      <c r="V7" s="106" t="b">
        <f t="shared" si="22"/>
        <v>1</v>
      </c>
      <c r="W7" s="57">
        <f t="shared" si="23"/>
        <v>2</v>
      </c>
      <c r="X7" s="58" t="str">
        <f t="shared" si="24"/>
        <v/>
      </c>
      <c r="Y7" s="58" t="str">
        <f t="shared" si="25"/>
        <v>sliced bananas</v>
      </c>
      <c r="Z7" s="59"/>
      <c r="AA7" s="106" t="b">
        <f t="shared" si="26"/>
        <v>0</v>
      </c>
      <c r="AB7" s="58" t="str">
        <f t="shared" si="27"/>
        <v/>
      </c>
      <c r="AC7" s="58" t="str">
        <f t="shared" si="28"/>
        <v/>
      </c>
      <c r="AD7" s="58" t="str">
        <f t="shared" si="29"/>
        <v/>
      </c>
    </row>
    <row r="8" spans="1:30" s="106" customFormat="1" x14ac:dyDescent="0.25">
      <c r="A8" s="103" t="s">
        <v>21</v>
      </c>
      <c r="B8" s="52">
        <f t="shared" ref="B8:B9" si="30">Q8</f>
        <v>2</v>
      </c>
      <c r="C8" s="39" t="str">
        <f t="shared" ref="C8:C10" si="31">IF(L8="","",L8)</f>
        <v/>
      </c>
      <c r="D8" s="103" t="str">
        <f t="shared" ref="D8:D10" si="32">_xlfn.CONCAT(K8, U8)</f>
        <v>chopped pears</v>
      </c>
      <c r="I8" s="54">
        <v>2</v>
      </c>
      <c r="J8" s="55"/>
      <c r="K8" s="55" t="s">
        <v>438</v>
      </c>
      <c r="L8" s="56"/>
      <c r="M8" s="47">
        <f t="shared" ref="M8:M9" si="33">INDEX(itemGPerQty, MATCH(K8, itemNames, 0))</f>
        <v>0</v>
      </c>
      <c r="N8" s="47">
        <f t="shared" ref="N8:N9" si="34">INDEX(itemMlPerQty, MATCH(K8, itemNames, 0))</f>
        <v>0</v>
      </c>
      <c r="O8" s="47">
        <f t="shared" ref="O8:O9" si="35">IF(J8 = "", I8 * M8, IF(ISNA(CONVERT(I8, J8, "kg")), CONVERT(I8, J8, "l") * IF(N8 &lt;&gt; 0, M8 / N8, 0), CONVERT(I8, J8, "kg")))</f>
        <v>0</v>
      </c>
      <c r="P8" s="47">
        <f t="shared" ref="P8:P9" si="36">IF(J8 = "", I8 * N8, IF(ISNA(CONVERT(I8, J8, "l")), CONVERT(I8, J8, "kg") * IF(M8 &lt;&gt; 0, N8 / M8, 0), CONVERT(I8, J8, "l")))</f>
        <v>0</v>
      </c>
      <c r="Q8" s="47">
        <f>MROUND(IF(AND(J8 = "", L8 = ""), I8 * recipe15DayScale, IF(ISNA(CONVERT(O8, "kg", L8)), CONVERT(P8 * recipe15DayScale, "l", L8), CONVERT(O8 * recipe15DayScale, "kg", L8))), roundTo)</f>
        <v>2</v>
      </c>
      <c r="R8" s="47">
        <f>recipe15TotScale * IF(L8 = "", Q8 * M8, IF(ISNA(CONVERT(Q8, L8, "kg")), CONVERT(Q8, L8, "l") * IF(N8 &lt;&gt; 0, M8 / N8, 0), CONVERT(Q8, L8, "kg")))</f>
        <v>0</v>
      </c>
      <c r="S8" s="47">
        <f>recipe15TotScale * IF(R8 = 0, IF(L8 = "", Q8 * N8, IF(ISNA(CONVERT(Q8, L8, "l")), CONVERT(Q8, L8, "kg") * IF(M8 &lt;&gt; 0, N8 / M8, 0), CONVERT(Q8, L8, "l"))), 0)</f>
        <v>0</v>
      </c>
      <c r="T8" s="47">
        <f>recipe15TotScale * IF(AND(R8 = 0, S8 = 0, J8 = "", L8 = ""), Q8, 0)</f>
        <v>15.4</v>
      </c>
      <c r="V8" s="106" t="b">
        <f t="shared" ref="V8:V10" si="37">INDEX(itemPrepMethods, MATCH(K8, itemNames, 0))="chop"</f>
        <v>1</v>
      </c>
      <c r="W8" s="57">
        <f t="shared" ref="W8:W10" si="38">IF(V8, Q8, "")</f>
        <v>2</v>
      </c>
      <c r="X8" s="58" t="str">
        <f t="shared" ref="X8:X10" si="39">IF(V8, IF(L8 = "", "", L8), "")</f>
        <v/>
      </c>
      <c r="Y8" s="58" t="str">
        <f t="shared" ref="Y8:Y10" si="40">IF(V8, K8, "")</f>
        <v>chopped pears</v>
      </c>
      <c r="Z8" s="59"/>
      <c r="AA8" s="106" t="b">
        <f t="shared" ref="AA8:AA10" si="41">INDEX(itemPrepMethods, MATCH(K8, itemNames, 0))="soak"</f>
        <v>0</v>
      </c>
      <c r="AB8" s="58" t="str">
        <f t="shared" ref="AB8:AB10" si="42">IF(AA8, Q8, "")</f>
        <v/>
      </c>
      <c r="AC8" s="58" t="str">
        <f t="shared" ref="AC8:AC10" si="43">IF(AA8, IF(L8 = "", "", L8), "")</f>
        <v/>
      </c>
      <c r="AD8" s="58" t="str">
        <f t="shared" ref="AD8:AD10" si="44">IF(AA8, K8, "")</f>
        <v/>
      </c>
    </row>
    <row r="9" spans="1:30" s="106" customFormat="1" x14ac:dyDescent="0.25">
      <c r="A9" s="103" t="s">
        <v>21</v>
      </c>
      <c r="B9" s="52">
        <f t="shared" si="30"/>
        <v>2</v>
      </c>
      <c r="C9" s="39" t="str">
        <f t="shared" si="31"/>
        <v/>
      </c>
      <c r="D9" s="103" t="str">
        <f t="shared" si="32"/>
        <v>chopped peeled oranges</v>
      </c>
      <c r="I9" s="54">
        <v>2</v>
      </c>
      <c r="J9" s="55"/>
      <c r="K9" s="55" t="s">
        <v>439</v>
      </c>
      <c r="L9" s="56"/>
      <c r="M9" s="47">
        <f t="shared" si="33"/>
        <v>0</v>
      </c>
      <c r="N9" s="47">
        <f t="shared" si="34"/>
        <v>0</v>
      </c>
      <c r="O9" s="47">
        <f t="shared" si="35"/>
        <v>0</v>
      </c>
      <c r="P9" s="47">
        <f t="shared" si="36"/>
        <v>0</v>
      </c>
      <c r="Q9" s="47">
        <f>MROUND(IF(AND(J9 = "", L9 = ""), I9 * recipe15DayScale, IF(ISNA(CONVERT(O9, "kg", L9)), CONVERT(P9 * recipe15DayScale, "l", L9), CONVERT(O9 * recipe15DayScale, "kg", L9))), roundTo)</f>
        <v>2</v>
      </c>
      <c r="R9" s="47">
        <f>recipe15TotScale * IF(L9 = "", Q9 * M9, IF(ISNA(CONVERT(Q9, L9, "kg")), CONVERT(Q9, L9, "l") * IF(N9 &lt;&gt; 0, M9 / N9, 0), CONVERT(Q9, L9, "kg")))</f>
        <v>0</v>
      </c>
      <c r="S9" s="47">
        <f>recipe15TotScale * IF(R9 = 0, IF(L9 = "", Q9 * N9, IF(ISNA(CONVERT(Q9, L9, "l")), CONVERT(Q9, L9, "kg") * IF(M9 &lt;&gt; 0, N9 / M9, 0), CONVERT(Q9, L9, "l"))), 0)</f>
        <v>0</v>
      </c>
      <c r="T9" s="47">
        <f>recipe15TotScale * IF(AND(R9 = 0, S9 = 0, J9 = "", L9 = ""), Q9, 0)</f>
        <v>15.4</v>
      </c>
      <c r="V9" s="106" t="b">
        <f t="shared" si="37"/>
        <v>1</v>
      </c>
      <c r="W9" s="57">
        <f t="shared" si="38"/>
        <v>2</v>
      </c>
      <c r="X9" s="58" t="str">
        <f t="shared" si="39"/>
        <v/>
      </c>
      <c r="Y9" s="58" t="str">
        <f t="shared" si="40"/>
        <v>chopped peeled oranges</v>
      </c>
      <c r="Z9" s="59"/>
      <c r="AA9" s="106" t="b">
        <f t="shared" si="41"/>
        <v>0</v>
      </c>
      <c r="AB9" s="58" t="str">
        <f t="shared" si="42"/>
        <v/>
      </c>
      <c r="AC9" s="58" t="str">
        <f t="shared" si="43"/>
        <v/>
      </c>
      <c r="AD9" s="58" t="str">
        <f t="shared" si="44"/>
        <v/>
      </c>
    </row>
    <row r="10" spans="1:30" s="106" customFormat="1" x14ac:dyDescent="0.25">
      <c r="A10" s="103" t="s">
        <v>21</v>
      </c>
      <c r="B10" s="52"/>
      <c r="C10" s="39" t="str">
        <f t="shared" si="31"/>
        <v/>
      </c>
      <c r="D10" s="103" t="str">
        <f t="shared" si="32"/>
        <v>grapes, if available</v>
      </c>
      <c r="K10" s="55" t="s">
        <v>441</v>
      </c>
      <c r="R10" s="47"/>
      <c r="S10" s="47"/>
      <c r="U10" s="106" t="s">
        <v>238</v>
      </c>
      <c r="V10" s="106" t="b">
        <f t="shared" si="37"/>
        <v>0</v>
      </c>
      <c r="W10" s="57" t="str">
        <f t="shared" si="38"/>
        <v/>
      </c>
      <c r="X10" s="58" t="str">
        <f t="shared" si="39"/>
        <v/>
      </c>
      <c r="Y10" s="58" t="str">
        <f t="shared" si="40"/>
        <v/>
      </c>
      <c r="Z10" s="59"/>
      <c r="AA10" s="106" t="b">
        <f t="shared" si="41"/>
        <v>0</v>
      </c>
      <c r="AB10" s="58" t="str">
        <f t="shared" si="42"/>
        <v/>
      </c>
      <c r="AC10" s="58" t="str">
        <f t="shared" si="43"/>
        <v/>
      </c>
      <c r="AD10" s="58" t="str">
        <f t="shared" si="44"/>
        <v/>
      </c>
    </row>
    <row r="11" spans="1:30" s="106" customFormat="1" x14ac:dyDescent="0.25">
      <c r="A11" s="107"/>
      <c r="B11" s="107"/>
      <c r="C11" s="107"/>
      <c r="D11" s="107"/>
      <c r="I11" s="45"/>
      <c r="L11" s="46"/>
      <c r="M11" s="47"/>
      <c r="N11" s="47"/>
      <c r="O11" s="47"/>
      <c r="P11" s="47"/>
      <c r="Q11" s="47"/>
      <c r="R11" s="47"/>
      <c r="S11" s="47"/>
      <c r="T11" s="47"/>
      <c r="W11" s="48"/>
      <c r="Z11" s="49"/>
    </row>
    <row r="12" spans="1:30" s="106" customFormat="1" x14ac:dyDescent="0.25">
      <c r="A12" s="107" t="s">
        <v>442</v>
      </c>
      <c r="B12" s="107"/>
      <c r="C12" s="107"/>
      <c r="D12" s="107"/>
      <c r="I12" s="45"/>
      <c r="L12" s="46"/>
      <c r="M12" s="47"/>
      <c r="N12" s="47"/>
      <c r="O12" s="47"/>
      <c r="P12" s="47"/>
      <c r="Q12" s="47"/>
      <c r="R12" s="47"/>
      <c r="S12" s="47"/>
      <c r="T12" s="47"/>
      <c r="W12" s="48"/>
      <c r="Z12" s="49"/>
    </row>
    <row r="13" spans="1:30" s="67" customFormat="1" ht="15.75" x14ac:dyDescent="0.25">
      <c r="A13" s="108" t="s">
        <v>443</v>
      </c>
      <c r="B13" s="108"/>
      <c r="C13" s="108"/>
      <c r="D13" s="108"/>
      <c r="E13" s="43" t="s">
        <v>314</v>
      </c>
      <c r="F13" s="104" t="s">
        <v>454</v>
      </c>
      <c r="G13" s="104"/>
      <c r="I13" s="45"/>
      <c r="L13" s="46"/>
      <c r="M13" s="47"/>
      <c r="N13" s="47"/>
      <c r="O13" s="47"/>
      <c r="P13" s="47"/>
      <c r="Q13" s="47"/>
      <c r="R13" s="47"/>
      <c r="S13" s="47"/>
      <c r="T13" s="47"/>
      <c r="W13" s="48"/>
      <c r="Z13" s="49"/>
    </row>
    <row r="14" spans="1:30" s="67" customFormat="1" ht="24" x14ac:dyDescent="0.2">
      <c r="A14" s="108" t="s">
        <v>444</v>
      </c>
      <c r="B14" s="108"/>
      <c r="C14" s="108"/>
      <c r="D14" s="108"/>
      <c r="E14" s="66" t="s">
        <v>56</v>
      </c>
      <c r="F14" s="90">
        <v>10</v>
      </c>
      <c r="G14" s="47"/>
      <c r="I14" s="70" t="s">
        <v>448</v>
      </c>
      <c r="J14" s="71" t="s">
        <v>449</v>
      </c>
      <c r="K14" s="71" t="s">
        <v>17</v>
      </c>
      <c r="L14" s="72" t="s">
        <v>452</v>
      </c>
      <c r="M14" s="70" t="s">
        <v>148</v>
      </c>
      <c r="N14" s="70" t="s">
        <v>149</v>
      </c>
      <c r="O14" s="70" t="s">
        <v>450</v>
      </c>
      <c r="P14" s="70" t="s">
        <v>451</v>
      </c>
      <c r="Q14" s="71" t="s">
        <v>364</v>
      </c>
      <c r="R14" s="70" t="s">
        <v>365</v>
      </c>
      <c r="S14" s="70" t="s">
        <v>366</v>
      </c>
      <c r="T14" s="70" t="s">
        <v>367</v>
      </c>
      <c r="U14" s="71" t="s">
        <v>22</v>
      </c>
      <c r="V14" s="71" t="s">
        <v>212</v>
      </c>
      <c r="W14" s="73" t="s">
        <v>364</v>
      </c>
      <c r="X14" s="71" t="s">
        <v>210</v>
      </c>
      <c r="Y14" s="71" t="s">
        <v>211</v>
      </c>
      <c r="Z14" s="71" t="s">
        <v>313</v>
      </c>
      <c r="AA14" s="71" t="s">
        <v>213</v>
      </c>
      <c r="AB14" s="73" t="s">
        <v>364</v>
      </c>
      <c r="AC14" s="71" t="s">
        <v>214</v>
      </c>
      <c r="AD14" s="71" t="s">
        <v>215</v>
      </c>
    </row>
    <row r="15" spans="1:30" s="67" customFormat="1" ht="15.75" thickBot="1" x14ac:dyDescent="0.3">
      <c r="A15" s="107"/>
      <c r="B15" s="107"/>
      <c r="C15" s="107"/>
      <c r="D15" s="107"/>
      <c r="E15" s="66" t="s">
        <v>359</v>
      </c>
      <c r="F15" s="90">
        <v>10</v>
      </c>
      <c r="G15" s="47"/>
      <c r="I15" s="47"/>
      <c r="L15" s="46"/>
      <c r="M15" s="47"/>
      <c r="N15" s="47"/>
      <c r="O15" s="47"/>
      <c r="P15" s="47"/>
      <c r="Q15" s="47"/>
      <c r="R15" s="47"/>
      <c r="S15" s="47"/>
      <c r="T15" s="47"/>
      <c r="W15" s="48"/>
      <c r="Z15" s="49"/>
    </row>
    <row r="16" spans="1:30" s="67" customFormat="1" ht="15.75" thickBot="1" x14ac:dyDescent="0.3">
      <c r="A16" s="107" t="s">
        <v>323</v>
      </c>
      <c r="B16" s="107"/>
      <c r="C16" s="107"/>
      <c r="D16" s="107"/>
      <c r="E16" s="66" t="s">
        <v>362</v>
      </c>
      <c r="F16" s="50">
        <f>F15/F14</f>
        <v>1</v>
      </c>
      <c r="G16" s="51" t="s">
        <v>360</v>
      </c>
      <c r="I16" s="47"/>
      <c r="L16" s="46"/>
      <c r="M16" s="47"/>
      <c r="N16" s="47"/>
      <c r="O16" s="47"/>
      <c r="P16" s="47"/>
      <c r="Q16" s="47"/>
      <c r="R16" s="47"/>
      <c r="S16" s="47"/>
      <c r="T16" s="47"/>
      <c r="W16" s="48"/>
      <c r="Z16" s="49"/>
    </row>
    <row r="17" spans="1:30" s="67" customFormat="1" ht="15.75" thickBot="1" x14ac:dyDescent="0.3">
      <c r="A17" s="65" t="s">
        <v>21</v>
      </c>
      <c r="B17" s="52">
        <f t="shared" ref="B17:B24" si="45">Q17</f>
        <v>0.5</v>
      </c>
      <c r="C17" s="39" t="str">
        <f t="shared" ref="C17:C24" si="46">IF(L17="","",L17)</f>
        <v/>
      </c>
      <c r="D17" s="65" t="str">
        <f t="shared" ref="D17:D24" si="47">_xlfn.CONCAT(K17, U17)</f>
        <v>sliced cucumbers</v>
      </c>
      <c r="E17" s="66" t="s">
        <v>338</v>
      </c>
      <c r="F17" s="67">
        <f>totalLuCount + totalSluCount</f>
        <v>66</v>
      </c>
      <c r="H17" s="53"/>
      <c r="I17" s="54">
        <v>0.5</v>
      </c>
      <c r="J17" s="55"/>
      <c r="K17" s="55" t="s">
        <v>317</v>
      </c>
      <c r="L17" s="56"/>
      <c r="M17" s="47">
        <f t="shared" ref="M17:M24" si="48">INDEX(itemGPerQty, MATCH(K17, itemNames, 0))</f>
        <v>0.30599999999999999</v>
      </c>
      <c r="N17" s="47">
        <f t="shared" ref="N17:N24" si="49">INDEX(itemMlPerQty, MATCH(K17, itemNames, 0))</f>
        <v>0</v>
      </c>
      <c r="O17" s="47">
        <f t="shared" ref="O17:O24" si="50">IF(J17 = "", I17 * M17, IF(ISNA(CONVERT(I17, J17, "kg")), CONVERT(I17, J17, "l") * IF(N17 &lt;&gt; 0, M17 / N17, 0), CONVERT(I17, J17, "kg")))</f>
        <v>0.153</v>
      </c>
      <c r="P17" s="47">
        <f t="shared" ref="P17:P24" si="51">IF(J17 = "", I17 * N17, IF(ISNA(CONVERT(I17, J17, "l")), CONVERT(I17, J17, "kg") * IF(M17 &lt;&gt; 0, N17 / M17, 0), CONVERT(I17, J17, "l")))</f>
        <v>0</v>
      </c>
      <c r="Q17" s="47">
        <f t="shared" ref="Q17:Q24" si="52">MROUND(IF(AND(J17 = "", L17 = ""), I17 * recipe14DayScale, IF(ISNA(CONVERT(O17, "kg", L17)), CONVERT(P17 * recipe14DayScale, "l", L17), CONVERT(O17 * recipe14DayScale, "kg", L17))), roundTo)</f>
        <v>0.5</v>
      </c>
      <c r="R17" s="47">
        <f t="shared" ref="R17:R24" si="53">recipe14TotScale * IF(L17 = "", Q17 * M17, IF(ISNA(CONVERT(Q17, L17, "kg")), CONVERT(Q17, L17, "l") * IF(N17 &lt;&gt; 0, M17 / N17, 0), CONVERT(Q17, L17, "kg")))</f>
        <v>1.0098</v>
      </c>
      <c r="S17" s="47">
        <f t="shared" ref="S17:S24" si="54">recipe14TotScale * IF(R17 = 0, IF(L17 = "", Q17 * N17, IF(ISNA(CONVERT(Q17, L17, "l")), CONVERT(Q17, L17, "kg") * IF(M17 &lt;&gt; 0, N17 / M17, 0), CONVERT(Q17, L17, "l"))), 0)</f>
        <v>0</v>
      </c>
      <c r="T17" s="47">
        <f t="shared" ref="T17:T24" si="55">recipe14TotScale * IF(AND(R17 = 0, S17 = 0, J17 = "", L17 = ""), Q17, 0)</f>
        <v>0</v>
      </c>
      <c r="V17" s="67" t="b">
        <f t="shared" ref="V17:V24" si="56">INDEX(itemPrepMethods, MATCH(K17, itemNames, 0))="chop"</f>
        <v>1</v>
      </c>
      <c r="W17" s="57">
        <f t="shared" ref="W17:W24" si="57">IF(V17, Q17, "")</f>
        <v>0.5</v>
      </c>
      <c r="X17" s="58" t="str">
        <f t="shared" ref="X17:X24" si="58">IF(V17, IF(L17 = "", "", L17), "")</f>
        <v/>
      </c>
      <c r="Y17" s="58" t="str">
        <f t="shared" ref="Y17:Y24" si="59">IF(V17, K17, "")</f>
        <v>sliced cucumbers</v>
      </c>
      <c r="Z17" s="59"/>
      <c r="AA17" s="67" t="b">
        <f t="shared" ref="AA17:AA24" si="60">INDEX(itemPrepMethods, MATCH(K17, itemNames, 0))="soak"</f>
        <v>0</v>
      </c>
      <c r="AB17" s="58" t="str">
        <f t="shared" ref="AB17:AB24" si="61">IF(AA17, Q17, "")</f>
        <v/>
      </c>
      <c r="AC17" s="58" t="str">
        <f t="shared" ref="AC17:AC24" si="62">IF(AA17, IF(L17 = "", "", L17), "")</f>
        <v/>
      </c>
      <c r="AD17" s="58" t="str">
        <f t="shared" ref="AD17:AD24" si="63">IF(AA17, K17, "")</f>
        <v/>
      </c>
    </row>
    <row r="18" spans="1:30" s="67" customFormat="1" ht="15.75" thickBot="1" x14ac:dyDescent="0.3">
      <c r="A18" s="65" t="s">
        <v>21</v>
      </c>
      <c r="B18" s="52">
        <f t="shared" si="45"/>
        <v>0.5</v>
      </c>
      <c r="C18" s="39" t="str">
        <f t="shared" si="46"/>
        <v/>
      </c>
      <c r="D18" s="65" t="str">
        <f t="shared" si="47"/>
        <v>grated carrots</v>
      </c>
      <c r="E18" s="66" t="s">
        <v>363</v>
      </c>
      <c r="F18" s="50">
        <f>F17/F15</f>
        <v>6.6</v>
      </c>
      <c r="G18" s="51" t="s">
        <v>361</v>
      </c>
      <c r="H18" s="53"/>
      <c r="I18" s="54">
        <v>0.5</v>
      </c>
      <c r="J18" s="55"/>
      <c r="K18" s="55" t="s">
        <v>318</v>
      </c>
      <c r="L18" s="56"/>
      <c r="M18" s="47">
        <f t="shared" si="48"/>
        <v>0</v>
      </c>
      <c r="N18" s="47">
        <f t="shared" si="49"/>
        <v>0</v>
      </c>
      <c r="O18" s="47">
        <f t="shared" si="50"/>
        <v>0</v>
      </c>
      <c r="P18" s="47">
        <f t="shared" si="51"/>
        <v>0</v>
      </c>
      <c r="Q18" s="47">
        <f t="shared" si="52"/>
        <v>0.5</v>
      </c>
      <c r="R18" s="47">
        <f t="shared" si="53"/>
        <v>0</v>
      </c>
      <c r="S18" s="47">
        <f t="shared" si="54"/>
        <v>0</v>
      </c>
      <c r="T18" s="47">
        <f t="shared" si="55"/>
        <v>3.3</v>
      </c>
      <c r="V18" s="67" t="b">
        <f t="shared" si="56"/>
        <v>1</v>
      </c>
      <c r="W18" s="57">
        <f t="shared" si="57"/>
        <v>0.5</v>
      </c>
      <c r="X18" s="58" t="str">
        <f t="shared" si="58"/>
        <v/>
      </c>
      <c r="Y18" s="58" t="str">
        <f t="shared" si="59"/>
        <v>grated carrots</v>
      </c>
      <c r="Z18" s="59"/>
      <c r="AA18" s="67" t="b">
        <f t="shared" si="60"/>
        <v>0</v>
      </c>
      <c r="AB18" s="58" t="str">
        <f t="shared" si="61"/>
        <v/>
      </c>
      <c r="AC18" s="58" t="str">
        <f t="shared" si="62"/>
        <v/>
      </c>
      <c r="AD18" s="58" t="str">
        <f t="shared" si="63"/>
        <v/>
      </c>
    </row>
    <row r="19" spans="1:30" s="67" customFormat="1" x14ac:dyDescent="0.25">
      <c r="A19" s="65" t="s">
        <v>21</v>
      </c>
      <c r="B19" s="52">
        <f t="shared" si="45"/>
        <v>1.5</v>
      </c>
      <c r="C19" s="39" t="str">
        <f t="shared" si="46"/>
        <v/>
      </c>
      <c r="D19" s="65" t="str">
        <f t="shared" si="47"/>
        <v>sliced celery stalks</v>
      </c>
      <c r="H19" s="53"/>
      <c r="I19" s="54">
        <v>1.5</v>
      </c>
      <c r="J19" s="55"/>
      <c r="K19" s="55" t="s">
        <v>177</v>
      </c>
      <c r="L19" s="56"/>
      <c r="M19" s="47">
        <f t="shared" si="48"/>
        <v>0</v>
      </c>
      <c r="N19" s="47">
        <f t="shared" si="49"/>
        <v>0</v>
      </c>
      <c r="O19" s="47">
        <f t="shared" si="50"/>
        <v>0</v>
      </c>
      <c r="P19" s="47">
        <f t="shared" si="51"/>
        <v>0</v>
      </c>
      <c r="Q19" s="47">
        <f t="shared" si="52"/>
        <v>1.5</v>
      </c>
      <c r="R19" s="47">
        <f t="shared" si="53"/>
        <v>0</v>
      </c>
      <c r="S19" s="47">
        <f t="shared" si="54"/>
        <v>0</v>
      </c>
      <c r="T19" s="47">
        <f t="shared" si="55"/>
        <v>9.8999999999999986</v>
      </c>
      <c r="V19" s="67" t="b">
        <f t="shared" si="56"/>
        <v>1</v>
      </c>
      <c r="W19" s="57">
        <f t="shared" si="57"/>
        <v>1.5</v>
      </c>
      <c r="X19" s="58" t="str">
        <f t="shared" si="58"/>
        <v/>
      </c>
      <c r="Y19" s="58" t="str">
        <f t="shared" si="59"/>
        <v>sliced celery stalks</v>
      </c>
      <c r="Z19" s="59"/>
      <c r="AA19" s="67" t="b">
        <f t="shared" si="60"/>
        <v>0</v>
      </c>
      <c r="AB19" s="58" t="str">
        <f t="shared" si="61"/>
        <v/>
      </c>
      <c r="AC19" s="58" t="str">
        <f t="shared" si="62"/>
        <v/>
      </c>
      <c r="AD19" s="58" t="str">
        <f t="shared" si="63"/>
        <v/>
      </c>
    </row>
    <row r="20" spans="1:30" s="67" customFormat="1" x14ac:dyDescent="0.25">
      <c r="A20" s="65" t="s">
        <v>21</v>
      </c>
      <c r="B20" s="52">
        <f t="shared" si="45"/>
        <v>0.5</v>
      </c>
      <c r="C20" s="39" t="str">
        <f t="shared" si="46"/>
        <v/>
      </c>
      <c r="D20" s="65" t="str">
        <f t="shared" si="47"/>
        <v>sliced green capsicums</v>
      </c>
      <c r="H20" s="53"/>
      <c r="I20" s="54">
        <v>0.5</v>
      </c>
      <c r="J20" s="55"/>
      <c r="K20" s="55" t="s">
        <v>319</v>
      </c>
      <c r="L20" s="56"/>
      <c r="M20" s="47">
        <f t="shared" si="48"/>
        <v>0</v>
      </c>
      <c r="N20" s="47">
        <f t="shared" si="49"/>
        <v>0</v>
      </c>
      <c r="O20" s="47">
        <f t="shared" si="50"/>
        <v>0</v>
      </c>
      <c r="P20" s="47">
        <f t="shared" si="51"/>
        <v>0</v>
      </c>
      <c r="Q20" s="47">
        <f t="shared" si="52"/>
        <v>0.5</v>
      </c>
      <c r="R20" s="47">
        <f t="shared" si="53"/>
        <v>0</v>
      </c>
      <c r="S20" s="47">
        <f t="shared" si="54"/>
        <v>0</v>
      </c>
      <c r="T20" s="47">
        <f t="shared" si="55"/>
        <v>3.3</v>
      </c>
      <c r="V20" s="67" t="b">
        <f t="shared" si="56"/>
        <v>1</v>
      </c>
      <c r="W20" s="57">
        <f t="shared" si="57"/>
        <v>0.5</v>
      </c>
      <c r="X20" s="58" t="str">
        <f t="shared" si="58"/>
        <v/>
      </c>
      <c r="Y20" s="58" t="str">
        <f t="shared" si="59"/>
        <v>sliced green capsicums</v>
      </c>
      <c r="Z20" s="59"/>
      <c r="AA20" s="67" t="b">
        <f t="shared" si="60"/>
        <v>0</v>
      </c>
      <c r="AB20" s="58" t="str">
        <f t="shared" si="61"/>
        <v/>
      </c>
      <c r="AC20" s="58" t="str">
        <f t="shared" si="62"/>
        <v/>
      </c>
      <c r="AD20" s="58" t="str">
        <f t="shared" si="63"/>
        <v/>
      </c>
    </row>
    <row r="21" spans="1:30" s="67" customFormat="1" x14ac:dyDescent="0.25">
      <c r="A21" s="65" t="s">
        <v>21</v>
      </c>
      <c r="B21" s="52">
        <f t="shared" si="45"/>
        <v>1</v>
      </c>
      <c r="C21" s="39" t="str">
        <f t="shared" si="46"/>
        <v/>
      </c>
      <c r="D21" s="65" t="str">
        <f t="shared" si="47"/>
        <v>coarsely chopped lettuces</v>
      </c>
      <c r="H21" s="53"/>
      <c r="I21" s="54">
        <v>1</v>
      </c>
      <c r="J21" s="55"/>
      <c r="K21" s="55" t="s">
        <v>414</v>
      </c>
      <c r="L21" s="56"/>
      <c r="M21" s="47">
        <f t="shared" si="48"/>
        <v>0.84399999999999997</v>
      </c>
      <c r="N21" s="47">
        <f t="shared" si="49"/>
        <v>0</v>
      </c>
      <c r="O21" s="47">
        <f t="shared" si="50"/>
        <v>0.84399999999999997</v>
      </c>
      <c r="P21" s="47">
        <f t="shared" si="51"/>
        <v>0</v>
      </c>
      <c r="Q21" s="47">
        <f t="shared" si="52"/>
        <v>1</v>
      </c>
      <c r="R21" s="47">
        <f t="shared" si="53"/>
        <v>5.5703999999999994</v>
      </c>
      <c r="S21" s="47">
        <f t="shared" si="54"/>
        <v>0</v>
      </c>
      <c r="T21" s="47">
        <f t="shared" si="55"/>
        <v>0</v>
      </c>
      <c r="V21" s="67" t="b">
        <f t="shared" si="56"/>
        <v>1</v>
      </c>
      <c r="W21" s="57">
        <f t="shared" si="57"/>
        <v>1</v>
      </c>
      <c r="X21" s="58" t="str">
        <f t="shared" si="58"/>
        <v/>
      </c>
      <c r="Y21" s="58" t="str">
        <f t="shared" si="59"/>
        <v>coarsely chopped lettuces</v>
      </c>
      <c r="Z21" s="59" t="s">
        <v>453</v>
      </c>
      <c r="AA21" s="67" t="b">
        <f t="shared" si="60"/>
        <v>0</v>
      </c>
      <c r="AB21" s="58" t="str">
        <f t="shared" si="61"/>
        <v/>
      </c>
      <c r="AC21" s="58" t="str">
        <f t="shared" si="62"/>
        <v/>
      </c>
      <c r="AD21" s="58" t="str">
        <f t="shared" si="63"/>
        <v/>
      </c>
    </row>
    <row r="22" spans="1:30" s="67" customFormat="1" x14ac:dyDescent="0.25">
      <c r="A22" s="65" t="s">
        <v>21</v>
      </c>
      <c r="B22" s="52"/>
      <c r="C22" s="39" t="str">
        <f t="shared" si="46"/>
        <v/>
      </c>
      <c r="D22" s="65" t="str">
        <f t="shared" si="47"/>
        <v>fresh sprouts</v>
      </c>
      <c r="H22" s="53"/>
      <c r="I22" s="45"/>
      <c r="J22" s="45"/>
      <c r="K22" s="55" t="s">
        <v>320</v>
      </c>
      <c r="L22" s="45"/>
      <c r="M22" s="45"/>
      <c r="N22" s="45"/>
      <c r="O22" s="45"/>
      <c r="P22" s="45"/>
      <c r="Q22" s="45"/>
      <c r="R22" s="45"/>
      <c r="S22" s="45"/>
      <c r="T22" s="45"/>
      <c r="V22" s="67" t="b">
        <f t="shared" si="56"/>
        <v>0</v>
      </c>
      <c r="W22" s="57" t="str">
        <f t="shared" si="57"/>
        <v/>
      </c>
      <c r="X22" s="58" t="str">
        <f t="shared" si="58"/>
        <v/>
      </c>
      <c r="Y22" s="58" t="str">
        <f t="shared" si="59"/>
        <v/>
      </c>
      <c r="Z22" s="59"/>
      <c r="AA22" s="67" t="b">
        <f t="shared" si="60"/>
        <v>0</v>
      </c>
      <c r="AB22" s="58" t="str">
        <f t="shared" si="61"/>
        <v/>
      </c>
      <c r="AC22" s="58" t="str">
        <f t="shared" si="62"/>
        <v/>
      </c>
      <c r="AD22" s="58" t="str">
        <f t="shared" si="63"/>
        <v/>
      </c>
    </row>
    <row r="23" spans="1:30" s="67" customFormat="1" x14ac:dyDescent="0.25">
      <c r="A23" s="65" t="s">
        <v>21</v>
      </c>
      <c r="B23" s="52"/>
      <c r="C23" s="39" t="str">
        <f t="shared" si="46"/>
        <v/>
      </c>
      <c r="D23" s="65" t="str">
        <f t="shared" si="47"/>
        <v>fresh herbs, if available</v>
      </c>
      <c r="H23" s="53"/>
      <c r="I23" s="45"/>
      <c r="J23" s="45"/>
      <c r="K23" s="55" t="s">
        <v>321</v>
      </c>
      <c r="L23" s="45"/>
      <c r="M23" s="45"/>
      <c r="N23" s="45"/>
      <c r="O23" s="45"/>
      <c r="P23" s="45"/>
      <c r="Q23" s="45"/>
      <c r="R23" s="45"/>
      <c r="S23" s="45"/>
      <c r="T23" s="45"/>
      <c r="U23" s="67" t="s">
        <v>238</v>
      </c>
      <c r="V23" s="67" t="b">
        <f t="shared" si="56"/>
        <v>0</v>
      </c>
      <c r="W23" s="57" t="str">
        <f t="shared" si="57"/>
        <v/>
      </c>
      <c r="X23" s="58" t="str">
        <f t="shared" si="58"/>
        <v/>
      </c>
      <c r="Y23" s="58" t="str">
        <f t="shared" si="59"/>
        <v/>
      </c>
      <c r="Z23" s="59"/>
      <c r="AA23" s="67" t="b">
        <f t="shared" si="60"/>
        <v>0</v>
      </c>
      <c r="AB23" s="58" t="str">
        <f t="shared" si="61"/>
        <v/>
      </c>
      <c r="AC23" s="58" t="str">
        <f t="shared" si="62"/>
        <v/>
      </c>
      <c r="AD23" s="58" t="str">
        <f t="shared" si="63"/>
        <v/>
      </c>
    </row>
    <row r="24" spans="1:30" s="67" customFormat="1" x14ac:dyDescent="0.25">
      <c r="A24" s="65" t="s">
        <v>21</v>
      </c>
      <c r="B24" s="52"/>
      <c r="C24" s="39" t="str">
        <f t="shared" si="46"/>
        <v/>
      </c>
      <c r="D24" s="65" t="str">
        <f t="shared" si="47"/>
        <v>sunflower seeds</v>
      </c>
      <c r="H24" s="53"/>
      <c r="I24" s="45"/>
      <c r="J24" s="45"/>
      <c r="K24" s="55" t="s">
        <v>322</v>
      </c>
      <c r="L24" s="45"/>
      <c r="M24" s="45"/>
      <c r="N24" s="45"/>
      <c r="O24" s="45"/>
      <c r="P24" s="45"/>
      <c r="Q24" s="45"/>
      <c r="R24" s="45"/>
      <c r="S24" s="45"/>
      <c r="T24" s="45"/>
      <c r="V24" s="67" t="b">
        <f t="shared" si="56"/>
        <v>0</v>
      </c>
      <c r="W24" s="57" t="str">
        <f t="shared" si="57"/>
        <v/>
      </c>
      <c r="X24" s="58" t="str">
        <f t="shared" si="58"/>
        <v/>
      </c>
      <c r="Y24" s="58" t="str">
        <f t="shared" si="59"/>
        <v/>
      </c>
      <c r="Z24" s="59"/>
      <c r="AA24" s="67" t="b">
        <f t="shared" si="60"/>
        <v>0</v>
      </c>
      <c r="AB24" s="58" t="str">
        <f t="shared" si="61"/>
        <v/>
      </c>
      <c r="AC24" s="58" t="str">
        <f t="shared" si="62"/>
        <v/>
      </c>
      <c r="AD24" s="58" t="str">
        <f t="shared" si="63"/>
        <v/>
      </c>
    </row>
    <row r="25" spans="1:30" s="69" customFormat="1" x14ac:dyDescent="0.25">
      <c r="A25" s="107"/>
      <c r="B25" s="107"/>
      <c r="C25" s="107"/>
      <c r="D25" s="107"/>
      <c r="I25" s="45"/>
      <c r="L25" s="46"/>
      <c r="M25" s="47"/>
      <c r="N25" s="47"/>
      <c r="O25" s="47"/>
      <c r="P25" s="47"/>
      <c r="Q25" s="47"/>
      <c r="R25" s="47"/>
      <c r="S25" s="47"/>
      <c r="T25" s="47"/>
      <c r="W25" s="74"/>
      <c r="X25" s="74"/>
      <c r="Y25" s="74"/>
      <c r="Z25" s="74"/>
      <c r="AB25" s="74"/>
      <c r="AC25" s="74"/>
      <c r="AD25" s="74"/>
    </row>
    <row r="26" spans="1:30" s="69" customFormat="1" x14ac:dyDescent="0.25">
      <c r="A26" s="107" t="s">
        <v>413</v>
      </c>
      <c r="B26" s="107"/>
      <c r="C26" s="107"/>
      <c r="D26" s="107"/>
      <c r="I26" s="45"/>
      <c r="L26" s="46"/>
      <c r="M26" s="47"/>
      <c r="N26" s="47"/>
      <c r="O26" s="47"/>
      <c r="P26" s="47"/>
      <c r="Q26" s="47"/>
      <c r="R26" s="47"/>
      <c r="S26" s="47"/>
      <c r="T26" s="47"/>
      <c r="W26" s="74"/>
      <c r="X26" s="74"/>
      <c r="Y26" s="74"/>
      <c r="Z26" s="74"/>
      <c r="AB26" s="74"/>
      <c r="AC26" s="74"/>
      <c r="AD26" s="74"/>
    </row>
    <row r="27" spans="1:30" s="67" customFormat="1" x14ac:dyDescent="0.25">
      <c r="A27" s="65" t="s">
        <v>21</v>
      </c>
      <c r="B27" s="52">
        <f>Q27</f>
        <v>2</v>
      </c>
      <c r="C27" s="39" t="str">
        <f>IF(L27="","",L27)</f>
        <v/>
      </c>
      <c r="D27" s="65" t="str">
        <f>_xlfn.CONCAT(K27, U27)</f>
        <v>chopped tomatoes</v>
      </c>
      <c r="H27" s="53"/>
      <c r="I27" s="54">
        <v>2</v>
      </c>
      <c r="J27" s="55"/>
      <c r="K27" s="55" t="s">
        <v>315</v>
      </c>
      <c r="L27" s="56"/>
      <c r="M27" s="47">
        <f>INDEX(itemGPerQty, MATCH(K27, itemNames, 0))</f>
        <v>0.13250000000000001</v>
      </c>
      <c r="N27" s="47">
        <f>INDEX(itemMlPerQty, MATCH(K27, itemNames, 0))</f>
        <v>0</v>
      </c>
      <c r="O27" s="47">
        <f>IF(J27 = "", I27 * M27, IF(ISNA(CONVERT(I27, J27, "kg")), CONVERT(I27, J27, "l") * IF(N27 &lt;&gt; 0, M27 / N27, 0), CONVERT(I27, J27, "kg")))</f>
        <v>0.26500000000000001</v>
      </c>
      <c r="P27" s="47">
        <f>IF(J27 = "", I27 * N27, IF(ISNA(CONVERT(I27, J27, "l")), CONVERT(I27, J27, "kg") * IF(M27 &lt;&gt; 0, N27 / M27, 0), CONVERT(I27, J27, "l")))</f>
        <v>0</v>
      </c>
      <c r="Q27" s="47">
        <f>MROUND(IF(AND(J27 = "", L27 = ""), I27 * recipe14DayScale, IF(ISNA(CONVERT(O27, "kg", L27)), CONVERT(P27 * recipe14DayScale, "l", L27), CONVERT(O27 * recipe14DayScale, "kg", L27))), roundTo)</f>
        <v>2</v>
      </c>
      <c r="R27" s="47">
        <f>recipe14TotScale * IF(L27 = "", Q27 * M27, IF(ISNA(CONVERT(Q27, L27, "kg")), CONVERT(Q27, L27, "l") * IF(N27 &lt;&gt; 0, M27 / N27, 0), CONVERT(Q27, L27, "kg")))</f>
        <v>1.7489999999999999</v>
      </c>
      <c r="S27" s="47">
        <f>recipe14TotScale * IF(R27 = 0, IF(L27 = "", Q27 * N27, IF(ISNA(CONVERT(Q27, L27, "l")), CONVERT(Q27, L27, "kg") * IF(M27 &lt;&gt; 0, N27 / M27, 0), CONVERT(Q27, L27, "l"))), 0)</f>
        <v>0</v>
      </c>
      <c r="T27" s="47">
        <f>recipe14TotScale * IF(AND(R27 = 0, S27 = 0, J27 = "", L27 = ""), Q27, 0)</f>
        <v>0</v>
      </c>
      <c r="V27" s="67" t="b">
        <f>INDEX(itemPrepMethods, MATCH(K27, itemNames, 0))="chop"</f>
        <v>1</v>
      </c>
      <c r="W27" s="57">
        <f>IF(V27, Q27, "")</f>
        <v>2</v>
      </c>
      <c r="X27" s="58" t="str">
        <f>IF(V27, IF(L27 = "", "", L27), "")</f>
        <v/>
      </c>
      <c r="Y27" s="58" t="str">
        <f>IF(V27, K27, "")</f>
        <v>chopped tomatoes</v>
      </c>
      <c r="Z27" s="59"/>
      <c r="AA27" s="67" t="b">
        <f>INDEX(itemPrepMethods, MATCH(K27, itemNames, 0))="soak"</f>
        <v>0</v>
      </c>
      <c r="AB27" s="58" t="str">
        <f>IF(AA27, Q27, "")</f>
        <v/>
      </c>
      <c r="AC27" s="58" t="str">
        <f>IF(AA27, IF(L27 = "", "", L27), "")</f>
        <v/>
      </c>
      <c r="AD27" s="58" t="str">
        <f>IF(AA27, K27, "")</f>
        <v/>
      </c>
    </row>
    <row r="28" spans="1:30" s="69" customFormat="1" x14ac:dyDescent="0.25">
      <c r="A28" s="107"/>
      <c r="B28" s="107"/>
      <c r="C28" s="107"/>
      <c r="D28" s="107"/>
      <c r="I28" s="45"/>
      <c r="L28" s="46"/>
      <c r="M28" s="47"/>
      <c r="N28" s="47"/>
      <c r="O28" s="47"/>
      <c r="P28" s="47"/>
      <c r="Q28" s="47"/>
      <c r="R28" s="47"/>
      <c r="S28" s="47"/>
      <c r="T28" s="47"/>
      <c r="W28" s="48"/>
      <c r="Z28" s="49"/>
    </row>
    <row r="29" spans="1:30" s="69" customFormat="1" x14ac:dyDescent="0.25">
      <c r="A29" s="107" t="s">
        <v>412</v>
      </c>
      <c r="B29" s="107"/>
      <c r="C29" s="107"/>
      <c r="D29" s="107"/>
      <c r="I29" s="45"/>
      <c r="L29" s="46"/>
      <c r="M29" s="47"/>
      <c r="N29" s="47"/>
      <c r="O29" s="47"/>
      <c r="P29" s="47"/>
      <c r="Q29" s="47"/>
      <c r="R29" s="47"/>
      <c r="S29" s="47"/>
      <c r="T29" s="47"/>
      <c r="W29" s="48"/>
      <c r="Z29" s="49"/>
    </row>
    <row r="30" spans="1:30" ht="15.75" x14ac:dyDescent="0.25">
      <c r="A30" s="108" t="s">
        <v>193</v>
      </c>
      <c r="B30" s="108"/>
      <c r="C30" s="108"/>
      <c r="D30" s="108"/>
      <c r="E30" s="43" t="s">
        <v>194</v>
      </c>
      <c r="F30" s="104"/>
      <c r="G30" s="104"/>
    </row>
    <row r="31" spans="1:30" ht="24" x14ac:dyDescent="0.2">
      <c r="A31" s="108" t="s">
        <v>396</v>
      </c>
      <c r="B31" s="108"/>
      <c r="C31" s="108"/>
      <c r="D31" s="108"/>
      <c r="E31" s="42" t="s">
        <v>56</v>
      </c>
      <c r="F31" s="90">
        <v>4</v>
      </c>
      <c r="G31" s="47"/>
      <c r="I31" s="70" t="s">
        <v>448</v>
      </c>
      <c r="J31" s="71" t="s">
        <v>449</v>
      </c>
      <c r="K31" s="71" t="s">
        <v>17</v>
      </c>
      <c r="L31" s="72" t="s">
        <v>452</v>
      </c>
      <c r="M31" s="70" t="s">
        <v>148</v>
      </c>
      <c r="N31" s="70" t="s">
        <v>149</v>
      </c>
      <c r="O31" s="70" t="s">
        <v>450</v>
      </c>
      <c r="P31" s="70" t="s">
        <v>451</v>
      </c>
      <c r="Q31" s="71" t="s">
        <v>364</v>
      </c>
      <c r="R31" s="70" t="s">
        <v>365</v>
      </c>
      <c r="S31" s="70" t="s">
        <v>366</v>
      </c>
      <c r="T31" s="70" t="s">
        <v>367</v>
      </c>
      <c r="U31" s="71" t="s">
        <v>22</v>
      </c>
      <c r="V31" s="71" t="s">
        <v>212</v>
      </c>
      <c r="W31" s="73" t="s">
        <v>364</v>
      </c>
      <c r="X31" s="71" t="s">
        <v>210</v>
      </c>
      <c r="Y31" s="71" t="s">
        <v>211</v>
      </c>
      <c r="Z31" s="71" t="s">
        <v>313</v>
      </c>
      <c r="AA31" s="71" t="s">
        <v>213</v>
      </c>
      <c r="AB31" s="73" t="s">
        <v>364</v>
      </c>
      <c r="AC31" s="71" t="s">
        <v>214</v>
      </c>
      <c r="AD31" s="71" t="s">
        <v>215</v>
      </c>
    </row>
    <row r="32" spans="1:30" ht="15.75" thickBot="1" x14ac:dyDescent="0.3">
      <c r="A32" s="107"/>
      <c r="B32" s="107"/>
      <c r="C32" s="107"/>
      <c r="D32" s="107"/>
      <c r="E32" s="42" t="s">
        <v>359</v>
      </c>
      <c r="F32" s="90">
        <v>4</v>
      </c>
      <c r="G32" s="47"/>
      <c r="I32" s="47"/>
    </row>
    <row r="33" spans="1:30" ht="15.75" thickBot="1" x14ac:dyDescent="0.3">
      <c r="A33" s="107" t="s">
        <v>397</v>
      </c>
      <c r="B33" s="107"/>
      <c r="C33" s="107"/>
      <c r="D33" s="107"/>
      <c r="E33" s="42" t="s">
        <v>362</v>
      </c>
      <c r="F33" s="50">
        <f>F32/F31</f>
        <v>1</v>
      </c>
      <c r="G33" s="51" t="s">
        <v>368</v>
      </c>
      <c r="I33" s="47"/>
    </row>
    <row r="34" spans="1:30" x14ac:dyDescent="0.25">
      <c r="A34" s="40" t="s">
        <v>21</v>
      </c>
      <c r="B34" s="52">
        <f>Q34</f>
        <v>2</v>
      </c>
      <c r="C34" s="39" t="str">
        <f>IF(L34="","",L34)</f>
        <v/>
      </c>
      <c r="D34" s="65" t="str">
        <f t="shared" ref="D34:D37" si="64">_xlfn.CONCAT(K34, U34)</f>
        <v>garlic cloves. Remove from oil once cooked</v>
      </c>
      <c r="H34" s="53"/>
      <c r="I34" s="54">
        <v>2</v>
      </c>
      <c r="J34" s="55"/>
      <c r="K34" s="55" t="s">
        <v>8</v>
      </c>
      <c r="L34" s="56"/>
      <c r="M34" s="47">
        <f>INDEX(itemGPerQty, MATCH(K34, itemNames, 0))</f>
        <v>0</v>
      </c>
      <c r="N34" s="47">
        <f>INDEX(itemMlPerQty, MATCH(K34, itemNames, 0))</f>
        <v>0</v>
      </c>
      <c r="O34" s="47">
        <f>IF(J34 = "", I34 * M34, IF(ISNA(CONVERT(I34, J34, "kg")), CONVERT(I34, J34, "l") * IF(N34 &lt;&gt; 0, M34 / N34, 0), CONVERT(I34, J34, "kg")))</f>
        <v>0</v>
      </c>
      <c r="P34" s="47">
        <f>IF(J34 = "", I34 * N34, IF(ISNA(CONVERT(I34, J34, "l")), CONVERT(I34, J34, "kg") * IF(M34 &lt;&gt; 0, N34 / M34, 0), CONVERT(I34, J34, "l")))</f>
        <v>0</v>
      </c>
      <c r="Q34" s="47">
        <f>MROUND(IF(AND(J34 = "", L34 = ""), I34 * recipe13DayScale, IF(ISNA(CONVERT(O34, "kg", L34)), CONVERT(P34 * recipe13DayScale, "l", L34), CONVERT(O34 * recipe13DayScale, "kg", L34))), roundTo)</f>
        <v>2</v>
      </c>
      <c r="R34" s="47">
        <f>recipe13TotScale * IF(L34 = "", Q34 * M34, IF(ISNA(CONVERT(Q34, L34, "kg")), CONVERT(Q34, L34, "l") * IF(N34 &lt;&gt; 0, M34 / N34, 0), CONVERT(Q34, L34, "kg")))</f>
        <v>0</v>
      </c>
      <c r="S34" s="47">
        <f>recipe13TotScale * IF(R34 = 0, IF(L34 = "", Q34 * N34, IF(ISNA(CONVERT(Q34, L34, "l")), CONVERT(Q34, L34, "kg") * IF(M34 &lt;&gt; 0, N34 / M34, 0), CONVERT(Q34, L34, "l"))), 0)</f>
        <v>0</v>
      </c>
      <c r="T34" s="47">
        <f>recipe13TotScale * IF(AND(R34 = 0, S34 = 0, J34 = "", L34 = ""), Q34, 0)</f>
        <v>3</v>
      </c>
      <c r="U34" s="69" t="s">
        <v>243</v>
      </c>
      <c r="V34" s="44" t="b">
        <f>INDEX(itemPrepMethods, MATCH(K34, itemNames, 0))="chop"</f>
        <v>0</v>
      </c>
      <c r="W34" s="57" t="str">
        <f>IF(V34, Q34, "")</f>
        <v/>
      </c>
      <c r="X34" s="58" t="str">
        <f>IF(V34, IF(L34 = "", "", L34), "")</f>
        <v/>
      </c>
      <c r="Y34" s="58" t="str">
        <f>IF(V34, K34, "")</f>
        <v/>
      </c>
      <c r="Z34" s="59"/>
      <c r="AA34" s="44" t="b">
        <f>INDEX(itemPrepMethods, MATCH(K34, itemNames, 0))="soak"</f>
        <v>0</v>
      </c>
      <c r="AB34" s="58" t="str">
        <f>IF(AA34, Q34, "")</f>
        <v/>
      </c>
      <c r="AC34" s="58" t="str">
        <f>IF(AA34, IF(L34 = "", "", L34), "")</f>
        <v/>
      </c>
      <c r="AD34" s="58" t="str">
        <f>IF(AA34, K34, "")</f>
        <v/>
      </c>
    </row>
    <row r="35" spans="1:30" ht="15.75" thickBot="1" x14ac:dyDescent="0.3">
      <c r="A35" s="40" t="s">
        <v>21</v>
      </c>
      <c r="B35" s="52">
        <f>Q35</f>
        <v>4</v>
      </c>
      <c r="C35" s="39" t="str">
        <f>IF(L35="","",L35)</f>
        <v>tbs</v>
      </c>
      <c r="D35" s="65" t="str">
        <f t="shared" si="64"/>
        <v>minced fresh ginger</v>
      </c>
      <c r="E35" s="66" t="s">
        <v>338</v>
      </c>
      <c r="F35" s="67">
        <f>totalSluCount</f>
        <v>6</v>
      </c>
      <c r="G35" s="67"/>
      <c r="H35" s="53"/>
      <c r="I35" s="54">
        <v>4</v>
      </c>
      <c r="J35" s="55" t="s">
        <v>15</v>
      </c>
      <c r="K35" s="55" t="s">
        <v>231</v>
      </c>
      <c r="L35" s="56" t="s">
        <v>15</v>
      </c>
      <c r="M35" s="47">
        <f>INDEX(itemGPerQty, MATCH(K35, itemNames, 0))</f>
        <v>0</v>
      </c>
      <c r="N35" s="47">
        <f>INDEX(itemMlPerQty, MATCH(K35, itemNames, 0))</f>
        <v>0</v>
      </c>
      <c r="O35" s="47">
        <f>IF(J35 = "", I35 * M35, IF(ISNA(CONVERT(I35, J35, "kg")), CONVERT(I35, J35, "l") * IF(N35 &lt;&gt; 0, M35 / N35, 0), CONVERT(I35, J35, "kg")))</f>
        <v>0</v>
      </c>
      <c r="P35" s="47">
        <f>IF(J35 = "", I35 * N35, IF(ISNA(CONVERT(I35, J35, "l")), CONVERT(I35, J35, "kg") * IF(M35 &lt;&gt; 0, N35 / M35, 0), CONVERT(I35, J35, "l")))</f>
        <v>5.9147059124999998E-2</v>
      </c>
      <c r="Q35" s="47">
        <f>MROUND(IF(AND(J35 = "", L35 = ""), I35 * recipe13DayScale, IF(ISNA(CONVERT(O35, "kg", L35)), CONVERT(P35 * recipe13DayScale, "l", L35), CONVERT(O35 * recipe13DayScale, "kg", L35))), roundTo)</f>
        <v>4</v>
      </c>
      <c r="R35" s="47">
        <f>recipe13TotScale * IF(L35 = "", Q35 * M35, IF(ISNA(CONVERT(Q35, L35, "kg")), CONVERT(Q35, L35, "l") * IF(N35 &lt;&gt; 0, M35 / N35, 0), CONVERT(Q35, L35, "kg")))</f>
        <v>0</v>
      </c>
      <c r="S35" s="47">
        <f>recipe13TotScale * IF(R35 = 0, IF(L35 = "", Q35 * N35, IF(ISNA(CONVERT(Q35, L35, "l")), CONVERT(Q35, L35, "kg") * IF(M35 &lt;&gt; 0, N35 / M35, 0), CONVERT(Q35, L35, "l"))), 0)</f>
        <v>8.872058868749999E-2</v>
      </c>
      <c r="T35" s="47">
        <f>recipe13TotScale * IF(AND(R35 = 0, S35 = 0, J35 = "", L35 = ""), Q35, 0)</f>
        <v>0</v>
      </c>
      <c r="V35" s="44" t="b">
        <f>INDEX(itemPrepMethods, MATCH(K35, itemNames, 0))="chop"</f>
        <v>1</v>
      </c>
      <c r="W35" s="57">
        <f>IF(V35, Q35, "")</f>
        <v>4</v>
      </c>
      <c r="X35" s="58" t="str">
        <f>IF(V35, IF(L35 = "", "", L35), "")</f>
        <v>tbs</v>
      </c>
      <c r="Y35" s="58" t="str">
        <f>IF(V35, K35, "")</f>
        <v>minced fresh ginger</v>
      </c>
      <c r="Z35" s="59"/>
      <c r="AA35" s="44" t="b">
        <f>INDEX(itemPrepMethods, MATCH(K35, itemNames, 0))="soak"</f>
        <v>0</v>
      </c>
      <c r="AB35" s="58" t="str">
        <f>IF(AA35, Q35, "")</f>
        <v/>
      </c>
      <c r="AC35" s="58" t="str">
        <f>IF(AA35, IF(L35 = "", "", L35), "")</f>
        <v/>
      </c>
      <c r="AD35" s="58" t="str">
        <f>IF(AA35, K35, "")</f>
        <v/>
      </c>
    </row>
    <row r="36" spans="1:30" ht="15.75" thickBot="1" x14ac:dyDescent="0.3">
      <c r="A36" s="40" t="s">
        <v>21</v>
      </c>
      <c r="B36" s="52">
        <f>Q36</f>
        <v>1</v>
      </c>
      <c r="C36" s="39" t="str">
        <f>IF(L36="","",L36)</f>
        <v>tbs</v>
      </c>
      <c r="D36" s="65" t="str">
        <f t="shared" si="64"/>
        <v>finely chopped fresh corriander</v>
      </c>
      <c r="E36" s="66" t="s">
        <v>363</v>
      </c>
      <c r="F36" s="50">
        <f>F35/F32</f>
        <v>1.5</v>
      </c>
      <c r="G36" s="51" t="s">
        <v>369</v>
      </c>
      <c r="H36" s="53"/>
      <c r="I36" s="54">
        <v>1</v>
      </c>
      <c r="J36" s="55" t="s">
        <v>15</v>
      </c>
      <c r="K36" s="55" t="s">
        <v>398</v>
      </c>
      <c r="L36" s="56" t="s">
        <v>15</v>
      </c>
      <c r="M36" s="47">
        <f>INDEX(itemGPerQty, MATCH(K36, itemNames, 0))</f>
        <v>0</v>
      </c>
      <c r="N36" s="47">
        <f>INDEX(itemMlPerQty, MATCH(K36, itemNames, 0))</f>
        <v>0</v>
      </c>
      <c r="O36" s="47">
        <f>IF(J36 = "", I36 * M36, IF(ISNA(CONVERT(I36, J36, "kg")), CONVERT(I36, J36, "l") * IF(N36 &lt;&gt; 0, M36 / N36, 0), CONVERT(I36, J36, "kg")))</f>
        <v>0</v>
      </c>
      <c r="P36" s="47">
        <f>IF(J36 = "", I36 * N36, IF(ISNA(CONVERT(I36, J36, "l")), CONVERT(I36, J36, "kg") * IF(M36 &lt;&gt; 0, N36 / M36, 0), CONVERT(I36, J36, "l")))</f>
        <v>1.478676478125E-2</v>
      </c>
      <c r="Q36" s="47">
        <f>MROUND(IF(AND(J36 = "", L36 = ""), I36 * recipe13DayScale, IF(ISNA(CONVERT(O36, "kg", L36)), CONVERT(P36 * recipe13DayScale, "l", L36), CONVERT(O36 * recipe13DayScale, "kg", L36))), roundTo)</f>
        <v>1</v>
      </c>
      <c r="R36" s="47">
        <f>recipe13TotScale * IF(L36 = "", Q36 * M36, IF(ISNA(CONVERT(Q36, L36, "kg")), CONVERT(Q36, L36, "l") * IF(N36 &lt;&gt; 0, M36 / N36, 0), CONVERT(Q36, L36, "kg")))</f>
        <v>0</v>
      </c>
      <c r="S36" s="47">
        <f>recipe13TotScale * IF(R36 = 0, IF(L36 = "", Q36 * N36, IF(ISNA(CONVERT(Q36, L36, "l")), CONVERT(Q36, L36, "kg") * IF(M36 &lt;&gt; 0, N36 / M36, 0), CONVERT(Q36, L36, "l"))), 0)</f>
        <v>2.2180147171874998E-2</v>
      </c>
      <c r="T36" s="47">
        <f>recipe13TotScale * IF(AND(R36 = 0, S36 = 0, J36 = "", L36 = ""), Q36, 0)</f>
        <v>0</v>
      </c>
      <c r="V36" s="44" t="b">
        <f>INDEX(itemPrepMethods, MATCH(K36, itemNames, 0))="chop"</f>
        <v>1</v>
      </c>
      <c r="W36" s="57">
        <f>IF(V36, Q36, "")</f>
        <v>1</v>
      </c>
      <c r="X36" s="58" t="str">
        <f>IF(V36, IF(L36 = "", "", L36), "")</f>
        <v>tbs</v>
      </c>
      <c r="Y36" s="58" t="str">
        <f>IF(V36, K36, "")</f>
        <v>finely chopped fresh corriander</v>
      </c>
      <c r="Z36" s="59"/>
      <c r="AA36" s="44" t="b">
        <f>INDEX(itemPrepMethods, MATCH(K36, itemNames, 0))="soak"</f>
        <v>0</v>
      </c>
      <c r="AB36" s="58" t="str">
        <f>IF(AA36, Q36, "")</f>
        <v/>
      </c>
      <c r="AC36" s="58" t="str">
        <f>IF(AA36, IF(L36 = "", "", L36), "")</f>
        <v/>
      </c>
      <c r="AD36" s="58" t="str">
        <f>IF(AA36, K36, "")</f>
        <v/>
      </c>
    </row>
    <row r="37" spans="1:30" x14ac:dyDescent="0.25">
      <c r="A37" s="40" t="s">
        <v>21</v>
      </c>
      <c r="B37" s="52">
        <f>Q37</f>
        <v>3</v>
      </c>
      <c r="C37" s="39" t="str">
        <f>IF(L37="","",L37)</f>
        <v>cup</v>
      </c>
      <c r="D37" s="65" t="str">
        <f t="shared" si="64"/>
        <v>blocks tofu, cut into cubes</v>
      </c>
      <c r="H37" s="53"/>
      <c r="I37" s="54">
        <v>3</v>
      </c>
      <c r="J37" s="55" t="s">
        <v>16</v>
      </c>
      <c r="K37" s="55" t="s">
        <v>270</v>
      </c>
      <c r="L37" s="56" t="s">
        <v>16</v>
      </c>
      <c r="M37" s="47">
        <f>INDEX(itemGPerQty, MATCH(K37, itemNames, 0))</f>
        <v>0</v>
      </c>
      <c r="N37" s="47">
        <f>INDEX(itemMlPerQty, MATCH(K37, itemNames, 0))</f>
        <v>0</v>
      </c>
      <c r="O37" s="47">
        <f>IF(J37 = "", I37 * M37, IF(ISNA(CONVERT(I37, J37, "kg")), CONVERT(I37, J37, "l") * IF(N37 &lt;&gt; 0, M37 / N37, 0), CONVERT(I37, J37, "kg")))</f>
        <v>0</v>
      </c>
      <c r="P37" s="47">
        <f>IF(J37 = "", I37 * N37, IF(ISNA(CONVERT(I37, J37, "l")), CONVERT(I37, J37, "kg") * IF(M37 &lt;&gt; 0, N37 / M37, 0), CONVERT(I37, J37, "l")))</f>
        <v>0.70976470949999992</v>
      </c>
      <c r="Q37" s="47">
        <f>MROUND(IF(AND(J37 = "", L37 = ""), I37 * recipe13DayScale, IF(ISNA(CONVERT(O37, "kg", L37)), CONVERT(P37 * recipe13DayScale, "l", L37), CONVERT(O37 * recipe13DayScale, "kg", L37))), roundTo)</f>
        <v>3</v>
      </c>
      <c r="R37" s="47">
        <f>recipe13TotScale * IF(L37 = "", Q37 * M37, IF(ISNA(CONVERT(Q37, L37, "kg")), CONVERT(Q37, L37, "l") * IF(N37 &lt;&gt; 0, M37 / N37, 0), CONVERT(Q37, L37, "kg")))</f>
        <v>0</v>
      </c>
      <c r="S37" s="47">
        <f>recipe13TotScale * IF(R37 = 0, IF(L37 = "", Q37 * N37, IF(ISNA(CONVERT(Q37, L37, "l")), CONVERT(Q37, L37, "kg") * IF(M37 &lt;&gt; 0, N37 / M37, 0), CONVERT(Q37, L37, "l"))), 0)</f>
        <v>1.0646470642499999</v>
      </c>
      <c r="T37" s="47">
        <f>recipe13TotScale * IF(AND(R37 = 0, S37 = 0, J37 = "", L37 = ""), Q37, 0)</f>
        <v>0</v>
      </c>
      <c r="V37" s="44" t="b">
        <f>INDEX(itemPrepMethods, MATCH(K37, itemNames, 0))="chop"</f>
        <v>1</v>
      </c>
      <c r="W37" s="57">
        <f>IF(V37, Q37, "")</f>
        <v>3</v>
      </c>
      <c r="X37" s="58" t="str">
        <f>IF(V37, IF(L37 = "", "", L37), "")</f>
        <v>cup</v>
      </c>
      <c r="Y37" s="58" t="str">
        <f>IF(V37, K37, "")</f>
        <v>blocks tofu, cut into cubes</v>
      </c>
      <c r="Z37" s="59"/>
      <c r="AA37" s="44" t="b">
        <f>INDEX(itemPrepMethods, MATCH(K37, itemNames, 0))="soak"</f>
        <v>0</v>
      </c>
      <c r="AB37" s="58" t="str">
        <f>IF(AA37, Q37, "")</f>
        <v/>
      </c>
      <c r="AC37" s="58" t="str">
        <f>IF(AA37, IF(L37 = "", "", L37), "")</f>
        <v/>
      </c>
      <c r="AD37" s="58" t="str">
        <f>IF(AA37, K37, "")</f>
        <v/>
      </c>
    </row>
    <row r="38" spans="1:30" x14ac:dyDescent="0.25">
      <c r="A38" s="107"/>
      <c r="B38" s="107"/>
      <c r="C38" s="107"/>
      <c r="D38" s="107"/>
      <c r="I38" s="47"/>
      <c r="W38" s="74"/>
      <c r="X38" s="74"/>
      <c r="Y38" s="74"/>
      <c r="Z38" s="74"/>
      <c r="AA38" s="67"/>
      <c r="AB38" s="74"/>
      <c r="AC38" s="74"/>
      <c r="AD38" s="74"/>
    </row>
    <row r="39" spans="1:30" x14ac:dyDescent="0.25">
      <c r="A39" s="107" t="s">
        <v>124</v>
      </c>
      <c r="B39" s="107"/>
      <c r="C39" s="107"/>
      <c r="D39" s="107"/>
      <c r="I39" s="47"/>
      <c r="W39" s="74"/>
      <c r="X39" s="74"/>
      <c r="Y39" s="74"/>
      <c r="Z39" s="74"/>
      <c r="AA39" s="67"/>
      <c r="AB39" s="74"/>
      <c r="AC39" s="74"/>
      <c r="AD39" s="74"/>
    </row>
    <row r="40" spans="1:30" x14ac:dyDescent="0.25">
      <c r="A40" s="40" t="s">
        <v>21</v>
      </c>
      <c r="B40" s="52">
        <f t="shared" ref="B40:B51" si="65">Q40</f>
        <v>1</v>
      </c>
      <c r="C40" s="39" t="str">
        <f t="shared" ref="C40:C51" si="66">IF(L40="","",L40)</f>
        <v>cup</v>
      </c>
      <c r="D40" s="65" t="str">
        <f t="shared" ref="D40:D51" si="67">_xlfn.CONCAT(K40, U40)</f>
        <v>chopped carrots</v>
      </c>
      <c r="H40" s="53"/>
      <c r="I40" s="54">
        <v>1</v>
      </c>
      <c r="J40" s="55" t="s">
        <v>16</v>
      </c>
      <c r="K40" s="55" t="s">
        <v>5</v>
      </c>
      <c r="L40" s="56" t="s">
        <v>16</v>
      </c>
      <c r="M40" s="47">
        <f t="shared" ref="M40:M51" si="68">INDEX(itemGPerQty, MATCH(K40, itemNames, 0))</f>
        <v>0.14833333333333334</v>
      </c>
      <c r="N40" s="47">
        <f t="shared" ref="N40:N51" si="69">INDEX(itemMlPerQty, MATCH(K40, itemNames, 0))</f>
        <v>0.19999999999999998</v>
      </c>
      <c r="O40" s="47">
        <f t="shared" ref="O40:O51" si="70">IF(J40 = "", I40 * M40, IF(ISNA(CONVERT(I40, J40, "kg")), CONVERT(I40, J40, "l") * IF(N40 &lt;&gt; 0, M40 / N40, 0), CONVERT(I40, J40, "kg")))</f>
        <v>0.17546960873750003</v>
      </c>
      <c r="P40" s="47">
        <f t="shared" ref="P40:P51" si="71">IF(J40 = "", I40 * N40, IF(ISNA(CONVERT(I40, J40, "l")), CONVERT(I40, J40, "kg") * IF(M40 &lt;&gt; 0, N40 / M40, 0), CONVERT(I40, J40, "l")))</f>
        <v>0.23658823649999999</v>
      </c>
      <c r="Q40" s="47">
        <f t="shared" ref="Q40:Q51" si="72">MROUND(IF(AND(J40 = "", L40 = ""), I40 * recipe13DayScale, IF(ISNA(CONVERT(O40, "kg", L40)), CONVERT(P40 * recipe13DayScale, "l", L40), CONVERT(O40 * recipe13DayScale, "kg", L40))), roundTo)</f>
        <v>1</v>
      </c>
      <c r="R40" s="47">
        <f t="shared" ref="R40:R51" si="73">recipe13TotScale * IF(L40 = "", Q40 * M40, IF(ISNA(CONVERT(Q40, L40, "kg")), CONVERT(Q40, L40, "l") * IF(N40 &lt;&gt; 0, M40 / N40, 0), CONVERT(Q40, L40, "kg")))</f>
        <v>0.26320441310625003</v>
      </c>
      <c r="S40" s="47">
        <f t="shared" ref="S40:S51" si="74">recipe13TotScale * IF(R40 = 0, IF(L40 = "", Q40 * N40, IF(ISNA(CONVERT(Q40, L40, "l")), CONVERT(Q40, L40, "kg") * IF(M40 &lt;&gt; 0, N40 / M40, 0), CONVERT(Q40, L40, "l"))), 0)</f>
        <v>0</v>
      </c>
      <c r="T40" s="47">
        <f t="shared" ref="T40:T51" si="75">recipe13TotScale * IF(AND(R40 = 0, S40 = 0, J40 = "", L40 = ""), Q40, 0)</f>
        <v>0</v>
      </c>
      <c r="V40" s="44" t="b">
        <f t="shared" ref="V40:V51" si="76">INDEX(itemPrepMethods, MATCH(K40, itemNames, 0))="chop"</f>
        <v>1</v>
      </c>
      <c r="W40" s="57">
        <f t="shared" ref="W40:W51" si="77">IF(V40, Q40, "")</f>
        <v>1</v>
      </c>
      <c r="X40" s="58" t="str">
        <f t="shared" ref="X40:X51" si="78">IF(V40, IF(L40 = "", "", L40), "")</f>
        <v>cup</v>
      </c>
      <c r="Y40" s="58" t="str">
        <f t="shared" ref="Y40:Y51" si="79">IF(V40, K40, "")</f>
        <v>chopped carrots</v>
      </c>
      <c r="Z40" s="59"/>
      <c r="AA40" s="44" t="b">
        <f t="shared" ref="AA40:AA51" si="80">INDEX(itemPrepMethods, MATCH(K40, itemNames, 0))="soak"</f>
        <v>0</v>
      </c>
      <c r="AB40" s="58" t="str">
        <f t="shared" ref="AB40:AB51" si="81">IF(AA40, Q40, "")</f>
        <v/>
      </c>
      <c r="AC40" s="58" t="str">
        <f t="shared" ref="AC40:AC51" si="82">IF(AA40, IF(L40 = "", "", L40), "")</f>
        <v/>
      </c>
      <c r="AD40" s="58" t="str">
        <f t="shared" ref="AD40:AD51" si="83">IF(AA40, K40, "")</f>
        <v/>
      </c>
    </row>
    <row r="41" spans="1:30" x14ac:dyDescent="0.25">
      <c r="A41" s="40" t="s">
        <v>21</v>
      </c>
      <c r="B41" s="52">
        <f t="shared" si="65"/>
        <v>2</v>
      </c>
      <c r="C41" s="39" t="str">
        <f t="shared" si="66"/>
        <v>cup</v>
      </c>
      <c r="D41" s="65" t="str">
        <f t="shared" si="67"/>
        <v>chopped kumara</v>
      </c>
      <c r="H41" s="53"/>
      <c r="I41" s="54">
        <v>2</v>
      </c>
      <c r="J41" s="55" t="s">
        <v>16</v>
      </c>
      <c r="K41" s="55" t="s">
        <v>158</v>
      </c>
      <c r="L41" s="56" t="s">
        <v>16</v>
      </c>
      <c r="M41" s="47">
        <f t="shared" si="68"/>
        <v>0.34</v>
      </c>
      <c r="N41" s="47">
        <f t="shared" si="69"/>
        <v>0</v>
      </c>
      <c r="O41" s="47">
        <f t="shared" si="70"/>
        <v>0</v>
      </c>
      <c r="P41" s="47">
        <f t="shared" si="71"/>
        <v>0.47317647299999999</v>
      </c>
      <c r="Q41" s="47">
        <f t="shared" si="72"/>
        <v>2</v>
      </c>
      <c r="R41" s="47">
        <f t="shared" si="73"/>
        <v>0</v>
      </c>
      <c r="S41" s="47">
        <f t="shared" si="74"/>
        <v>0.70976470949999992</v>
      </c>
      <c r="T41" s="47">
        <f t="shared" si="75"/>
        <v>0</v>
      </c>
      <c r="V41" s="44" t="b">
        <f t="shared" si="76"/>
        <v>1</v>
      </c>
      <c r="W41" s="57">
        <f t="shared" si="77"/>
        <v>2</v>
      </c>
      <c r="X41" s="58" t="str">
        <f t="shared" si="78"/>
        <v>cup</v>
      </c>
      <c r="Y41" s="58" t="str">
        <f t="shared" si="79"/>
        <v>chopped kumara</v>
      </c>
      <c r="Z41" s="59"/>
      <c r="AA41" s="44" t="b">
        <f t="shared" si="80"/>
        <v>0</v>
      </c>
      <c r="AB41" s="58" t="str">
        <f t="shared" si="81"/>
        <v/>
      </c>
      <c r="AC41" s="58" t="str">
        <f t="shared" si="82"/>
        <v/>
      </c>
      <c r="AD41" s="58" t="str">
        <f t="shared" si="83"/>
        <v/>
      </c>
    </row>
    <row r="42" spans="1:30" x14ac:dyDescent="0.25">
      <c r="A42" s="40" t="s">
        <v>21</v>
      </c>
      <c r="B42" s="52">
        <f t="shared" si="65"/>
        <v>1.5</v>
      </c>
      <c r="C42" s="39" t="str">
        <f t="shared" si="66"/>
        <v>cup</v>
      </c>
      <c r="D42" s="65" t="str">
        <f t="shared" si="67"/>
        <v>chopped broccoli</v>
      </c>
      <c r="H42" s="53"/>
      <c r="I42" s="54">
        <v>1.5</v>
      </c>
      <c r="J42" s="55" t="s">
        <v>16</v>
      </c>
      <c r="K42" s="55" t="s">
        <v>120</v>
      </c>
      <c r="L42" s="56" t="s">
        <v>16</v>
      </c>
      <c r="M42" s="47">
        <f t="shared" si="68"/>
        <v>0.313</v>
      </c>
      <c r="N42" s="47">
        <f t="shared" si="69"/>
        <v>0</v>
      </c>
      <c r="O42" s="47">
        <f t="shared" si="70"/>
        <v>0</v>
      </c>
      <c r="P42" s="47">
        <f t="shared" si="71"/>
        <v>0.35488235474999996</v>
      </c>
      <c r="Q42" s="47">
        <f t="shared" si="72"/>
        <v>1.5</v>
      </c>
      <c r="R42" s="47">
        <f t="shared" si="73"/>
        <v>0</v>
      </c>
      <c r="S42" s="47">
        <f t="shared" si="74"/>
        <v>0.53232353212499994</v>
      </c>
      <c r="T42" s="47">
        <f t="shared" si="75"/>
        <v>0</v>
      </c>
      <c r="V42" s="44" t="b">
        <f t="shared" si="76"/>
        <v>1</v>
      </c>
      <c r="W42" s="57">
        <f t="shared" si="77"/>
        <v>1.5</v>
      </c>
      <c r="X42" s="58" t="str">
        <f t="shared" si="78"/>
        <v>cup</v>
      </c>
      <c r="Y42" s="58" t="str">
        <f t="shared" si="79"/>
        <v>chopped broccoli</v>
      </c>
      <c r="Z42" s="59"/>
      <c r="AA42" s="44" t="b">
        <f t="shared" si="80"/>
        <v>0</v>
      </c>
      <c r="AB42" s="58" t="str">
        <f t="shared" si="81"/>
        <v/>
      </c>
      <c r="AC42" s="58" t="str">
        <f t="shared" si="82"/>
        <v/>
      </c>
      <c r="AD42" s="58" t="str">
        <f t="shared" si="83"/>
        <v/>
      </c>
    </row>
    <row r="43" spans="1:30" x14ac:dyDescent="0.25">
      <c r="A43" s="40" t="s">
        <v>21</v>
      </c>
      <c r="B43" s="52">
        <f t="shared" si="65"/>
        <v>1</v>
      </c>
      <c r="C43" s="39" t="str">
        <f t="shared" si="66"/>
        <v>cup</v>
      </c>
      <c r="D43" s="65" t="str">
        <f t="shared" si="67"/>
        <v>chopped red capsicums</v>
      </c>
      <c r="H43" s="53"/>
      <c r="I43" s="54">
        <v>1</v>
      </c>
      <c r="J43" s="55" t="s">
        <v>16</v>
      </c>
      <c r="K43" s="55" t="s">
        <v>399</v>
      </c>
      <c r="L43" s="56" t="s">
        <v>16</v>
      </c>
      <c r="M43" s="47">
        <f t="shared" si="68"/>
        <v>0.1885</v>
      </c>
      <c r="N43" s="47">
        <f t="shared" si="69"/>
        <v>0.25</v>
      </c>
      <c r="O43" s="47">
        <f t="shared" si="70"/>
        <v>0.17838753032099999</v>
      </c>
      <c r="P43" s="47">
        <f t="shared" si="71"/>
        <v>0.23658823649999999</v>
      </c>
      <c r="Q43" s="47">
        <f t="shared" si="72"/>
        <v>1</v>
      </c>
      <c r="R43" s="47">
        <f t="shared" si="73"/>
        <v>0.2675812954815</v>
      </c>
      <c r="S43" s="47">
        <f t="shared" si="74"/>
        <v>0</v>
      </c>
      <c r="T43" s="47">
        <f t="shared" si="75"/>
        <v>0</v>
      </c>
      <c r="V43" s="44" t="b">
        <f t="shared" si="76"/>
        <v>1</v>
      </c>
      <c r="W43" s="57">
        <f t="shared" si="77"/>
        <v>1</v>
      </c>
      <c r="X43" s="58" t="str">
        <f t="shared" si="78"/>
        <v>cup</v>
      </c>
      <c r="Y43" s="58" t="str">
        <f t="shared" si="79"/>
        <v>chopped red capsicums</v>
      </c>
      <c r="Z43" s="59"/>
      <c r="AA43" s="44" t="b">
        <f t="shared" si="80"/>
        <v>0</v>
      </c>
      <c r="AB43" s="58" t="str">
        <f t="shared" si="81"/>
        <v/>
      </c>
      <c r="AC43" s="58" t="str">
        <f t="shared" si="82"/>
        <v/>
      </c>
      <c r="AD43" s="58" t="str">
        <f t="shared" si="83"/>
        <v/>
      </c>
    </row>
    <row r="44" spans="1:30" s="69" customFormat="1" x14ac:dyDescent="0.25">
      <c r="A44" s="107"/>
      <c r="B44" s="107"/>
      <c r="C44" s="107"/>
      <c r="D44" s="107"/>
      <c r="I44" s="47"/>
      <c r="L44" s="46"/>
      <c r="M44" s="47"/>
      <c r="N44" s="47"/>
      <c r="O44" s="47"/>
      <c r="P44" s="47"/>
      <c r="Q44" s="47"/>
      <c r="R44" s="47"/>
      <c r="S44" s="47"/>
      <c r="T44" s="47"/>
      <c r="W44" s="74"/>
      <c r="X44" s="74"/>
      <c r="Y44" s="74"/>
      <c r="Z44" s="74"/>
      <c r="AB44" s="74"/>
      <c r="AC44" s="74"/>
      <c r="AD44" s="74"/>
    </row>
    <row r="45" spans="1:30" s="69" customFormat="1" x14ac:dyDescent="0.25">
      <c r="A45" s="107" t="s">
        <v>401</v>
      </c>
      <c r="B45" s="107"/>
      <c r="C45" s="107"/>
      <c r="D45" s="107"/>
      <c r="I45" s="47"/>
      <c r="L45" s="46"/>
      <c r="M45" s="47"/>
      <c r="N45" s="47"/>
      <c r="O45" s="47"/>
      <c r="P45" s="47"/>
      <c r="Q45" s="47"/>
      <c r="R45" s="47"/>
      <c r="S45" s="47"/>
      <c r="T45" s="47"/>
      <c r="W45" s="74"/>
      <c r="X45" s="74"/>
      <c r="Y45" s="74"/>
      <c r="Z45" s="74"/>
      <c r="AB45" s="74"/>
      <c r="AC45" s="74"/>
      <c r="AD45" s="74"/>
    </row>
    <row r="46" spans="1:30" x14ac:dyDescent="0.25">
      <c r="A46" s="40" t="s">
        <v>21</v>
      </c>
      <c r="B46" s="52">
        <f t="shared" si="65"/>
        <v>1</v>
      </c>
      <c r="C46" s="39" t="str">
        <f t="shared" si="66"/>
        <v>cup</v>
      </c>
      <c r="D46" s="65" t="str">
        <f t="shared" si="67"/>
        <v>tins coconut milk</v>
      </c>
      <c r="H46" s="53"/>
      <c r="I46" s="54">
        <v>1</v>
      </c>
      <c r="J46" s="55" t="s">
        <v>16</v>
      </c>
      <c r="K46" s="55" t="s">
        <v>122</v>
      </c>
      <c r="L46" s="56" t="s">
        <v>16</v>
      </c>
      <c r="M46" s="47">
        <f t="shared" si="68"/>
        <v>0</v>
      </c>
      <c r="N46" s="47">
        <f t="shared" si="69"/>
        <v>0</v>
      </c>
      <c r="O46" s="47">
        <f t="shared" si="70"/>
        <v>0</v>
      </c>
      <c r="P46" s="47">
        <f t="shared" si="71"/>
        <v>0.23658823649999999</v>
      </c>
      <c r="Q46" s="47">
        <f t="shared" si="72"/>
        <v>1</v>
      </c>
      <c r="R46" s="47">
        <f t="shared" si="73"/>
        <v>0</v>
      </c>
      <c r="S46" s="47">
        <f t="shared" si="74"/>
        <v>0.35488235474999996</v>
      </c>
      <c r="T46" s="47">
        <f t="shared" si="75"/>
        <v>0</v>
      </c>
      <c r="V46" s="44" t="b">
        <f t="shared" si="76"/>
        <v>0</v>
      </c>
      <c r="W46" s="57" t="str">
        <f t="shared" si="77"/>
        <v/>
      </c>
      <c r="X46" s="58" t="str">
        <f t="shared" si="78"/>
        <v/>
      </c>
      <c r="Y46" s="58" t="str">
        <f t="shared" si="79"/>
        <v/>
      </c>
      <c r="Z46" s="59"/>
      <c r="AA46" s="44" t="b">
        <f t="shared" si="80"/>
        <v>0</v>
      </c>
      <c r="AB46" s="58" t="str">
        <f t="shared" si="81"/>
        <v/>
      </c>
      <c r="AC46" s="58" t="str">
        <f t="shared" si="82"/>
        <v/>
      </c>
      <c r="AD46" s="58" t="str">
        <f t="shared" si="83"/>
        <v/>
      </c>
    </row>
    <row r="47" spans="1:30" s="69" customFormat="1" x14ac:dyDescent="0.25">
      <c r="A47" s="107"/>
      <c r="B47" s="107"/>
      <c r="C47" s="107"/>
      <c r="D47" s="107"/>
      <c r="I47" s="47"/>
      <c r="L47" s="46"/>
      <c r="M47" s="47"/>
      <c r="N47" s="47"/>
      <c r="O47" s="47"/>
      <c r="P47" s="47"/>
      <c r="Q47" s="47"/>
      <c r="R47" s="47"/>
      <c r="S47" s="47"/>
      <c r="T47" s="47"/>
      <c r="W47" s="74"/>
      <c r="X47" s="74"/>
      <c r="Y47" s="74"/>
      <c r="Z47" s="74"/>
      <c r="AB47" s="74"/>
      <c r="AC47" s="74"/>
      <c r="AD47" s="74"/>
    </row>
    <row r="48" spans="1:30" s="69" customFormat="1" x14ac:dyDescent="0.25">
      <c r="A48" s="107" t="s">
        <v>402</v>
      </c>
      <c r="B48" s="107"/>
      <c r="C48" s="107"/>
      <c r="D48" s="107"/>
      <c r="I48" s="47"/>
      <c r="L48" s="46"/>
      <c r="M48" s="47"/>
      <c r="N48" s="47"/>
      <c r="O48" s="47"/>
      <c r="P48" s="47"/>
      <c r="Q48" s="47"/>
      <c r="R48" s="47"/>
      <c r="S48" s="47"/>
      <c r="T48" s="47"/>
      <c r="W48" s="74"/>
      <c r="X48" s="74"/>
      <c r="Y48" s="74"/>
      <c r="Z48" s="74"/>
      <c r="AB48" s="74"/>
      <c r="AC48" s="74"/>
      <c r="AD48" s="74"/>
    </row>
    <row r="49" spans="1:30" s="69" customFormat="1" x14ac:dyDescent="0.25">
      <c r="A49" s="68" t="s">
        <v>21</v>
      </c>
      <c r="B49" s="52">
        <f t="shared" ref="B49" si="84">Q49</f>
        <v>8</v>
      </c>
      <c r="C49" s="39" t="str">
        <f t="shared" ref="C49" si="85">IF(L49="","",L49)</f>
        <v>tbs</v>
      </c>
      <c r="D49" s="68" t="str">
        <f t="shared" ref="D49" si="86">_xlfn.CONCAT(K49, U49)</f>
        <v>gluten free soy sauce</v>
      </c>
      <c r="H49" s="53"/>
      <c r="I49" s="54">
        <v>8</v>
      </c>
      <c r="J49" s="55" t="s">
        <v>15</v>
      </c>
      <c r="K49" s="55" t="s">
        <v>196</v>
      </c>
      <c r="L49" s="56" t="s">
        <v>15</v>
      </c>
      <c r="M49" s="47">
        <f t="shared" ref="M49" si="87">INDEX(itemGPerQty, MATCH(K49, itemNames, 0))</f>
        <v>0</v>
      </c>
      <c r="N49" s="47">
        <f t="shared" ref="N49" si="88">INDEX(itemMlPerQty, MATCH(K49, itemNames, 0))</f>
        <v>0</v>
      </c>
      <c r="O49" s="47">
        <f t="shared" ref="O49" si="89">IF(J49 = "", I49 * M49, IF(ISNA(CONVERT(I49, J49, "kg")), CONVERT(I49, J49, "l") * IF(N49 &lt;&gt; 0, M49 / N49, 0), CONVERT(I49, J49, "kg")))</f>
        <v>0</v>
      </c>
      <c r="P49" s="47">
        <f t="shared" ref="P49" si="90">IF(J49 = "", I49 * N49, IF(ISNA(CONVERT(I49, J49, "l")), CONVERT(I49, J49, "kg") * IF(M49 &lt;&gt; 0, N49 / M49, 0), CONVERT(I49, J49, "l")))</f>
        <v>0.11829411825</v>
      </c>
      <c r="Q49" s="47">
        <f t="shared" ref="Q49" si="91">MROUND(IF(AND(J49 = "", L49 = ""), I49 * recipe13DayScale, IF(ISNA(CONVERT(O49, "kg", L49)), CONVERT(P49 * recipe13DayScale, "l", L49), CONVERT(O49 * recipe13DayScale, "kg", L49))), roundTo)</f>
        <v>8</v>
      </c>
      <c r="R49" s="47">
        <f t="shared" ref="R49" si="92">recipe13TotScale * IF(L49 = "", Q49 * M49, IF(ISNA(CONVERT(Q49, L49, "kg")), CONVERT(Q49, L49, "l") * IF(N49 &lt;&gt; 0, M49 / N49, 0), CONVERT(Q49, L49, "kg")))</f>
        <v>0</v>
      </c>
      <c r="S49" s="47">
        <f t="shared" ref="S49" si="93">recipe13TotScale * IF(R49 = 0, IF(L49 = "", Q49 * N49, IF(ISNA(CONVERT(Q49, L49, "l")), CONVERT(Q49, L49, "kg") * IF(M49 &lt;&gt; 0, N49 / M49, 0), CONVERT(Q49, L49, "l"))), 0)</f>
        <v>0.17744117737499998</v>
      </c>
      <c r="T49" s="47">
        <f t="shared" ref="T49" si="94">recipe13TotScale * IF(AND(R49 = 0, S49 = 0, J49 = "", L49 = ""), Q49, 0)</f>
        <v>0</v>
      </c>
      <c r="V49" s="69" t="b">
        <f t="shared" ref="V49" si="95">INDEX(itemPrepMethods, MATCH(K49, itemNames, 0))="chop"</f>
        <v>0</v>
      </c>
      <c r="W49" s="57" t="str">
        <f t="shared" ref="W49" si="96">IF(V49, Q49, "")</f>
        <v/>
      </c>
      <c r="X49" s="58" t="str">
        <f t="shared" ref="X49" si="97">IF(V49, IF(L49 = "", "", L49), "")</f>
        <v/>
      </c>
      <c r="Y49" s="58" t="str">
        <f t="shared" ref="Y49" si="98">IF(V49, K49, "")</f>
        <v/>
      </c>
      <c r="Z49" s="59"/>
      <c r="AA49" s="69" t="b">
        <f t="shared" ref="AA49" si="99">INDEX(itemPrepMethods, MATCH(K49, itemNames, 0))="soak"</f>
        <v>0</v>
      </c>
      <c r="AB49" s="58" t="str">
        <f t="shared" ref="AB49" si="100">IF(AA49, Q49, "")</f>
        <v/>
      </c>
      <c r="AC49" s="58" t="str">
        <f t="shared" ref="AC49" si="101">IF(AA49, IF(L49 = "", "", L49), "")</f>
        <v/>
      </c>
      <c r="AD49" s="58" t="str">
        <f t="shared" ref="AD49" si="102">IF(AA49, K49, "")</f>
        <v/>
      </c>
    </row>
    <row r="50" spans="1:30" s="69" customFormat="1" x14ac:dyDescent="0.25">
      <c r="A50" s="68" t="s">
        <v>21</v>
      </c>
      <c r="B50" s="52">
        <f t="shared" ref="B50" si="103">Q50</f>
        <v>1</v>
      </c>
      <c r="C50" s="39" t="str">
        <f t="shared" ref="C50" si="104">IF(L50="","",L50)</f>
        <v>cup</v>
      </c>
      <c r="D50" s="68" t="str">
        <f t="shared" ref="D50" si="105">_xlfn.CONCAT(K50, U50)</f>
        <v>finely chopped spinach</v>
      </c>
      <c r="H50" s="53"/>
      <c r="I50" s="54">
        <v>1</v>
      </c>
      <c r="J50" s="55" t="s">
        <v>16</v>
      </c>
      <c r="K50" s="55" t="s">
        <v>404</v>
      </c>
      <c r="L50" s="56" t="s">
        <v>16</v>
      </c>
      <c r="M50" s="47">
        <f t="shared" ref="M50" si="106">INDEX(itemGPerQty, MATCH(K50, itemNames, 0))</f>
        <v>0</v>
      </c>
      <c r="N50" s="47">
        <f t="shared" ref="N50" si="107">INDEX(itemMlPerQty, MATCH(K50, itemNames, 0))</f>
        <v>0</v>
      </c>
      <c r="O50" s="47">
        <f t="shared" ref="O50" si="108">IF(J50 = "", I50 * M50, IF(ISNA(CONVERT(I50, J50, "kg")), CONVERT(I50, J50, "l") * IF(N50 &lt;&gt; 0, M50 / N50, 0), CONVERT(I50, J50, "kg")))</f>
        <v>0</v>
      </c>
      <c r="P50" s="47">
        <f t="shared" ref="P50" si="109">IF(J50 = "", I50 * N50, IF(ISNA(CONVERT(I50, J50, "l")), CONVERT(I50, J50, "kg") * IF(M50 &lt;&gt; 0, N50 / M50, 0), CONVERT(I50, J50, "l")))</f>
        <v>0.23658823649999999</v>
      </c>
      <c r="Q50" s="47">
        <f t="shared" ref="Q50" si="110">MROUND(IF(AND(J50 = "", L50 = ""), I50 * recipe13DayScale, IF(ISNA(CONVERT(O50, "kg", L50)), CONVERT(P50 * recipe13DayScale, "l", L50), CONVERT(O50 * recipe13DayScale, "kg", L50))), roundTo)</f>
        <v>1</v>
      </c>
      <c r="R50" s="47">
        <f t="shared" ref="R50" si="111">recipe13TotScale * IF(L50 = "", Q50 * M50, IF(ISNA(CONVERT(Q50, L50, "kg")), CONVERT(Q50, L50, "l") * IF(N50 &lt;&gt; 0, M50 / N50, 0), CONVERT(Q50, L50, "kg")))</f>
        <v>0</v>
      </c>
      <c r="S50" s="47">
        <f t="shared" ref="S50" si="112">recipe13TotScale * IF(R50 = 0, IF(L50 = "", Q50 * N50, IF(ISNA(CONVERT(Q50, L50, "l")), CONVERT(Q50, L50, "kg") * IF(M50 &lt;&gt; 0, N50 / M50, 0), CONVERT(Q50, L50, "l"))), 0)</f>
        <v>0.35488235474999996</v>
      </c>
      <c r="T50" s="47">
        <f t="shared" ref="T50" si="113">recipe13TotScale * IF(AND(R50 = 0, S50 = 0, J50 = "", L50 = ""), Q50, 0)</f>
        <v>0</v>
      </c>
      <c r="V50" s="69" t="b">
        <f t="shared" ref="V50" si="114">INDEX(itemPrepMethods, MATCH(K50, itemNames, 0))="chop"</f>
        <v>1</v>
      </c>
      <c r="W50" s="57">
        <f t="shared" ref="W50" si="115">IF(V50, Q50, "")</f>
        <v>1</v>
      </c>
      <c r="X50" s="58" t="str">
        <f t="shared" ref="X50" si="116">IF(V50, IF(L50 = "", "", L50), "")</f>
        <v>cup</v>
      </c>
      <c r="Y50" s="58" t="str">
        <f t="shared" ref="Y50" si="117">IF(V50, K50, "")</f>
        <v>finely chopped spinach</v>
      </c>
      <c r="Z50" s="59"/>
      <c r="AA50" s="69" t="b">
        <f t="shared" ref="AA50" si="118">INDEX(itemPrepMethods, MATCH(K50, itemNames, 0))="soak"</f>
        <v>0</v>
      </c>
      <c r="AB50" s="58" t="str">
        <f t="shared" ref="AB50" si="119">IF(AA50, Q50, "")</f>
        <v/>
      </c>
      <c r="AC50" s="58" t="str">
        <f t="shared" ref="AC50" si="120">IF(AA50, IF(L50 = "", "", L50), "")</f>
        <v/>
      </c>
      <c r="AD50" s="58" t="str">
        <f t="shared" ref="AD50" si="121">IF(AA50, K50, "")</f>
        <v/>
      </c>
    </row>
    <row r="51" spans="1:30" x14ac:dyDescent="0.25">
      <c r="A51" s="40" t="s">
        <v>21</v>
      </c>
      <c r="B51" s="52">
        <f t="shared" si="65"/>
        <v>2</v>
      </c>
      <c r="C51" s="39" t="str">
        <f t="shared" si="66"/>
        <v>tsp</v>
      </c>
      <c r="D51" s="65" t="str">
        <f t="shared" si="67"/>
        <v>ground corriander</v>
      </c>
      <c r="H51" s="53"/>
      <c r="I51" s="54">
        <v>2</v>
      </c>
      <c r="J51" s="55" t="s">
        <v>13</v>
      </c>
      <c r="K51" s="55" t="s">
        <v>156</v>
      </c>
      <c r="L51" s="56" t="s">
        <v>13</v>
      </c>
      <c r="M51" s="47">
        <f t="shared" si="68"/>
        <v>0</v>
      </c>
      <c r="N51" s="47">
        <f t="shared" si="69"/>
        <v>0</v>
      </c>
      <c r="O51" s="47">
        <f t="shared" si="70"/>
        <v>0</v>
      </c>
      <c r="P51" s="47">
        <f t="shared" si="71"/>
        <v>9.8578431874999997E-3</v>
      </c>
      <c r="Q51" s="47">
        <f t="shared" si="72"/>
        <v>2</v>
      </c>
      <c r="R51" s="47">
        <f t="shared" si="73"/>
        <v>0</v>
      </c>
      <c r="S51" s="47">
        <f t="shared" si="74"/>
        <v>1.478676478125E-2</v>
      </c>
      <c r="T51" s="47">
        <f t="shared" si="75"/>
        <v>0</v>
      </c>
      <c r="V51" s="44" t="b">
        <f t="shared" si="76"/>
        <v>0</v>
      </c>
      <c r="W51" s="57" t="str">
        <f t="shared" si="77"/>
        <v/>
      </c>
      <c r="X51" s="58" t="str">
        <f t="shared" si="78"/>
        <v/>
      </c>
      <c r="Y51" s="58" t="str">
        <f t="shared" si="79"/>
        <v/>
      </c>
      <c r="Z51" s="59"/>
      <c r="AA51" s="44" t="b">
        <f t="shared" si="80"/>
        <v>0</v>
      </c>
      <c r="AB51" s="58" t="str">
        <f t="shared" si="81"/>
        <v/>
      </c>
      <c r="AC51" s="58" t="str">
        <f t="shared" si="82"/>
        <v/>
      </c>
      <c r="AD51" s="58" t="str">
        <f t="shared" si="83"/>
        <v/>
      </c>
    </row>
    <row r="52" spans="1:30" ht="15.75" x14ac:dyDescent="0.25">
      <c r="A52" s="108" t="s">
        <v>23</v>
      </c>
      <c r="B52" s="108"/>
      <c r="C52" s="108"/>
      <c r="D52" s="108"/>
      <c r="E52" s="42" t="s">
        <v>132</v>
      </c>
      <c r="F52" s="104" t="s">
        <v>95</v>
      </c>
      <c r="G52" s="104"/>
    </row>
    <row r="53" spans="1:30" ht="24" x14ac:dyDescent="0.2">
      <c r="A53" s="110" t="s">
        <v>20</v>
      </c>
      <c r="B53" s="110"/>
      <c r="C53" s="110"/>
      <c r="D53" s="110"/>
      <c r="E53" s="42" t="s">
        <v>56</v>
      </c>
      <c r="F53" s="90">
        <v>11</v>
      </c>
      <c r="G53" s="47"/>
      <c r="H53" s="47"/>
      <c r="I53" s="70" t="s">
        <v>448</v>
      </c>
      <c r="J53" s="71" t="s">
        <v>449</v>
      </c>
      <c r="K53" s="71" t="s">
        <v>17</v>
      </c>
      <c r="L53" s="72" t="s">
        <v>452</v>
      </c>
      <c r="M53" s="70" t="s">
        <v>148</v>
      </c>
      <c r="N53" s="70" t="s">
        <v>149</v>
      </c>
      <c r="O53" s="70" t="s">
        <v>450</v>
      </c>
      <c r="P53" s="70" t="s">
        <v>451</v>
      </c>
      <c r="Q53" s="71" t="s">
        <v>364</v>
      </c>
      <c r="R53" s="70" t="s">
        <v>365</v>
      </c>
      <c r="S53" s="70" t="s">
        <v>366</v>
      </c>
      <c r="T53" s="70" t="s">
        <v>367</v>
      </c>
      <c r="U53" s="71" t="s">
        <v>22</v>
      </c>
      <c r="V53" s="71" t="s">
        <v>212</v>
      </c>
      <c r="W53" s="73" t="s">
        <v>364</v>
      </c>
      <c r="X53" s="71" t="s">
        <v>210</v>
      </c>
      <c r="Y53" s="71" t="s">
        <v>211</v>
      </c>
      <c r="Z53" s="71" t="s">
        <v>313</v>
      </c>
      <c r="AA53" s="71" t="s">
        <v>213</v>
      </c>
      <c r="AB53" s="73" t="s">
        <v>364</v>
      </c>
      <c r="AC53" s="71" t="s">
        <v>214</v>
      </c>
      <c r="AD53" s="71" t="s">
        <v>215</v>
      </c>
    </row>
    <row r="54" spans="1:30" ht="16.5" thickBot="1" x14ac:dyDescent="0.3">
      <c r="A54" s="111"/>
      <c r="B54" s="111"/>
      <c r="C54" s="111"/>
      <c r="D54" s="111"/>
      <c r="E54" s="66" t="s">
        <v>359</v>
      </c>
      <c r="F54" s="90">
        <f>saLuCount</f>
        <v>10</v>
      </c>
      <c r="G54" s="47"/>
      <c r="H54" s="47"/>
      <c r="I54" s="63"/>
      <c r="J54" s="42"/>
      <c r="K54" s="42"/>
      <c r="L54" s="64"/>
      <c r="M54" s="63"/>
      <c r="N54" s="63"/>
      <c r="O54" s="63"/>
      <c r="P54" s="63"/>
      <c r="Q54" s="42"/>
      <c r="R54" s="63"/>
      <c r="S54" s="63"/>
      <c r="T54" s="63"/>
      <c r="U54" s="42"/>
    </row>
    <row r="55" spans="1:30" ht="15.75" thickBot="1" x14ac:dyDescent="0.3">
      <c r="A55" s="107" t="s">
        <v>406</v>
      </c>
      <c r="B55" s="107"/>
      <c r="C55" s="107"/>
      <c r="D55" s="107"/>
      <c r="E55" s="66" t="s">
        <v>362</v>
      </c>
      <c r="F55" s="50">
        <f>F54/F53</f>
        <v>0.90909090909090906</v>
      </c>
      <c r="G55" s="51" t="s">
        <v>370</v>
      </c>
      <c r="H55" s="47"/>
      <c r="I55" s="47"/>
    </row>
    <row r="56" spans="1:30" x14ac:dyDescent="0.25">
      <c r="A56" s="40" t="s">
        <v>21</v>
      </c>
      <c r="B56" s="52">
        <f>Q56</f>
        <v>1.75</v>
      </c>
      <c r="C56" s="39" t="str">
        <f>IF(L56="","",L56)</f>
        <v>kg</v>
      </c>
      <c r="D56" s="40" t="str">
        <f>_xlfn.CONCAT(K56, U56)</f>
        <v>chopped potatoes</v>
      </c>
      <c r="E56" s="67"/>
      <c r="F56" s="67"/>
      <c r="G56" s="67"/>
      <c r="H56" s="53"/>
      <c r="I56" s="54">
        <v>2</v>
      </c>
      <c r="J56" s="55" t="s">
        <v>12</v>
      </c>
      <c r="K56" s="55" t="s">
        <v>4</v>
      </c>
      <c r="L56" s="56" t="s">
        <v>12</v>
      </c>
      <c r="M56" s="47">
        <f>INDEX(itemGPerQty, MATCH(K56, itemNames, 0))</f>
        <v>0.22500000000000001</v>
      </c>
      <c r="N56" s="47">
        <f>INDEX(itemMlPerQty, MATCH(K56, itemNames, 0))</f>
        <v>0.33750000000000002</v>
      </c>
      <c r="O56" s="47">
        <f t="shared" ref="O56:O57" si="122">IF(J56 = "", I56 * M56, IF(ISNA(CONVERT(I56, J56, "kg")), CONVERT(I56, J56, "l") * IF(N56 &lt;&gt; 0, M56 / N56, 0), CONVERT(I56, J56, "kg")))</f>
        <v>2</v>
      </c>
      <c r="P56" s="47">
        <f t="shared" ref="P56:P57" si="123">IF(J56 = "", I56 * N56, IF(ISNA(CONVERT(I56, J56, "l")), CONVERT(I56, J56, "kg") * IF(M56 &lt;&gt; 0, N56 / M56, 0), CONVERT(I56, J56, "l")))</f>
        <v>3</v>
      </c>
      <c r="Q56" s="47">
        <f>MROUND(IF(AND(J56 = "", L56 = ""), I56 * recipe01DayScale, IF(ISNA(CONVERT(O56, "kg", L56)), CONVERT(P56 * recipe01DayScale, "l", L56), CONVERT(O56 * recipe01DayScale, "kg", L56))), roundTo)</f>
        <v>1.75</v>
      </c>
      <c r="R56" s="47">
        <f>recipe01TotScale * IF(L56 = "", Q56 * M56, IF(ISNA(CONVERT(Q56, L56, "kg")), CONVERT(Q56, L56, "l") * IF(N56 &lt;&gt; 0, M56 / N56, 0), CONVERT(Q56, L56, "kg")))</f>
        <v>1.75</v>
      </c>
      <c r="S56" s="47">
        <f>recipe01TotScale * IF(R56 = 0, IF(L56 = "", Q56 * N56, IF(ISNA(CONVERT(Q56, L56, "l")), CONVERT(Q56, L56, "kg") * IF(M56 &lt;&gt; 0, N56 / M56, 0), CONVERT(Q56, L56, "l"))), 0)</f>
        <v>0</v>
      </c>
      <c r="T56" s="47">
        <f>recipe01TotScale * IF(AND(R56 = 0, S56 = 0, J56 = "", L56 = ""), Q56, 0)</f>
        <v>0</v>
      </c>
      <c r="V56" s="44" t="b">
        <f>INDEX(itemPrepMethods, MATCH(K56, itemNames, 0))="chop"</f>
        <v>1</v>
      </c>
      <c r="W56" s="57">
        <f>IF(V56, Q56, "")</f>
        <v>1.75</v>
      </c>
      <c r="X56" s="58" t="str">
        <f>IF(V56, IF(L56 = "", "", L56), "")</f>
        <v>kg</v>
      </c>
      <c r="Y56" s="58" t="str">
        <f>IF(V56, K56, "")</f>
        <v>chopped potatoes</v>
      </c>
      <c r="Z56" s="59"/>
      <c r="AA56" s="44" t="b">
        <f>INDEX(itemPrepMethods, MATCH(K56, itemNames, 0))="soak"</f>
        <v>0</v>
      </c>
      <c r="AB56" s="58" t="str">
        <f>IF(AA56, Q56, "")</f>
        <v/>
      </c>
      <c r="AC56" s="58" t="str">
        <f>IF(AA56, IF(L56 = "", "", L56), "")</f>
        <v/>
      </c>
      <c r="AD56" s="58" t="str">
        <f>IF(AA56, K56, "")</f>
        <v/>
      </c>
    </row>
    <row r="57" spans="1:30" ht="15.75" thickBot="1" x14ac:dyDescent="0.3">
      <c r="A57" s="40" t="s">
        <v>21</v>
      </c>
      <c r="B57" s="52">
        <f>Q57</f>
        <v>3.75</v>
      </c>
      <c r="C57" s="39" t="str">
        <f>IF(L57="","",L57)</f>
        <v>cup</v>
      </c>
      <c r="D57" s="40" t="str">
        <f>_xlfn.CONCAT(K57, U57)</f>
        <v>split peas. Soaked by Tenzo the night before. Rinse and drain first</v>
      </c>
      <c r="E57" s="66" t="s">
        <v>338</v>
      </c>
      <c r="F57" s="67">
        <f>saLuCount</f>
        <v>10</v>
      </c>
      <c r="G57" s="67"/>
      <c r="I57" s="54">
        <v>4</v>
      </c>
      <c r="J57" s="55" t="s">
        <v>16</v>
      </c>
      <c r="K57" s="55" t="s">
        <v>7</v>
      </c>
      <c r="L57" s="56" t="s">
        <v>16</v>
      </c>
      <c r="M57" s="47">
        <f>INDEX(itemGPerQty, MATCH(K57, itemNames, 0))</f>
        <v>0.84699999999999998</v>
      </c>
      <c r="N57" s="47">
        <f>INDEX(itemMlPerQty, MATCH(K57, itemNames, 0))</f>
        <v>0.946353</v>
      </c>
      <c r="O57" s="47">
        <f t="shared" si="122"/>
        <v>0.84699995166919739</v>
      </c>
      <c r="P57" s="47">
        <f t="shared" si="123"/>
        <v>0.94635294599999997</v>
      </c>
      <c r="Q57" s="47">
        <f>MROUND(IF(AND(J57 = "", L57 = ""), I57 * recipe01DayScale, IF(ISNA(CONVERT(O57, "kg", L57)), CONVERT(P57 * recipe01DayScale, "l", L57), CONVERT(O57 * recipe01DayScale, "kg", L57))), roundTo)</f>
        <v>3.75</v>
      </c>
      <c r="R57" s="47">
        <f>recipe01TotScale * IF(L57 = "", Q57 * M57, IF(ISNA(CONVERT(Q57, L57, "kg")), CONVERT(Q57, L57, "l") * IF(N57 &lt;&gt; 0, M57 / N57, 0), CONVERT(Q57, L57, "kg")))</f>
        <v>0.79406245468987258</v>
      </c>
      <c r="S57" s="47">
        <f>recipe01TotScale * IF(R57 = 0, IF(L57 = "", Q57 * N57, IF(ISNA(CONVERT(Q57, L57, "l")), CONVERT(Q57, L57, "kg") * IF(M57 &lt;&gt; 0, N57 / M57, 0), CONVERT(Q57, L57, "l"))), 0)</f>
        <v>0</v>
      </c>
      <c r="T57" s="47">
        <f>recipe01TotScale * IF(AND(R57 = 0, S57 = 0, J57 = "", L57 = ""), Q57, 0)</f>
        <v>0</v>
      </c>
      <c r="U57" s="44" t="s">
        <v>244</v>
      </c>
      <c r="V57" s="44" t="b">
        <f>INDEX(itemPrepMethods, MATCH(K57, itemNames, 0))="chop"</f>
        <v>0</v>
      </c>
      <c r="W57" s="57" t="str">
        <f>IF(V57, Q57, "")</f>
        <v/>
      </c>
      <c r="X57" s="58" t="str">
        <f>IF(V57, IF(L57 = "", "", L57), "")</f>
        <v/>
      </c>
      <c r="Y57" s="58" t="str">
        <f>IF(V57, K57, "")</f>
        <v/>
      </c>
      <c r="Z57" s="59"/>
      <c r="AA57" s="44" t="b">
        <f>INDEX(itemPrepMethods, MATCH(K57, itemNames, 0))="soak"</f>
        <v>1</v>
      </c>
      <c r="AB57" s="58">
        <f>IF(AA57, Q57, "")</f>
        <v>3.75</v>
      </c>
      <c r="AC57" s="58" t="str">
        <f>IF(AA57, IF(L57 = "", "", L57), "")</f>
        <v>cup</v>
      </c>
      <c r="AD57" s="58" t="str">
        <f>IF(AA57, K57, "")</f>
        <v>split peas</v>
      </c>
    </row>
    <row r="58" spans="1:30" ht="15.75" thickBot="1" x14ac:dyDescent="0.3">
      <c r="A58" s="107"/>
      <c r="B58" s="107"/>
      <c r="C58" s="107"/>
      <c r="D58" s="107"/>
      <c r="E58" s="66" t="s">
        <v>363</v>
      </c>
      <c r="F58" s="50">
        <f>F57/F54</f>
        <v>1</v>
      </c>
      <c r="G58" s="51" t="s">
        <v>371</v>
      </c>
      <c r="I58" s="47"/>
      <c r="M58" s="44"/>
      <c r="N58" s="44"/>
      <c r="W58" s="74"/>
      <c r="X58" s="74"/>
      <c r="Y58" s="74"/>
      <c r="Z58" s="74"/>
      <c r="AA58" s="67"/>
      <c r="AB58" s="74"/>
      <c r="AC58" s="74"/>
      <c r="AD58" s="74"/>
    </row>
    <row r="59" spans="1:30" x14ac:dyDescent="0.25">
      <c r="A59" s="107" t="s">
        <v>19</v>
      </c>
      <c r="B59" s="107"/>
      <c r="C59" s="107"/>
      <c r="D59" s="107"/>
      <c r="I59" s="47"/>
      <c r="M59" s="44"/>
      <c r="N59" s="44"/>
      <c r="W59" s="74"/>
      <c r="X59" s="74"/>
      <c r="Y59" s="74"/>
      <c r="Z59" s="74"/>
      <c r="AA59" s="67"/>
      <c r="AB59" s="74"/>
      <c r="AC59" s="74"/>
      <c r="AD59" s="74"/>
    </row>
    <row r="60" spans="1:30" x14ac:dyDescent="0.25">
      <c r="A60" s="40" t="s">
        <v>21</v>
      </c>
      <c r="B60" s="52">
        <f>Q60</f>
        <v>6.25</v>
      </c>
      <c r="C60" s="39" t="str">
        <f>IF(L60="","",L60)</f>
        <v/>
      </c>
      <c r="D60" s="40" t="str">
        <f>_xlfn.CONCAT(K60, U60)</f>
        <v>garlic cloves. Remove from oil once cooked</v>
      </c>
      <c r="I60" s="54">
        <v>7</v>
      </c>
      <c r="J60" s="55"/>
      <c r="K60" s="55" t="s">
        <v>8</v>
      </c>
      <c r="L60" s="56"/>
      <c r="M60" s="47">
        <f>INDEX(itemGPerQty, MATCH(K60, itemNames, 0))</f>
        <v>0</v>
      </c>
      <c r="N60" s="47">
        <f>INDEX(itemMlPerQty, MATCH(K60, itemNames, 0))</f>
        <v>0</v>
      </c>
      <c r="O60" s="47">
        <f t="shared" ref="O60" si="124">IF(J60 = "", I60 * M60, IF(ISNA(CONVERT(I60, J60, "kg")), CONVERT(I60, J60, "l") * IF(N60 &lt;&gt; 0, M60 / N60, 0), CONVERT(I60, J60, "kg")))</f>
        <v>0</v>
      </c>
      <c r="P60" s="47">
        <f t="shared" ref="P60" si="125">IF(J60 = "", I60 * N60, IF(ISNA(CONVERT(I60, J60, "l")), CONVERT(I60, J60, "kg") * IF(M60 &lt;&gt; 0, N60 / M60, 0), CONVERT(I60, J60, "l")))</f>
        <v>0</v>
      </c>
      <c r="Q60" s="47">
        <f>MROUND(IF(AND(J60 = "", L60 = ""), I60 * recipe01DayScale, IF(ISNA(CONVERT(O60, "kg", L60)), CONVERT(P60 * recipe01DayScale, "l", L60), CONVERT(O60 * recipe01DayScale, "kg", L60))), roundTo)</f>
        <v>6.25</v>
      </c>
      <c r="R60" s="47">
        <f>recipe01TotScale * IF(L60 = "", Q60 * M60, IF(ISNA(CONVERT(Q60, L60, "kg")), CONVERT(Q60, L60, "l") * IF(N60 &lt;&gt; 0, M60 / N60, 0), CONVERT(Q60, L60, "kg")))</f>
        <v>0</v>
      </c>
      <c r="S60" s="47">
        <f>recipe01TotScale * IF(R60 = 0, IF(L60 = "", Q60 * N60, IF(ISNA(CONVERT(Q60, L60, "l")), CONVERT(Q60, L60, "kg") * IF(M60 &lt;&gt; 0, N60 / M60, 0), CONVERT(Q60, L60, "l"))), 0)</f>
        <v>0</v>
      </c>
      <c r="T60" s="47">
        <f>recipe01TotScale * IF(AND(R60 = 0, S60 = 0, J60 = "", L60 = ""), Q60, 0)</f>
        <v>6.25</v>
      </c>
      <c r="U60" s="44" t="s">
        <v>243</v>
      </c>
      <c r="V60" s="44" t="b">
        <f>INDEX(itemPrepMethods, MATCH(K60, itemNames, 0))="chop"</f>
        <v>0</v>
      </c>
      <c r="W60" s="57" t="str">
        <f>IF(V60, Q60, "")</f>
        <v/>
      </c>
      <c r="X60" s="58" t="str">
        <f>IF(V60, IF(L60 = "", "", L60), "")</f>
        <v/>
      </c>
      <c r="Y60" s="58" t="str">
        <f>IF(V60, K60, "")</f>
        <v/>
      </c>
      <c r="Z60" s="59"/>
      <c r="AA60" s="44" t="b">
        <f>INDEX(itemPrepMethods, MATCH(K60, itemNames, 0))="soak"</f>
        <v>0</v>
      </c>
      <c r="AB60" s="58" t="str">
        <f>IF(AA60, Q60, "")</f>
        <v/>
      </c>
      <c r="AC60" s="58" t="str">
        <f>IF(AA60, IF(L60 = "", "", L60), "")</f>
        <v/>
      </c>
      <c r="AD60" s="58" t="str">
        <f>IF(AA60, K60, "")</f>
        <v/>
      </c>
    </row>
    <row r="61" spans="1:30" x14ac:dyDescent="0.25">
      <c r="A61" s="40" t="s">
        <v>21</v>
      </c>
      <c r="B61" s="52">
        <f>Q61</f>
        <v>2</v>
      </c>
      <c r="C61" s="39" t="str">
        <f>IF(L61="","",L61)</f>
        <v/>
      </c>
      <c r="D61" s="40" t="str">
        <f>_xlfn.CONCAT(K61, U61)</f>
        <v>chopped onions</v>
      </c>
      <c r="I61" s="54">
        <v>2.25</v>
      </c>
      <c r="J61" s="55"/>
      <c r="K61" s="55" t="s">
        <v>6</v>
      </c>
      <c r="L61" s="56"/>
      <c r="M61" s="47">
        <f>INDEX(itemGPerQty, MATCH(K61, itemNames, 0))</f>
        <v>0.185</v>
      </c>
      <c r="N61" s="47">
        <f>INDEX(itemMlPerQty, MATCH(K61, itemNames, 0))</f>
        <v>0.3</v>
      </c>
      <c r="O61" s="47">
        <f>IF(J61 = "", I61 * M61, IF(ISNA(CONVERT(I61, J61, "kg")), CONVERT(I61, J61, "l") * IF(N61 &lt;&gt; 0, M61 / N61, 0), CONVERT(I61, J61, "kg")))</f>
        <v>0.41625000000000001</v>
      </c>
      <c r="P61" s="47">
        <f>IF(J61 = "", I61 * N61, IF(ISNA(CONVERT(I61, J61, "l")), CONVERT(I61, J61, "kg") * IF(M61 &lt;&gt; 0, N61 / M61, 0), CONVERT(I61, J61, "l")))</f>
        <v>0.67499999999999993</v>
      </c>
      <c r="Q61" s="47">
        <f>MROUND(IF(AND(J61 = "", L61 = ""), I61 * recipe01DayScale, IF(ISNA(CONVERT(O61, "kg", L61)), CONVERT(P61 * recipe01DayScale, "l", L61), CONVERT(O61 * recipe01DayScale, "kg", L61))), roundTo)</f>
        <v>2</v>
      </c>
      <c r="R61" s="47">
        <f>recipe01TotScale * IF(L61 = "", Q61 * M61, IF(ISNA(CONVERT(Q61, L61, "kg")), CONVERT(Q61, L61, "l") * IF(N61 &lt;&gt; 0, M61 / N61, 0), CONVERT(Q61, L61, "kg")))</f>
        <v>0.37</v>
      </c>
      <c r="S61" s="47">
        <f>recipe01TotScale * IF(R61 = 0, IF(L61 = "", Q61 * N61, IF(ISNA(CONVERT(Q61, L61, "l")), CONVERT(Q61, L61, "kg") * IF(M61 &lt;&gt; 0, N61 / M61, 0), CONVERT(Q61, L61, "l"))), 0)</f>
        <v>0</v>
      </c>
      <c r="T61" s="47">
        <f>recipe01TotScale * IF(AND(R61 = 0, S61 = 0, J61 = "", L61 = ""), Q61, 0)</f>
        <v>0</v>
      </c>
      <c r="V61" s="44" t="b">
        <f>INDEX(itemPrepMethods, MATCH(K61, itemNames, 0))="chop"</f>
        <v>1</v>
      </c>
      <c r="W61" s="57">
        <f>IF(V61, Q61, "")</f>
        <v>2</v>
      </c>
      <c r="X61" s="58" t="str">
        <f>IF(V61, IF(L61 = "", "", L61), "")</f>
        <v/>
      </c>
      <c r="Y61" s="58" t="str">
        <f>IF(V61, K61, "")</f>
        <v>chopped onions</v>
      </c>
      <c r="Z61" s="59"/>
      <c r="AA61" s="44" t="b">
        <f>INDEX(itemPrepMethods, MATCH(K61, itemNames, 0))="soak"</f>
        <v>0</v>
      </c>
      <c r="AB61" s="58" t="str">
        <f>IF(AA61, Q61, "")</f>
        <v/>
      </c>
      <c r="AC61" s="58" t="str">
        <f>IF(AA61, IF(L61 = "", "", L61), "")</f>
        <v/>
      </c>
      <c r="AD61" s="58" t="str">
        <f>IF(AA61, K61, "")</f>
        <v/>
      </c>
    </row>
    <row r="62" spans="1:30" x14ac:dyDescent="0.25">
      <c r="A62" s="107"/>
      <c r="B62" s="107"/>
      <c r="C62" s="107"/>
      <c r="D62" s="107"/>
      <c r="I62" s="47"/>
      <c r="M62" s="44"/>
      <c r="N62" s="44"/>
      <c r="W62" s="74"/>
      <c r="X62" s="74"/>
      <c r="Y62" s="74"/>
      <c r="Z62" s="74"/>
      <c r="AA62" s="67"/>
      <c r="AB62" s="74"/>
      <c r="AC62" s="74"/>
      <c r="AD62" s="74"/>
    </row>
    <row r="63" spans="1:30" x14ac:dyDescent="0.25">
      <c r="A63" s="107" t="s">
        <v>219</v>
      </c>
      <c r="B63" s="107"/>
      <c r="C63" s="107"/>
      <c r="D63" s="107"/>
      <c r="I63" s="47"/>
      <c r="M63" s="44"/>
      <c r="N63" s="44"/>
      <c r="W63" s="74"/>
      <c r="X63" s="74"/>
      <c r="Y63" s="74"/>
      <c r="Z63" s="74"/>
      <c r="AA63" s="67"/>
      <c r="AB63" s="74"/>
      <c r="AC63" s="74"/>
      <c r="AD63" s="74"/>
    </row>
    <row r="64" spans="1:30" x14ac:dyDescent="0.25">
      <c r="A64" s="40" t="s">
        <v>21</v>
      </c>
      <c r="B64" s="52">
        <f>Q64</f>
        <v>4.5</v>
      </c>
      <c r="C64" s="39" t="str">
        <f>IF(L64="","",L64)</f>
        <v>tbs</v>
      </c>
      <c r="D64" s="40" t="str">
        <f>_xlfn.CONCAT(K64, U64)</f>
        <v>curry powder</v>
      </c>
      <c r="I64" s="54">
        <v>5</v>
      </c>
      <c r="J64" s="55" t="s">
        <v>15</v>
      </c>
      <c r="K64" s="55" t="s">
        <v>9</v>
      </c>
      <c r="L64" s="56" t="s">
        <v>15</v>
      </c>
      <c r="M64" s="47">
        <f>INDEX(itemGPerQty, MATCH(K64, itemNames, 0))</f>
        <v>1.2E-2</v>
      </c>
      <c r="N64" s="47">
        <f>INDEX(itemMlPerQty, MATCH(K64, itemNames, 0))</f>
        <v>2.2180100000000001E-2</v>
      </c>
      <c r="O64" s="47">
        <f t="shared" ref="O64:O68" si="126">IF(J64 = "", I64 * M64, IF(ISNA(CONVERT(I64, J64, "kg")), CONVERT(I64, J64, "l") * IF(N64 &lt;&gt; 0, M64 / N64, 0), CONVERT(I64, J64, "kg")))</f>
        <v>4.0000085070626371E-2</v>
      </c>
      <c r="P64" s="47">
        <f t="shared" ref="P64:P68" si="127">IF(J64 = "", I64 * N64, IF(ISNA(CONVERT(I64, J64, "l")), CONVERT(I64, J64, "kg") * IF(M64 &lt;&gt; 0, N64 / M64, 0), CONVERT(I64, J64, "l")))</f>
        <v>7.3933823906250001E-2</v>
      </c>
      <c r="Q64" s="47">
        <f>MROUND(IF(AND(J64 = "", L64 = ""), I64 * recipe01DayScale, IF(ISNA(CONVERT(O64, "kg", L64)), CONVERT(P64 * recipe01DayScale, "l", L64), CONVERT(O64 * recipe01DayScale, "kg", L64))), roundTo)</f>
        <v>4.5</v>
      </c>
      <c r="R64" s="47">
        <f>recipe01TotScale * IF(L64 = "", Q64 * M64, IF(ISNA(CONVERT(Q64, L64, "kg")), CONVERT(Q64, L64, "l") * IF(N64 &lt;&gt; 0, M64 / N64, 0), CONVERT(Q64, L64, "kg")))</f>
        <v>3.6000076563563729E-2</v>
      </c>
      <c r="S64" s="47">
        <f>recipe01TotScale * IF(R64 = 0, IF(L64 = "", Q64 * N64, IF(ISNA(CONVERT(Q64, L64, "l")), CONVERT(Q64, L64, "kg") * IF(M64 &lt;&gt; 0, N64 / M64, 0), CONVERT(Q64, L64, "l"))), 0)</f>
        <v>0</v>
      </c>
      <c r="T64" s="47">
        <f>recipe01TotScale * IF(AND(R64 = 0, S64 = 0, J64 = "", L64 = ""), Q64, 0)</f>
        <v>0</v>
      </c>
      <c r="V64" s="44" t="b">
        <f>INDEX(itemPrepMethods, MATCH(K64, itemNames, 0))="chop"</f>
        <v>0</v>
      </c>
      <c r="W64" s="57" t="str">
        <f>IF(V64, Q64, "")</f>
        <v/>
      </c>
      <c r="X64" s="58" t="str">
        <f>IF(V64, IF(L64 = "", "", L64), "")</f>
        <v/>
      </c>
      <c r="Y64" s="58" t="str">
        <f>IF(V64, K64, "")</f>
        <v/>
      </c>
      <c r="Z64" s="59"/>
      <c r="AA64" s="44" t="b">
        <f>INDEX(itemPrepMethods, MATCH(K64, itemNames, 0))="soak"</f>
        <v>0</v>
      </c>
      <c r="AB64" s="58" t="str">
        <f>IF(AA64, Q64, "")</f>
        <v/>
      </c>
      <c r="AC64" s="58" t="str">
        <f>IF(AA64, IF(L64 = "", "", L64), "")</f>
        <v/>
      </c>
      <c r="AD64" s="58" t="str">
        <f>IF(AA64, K64, "")</f>
        <v/>
      </c>
    </row>
    <row r="65" spans="1:30" x14ac:dyDescent="0.25">
      <c r="A65" s="40" t="s">
        <v>21</v>
      </c>
      <c r="B65" s="52">
        <f>Q65</f>
        <v>3.75</v>
      </c>
      <c r="C65" s="39" t="str">
        <f>IF(L65="","",L65)</f>
        <v>tbs</v>
      </c>
      <c r="D65" s="40" t="str">
        <f>_xlfn.CONCAT(K65, U65)</f>
        <v>garam masala</v>
      </c>
      <c r="I65" s="54">
        <v>4</v>
      </c>
      <c r="J65" s="55" t="s">
        <v>15</v>
      </c>
      <c r="K65" s="55" t="s">
        <v>10</v>
      </c>
      <c r="L65" s="56" t="s">
        <v>15</v>
      </c>
      <c r="M65" s="47">
        <f>INDEX(itemGPerQty, MATCH(K65, itemNames, 0))</f>
        <v>0.01</v>
      </c>
      <c r="N65" s="47">
        <f>INDEX(itemMlPerQty, MATCH(K65, itemNames, 0))</f>
        <v>2.2180100000000001E-2</v>
      </c>
      <c r="O65" s="47">
        <f t="shared" si="126"/>
        <v>2.6666723380417583E-2</v>
      </c>
      <c r="P65" s="47">
        <f t="shared" si="127"/>
        <v>5.9147059124999998E-2</v>
      </c>
      <c r="Q65" s="47">
        <f>MROUND(IF(AND(J65 = "", L65 = ""), I65 * recipe01DayScale, IF(ISNA(CONVERT(O65, "kg", L65)), CONVERT(P65 * recipe01DayScale, "l", L65), CONVERT(O65 * recipe01DayScale, "kg", L65))), roundTo)</f>
        <v>3.75</v>
      </c>
      <c r="R65" s="47">
        <f>recipe01TotScale * IF(L65 = "", Q65 * M65, IF(ISNA(CONVERT(Q65, L65, "kg")), CONVERT(Q65, L65, "l") * IF(N65 &lt;&gt; 0, M65 / N65, 0), CONVERT(Q65, L65, "kg")))</f>
        <v>2.5000053169141483E-2</v>
      </c>
      <c r="S65" s="47">
        <f>recipe01TotScale * IF(R65 = 0, IF(L65 = "", Q65 * N65, IF(ISNA(CONVERT(Q65, L65, "l")), CONVERT(Q65, L65, "kg") * IF(M65 &lt;&gt; 0, N65 / M65, 0), CONVERT(Q65, L65, "l"))), 0)</f>
        <v>0</v>
      </c>
      <c r="T65" s="47">
        <f>recipe01TotScale * IF(AND(R65 = 0, S65 = 0, J65 = "", L65 = ""), Q65, 0)</f>
        <v>0</v>
      </c>
      <c r="V65" s="44" t="b">
        <f>INDEX(itemPrepMethods, MATCH(K65, itemNames, 0))="chop"</f>
        <v>0</v>
      </c>
      <c r="W65" s="57" t="str">
        <f>IF(V65, Q65, "")</f>
        <v/>
      </c>
      <c r="X65" s="58" t="str">
        <f>IF(V65, IF(L65 = "", "", L65), "")</f>
        <v/>
      </c>
      <c r="Y65" s="58" t="str">
        <f>IF(V65, K65, "")</f>
        <v/>
      </c>
      <c r="Z65" s="59"/>
      <c r="AA65" s="44" t="b">
        <f>INDEX(itemPrepMethods, MATCH(K65, itemNames, 0))="soak"</f>
        <v>0</v>
      </c>
      <c r="AB65" s="58" t="str">
        <f>IF(AA65, Q65, "")</f>
        <v/>
      </c>
      <c r="AC65" s="58" t="str">
        <f>IF(AA65, IF(L65 = "", "", L65), "")</f>
        <v/>
      </c>
      <c r="AD65" s="58" t="str">
        <f>IF(AA65, K65, "")</f>
        <v/>
      </c>
    </row>
    <row r="66" spans="1:30" x14ac:dyDescent="0.25">
      <c r="A66" s="40" t="s">
        <v>21</v>
      </c>
      <c r="B66" s="52">
        <f>Q66</f>
        <v>2.75</v>
      </c>
      <c r="C66" s="39" t="str">
        <f>IF(L66="","",L66)</f>
        <v>tsp</v>
      </c>
      <c r="D66" s="40" t="str">
        <f>_xlfn.CONCAT(K66, U66)</f>
        <v>ground turmeric</v>
      </c>
      <c r="I66" s="54">
        <v>3</v>
      </c>
      <c r="J66" s="55" t="s">
        <v>13</v>
      </c>
      <c r="K66" s="55" t="s">
        <v>316</v>
      </c>
      <c r="L66" s="56" t="s">
        <v>13</v>
      </c>
      <c r="M66" s="47">
        <f>INDEX(itemGPerQty, MATCH(K66, itemNames, 0))</f>
        <v>1.4E-2</v>
      </c>
      <c r="N66" s="47">
        <f>INDEX(itemMlPerQty, MATCH(K66, itemNames, 0))</f>
        <v>2.2180100000000001E-2</v>
      </c>
      <c r="O66" s="47">
        <f t="shared" si="126"/>
        <v>9.3333531831461536E-3</v>
      </c>
      <c r="P66" s="47">
        <f t="shared" si="127"/>
        <v>1.478676478125E-2</v>
      </c>
      <c r="Q66" s="47">
        <f>MROUND(IF(AND(J66 = "", L66 = ""), I66 * recipe01DayScale, IF(ISNA(CONVERT(O66, "kg", L66)), CONVERT(P66 * recipe01DayScale, "l", L66), CONVERT(O66 * recipe01DayScale, "kg", L66))), roundTo)</f>
        <v>2.75</v>
      </c>
      <c r="R66" s="47">
        <f>recipe01TotScale * IF(L66 = "", Q66 * M66, IF(ISNA(CONVERT(Q66, L66, "kg")), CONVERT(Q66, L66, "l") * IF(N66 &lt;&gt; 0, M66 / N66, 0), CONVERT(Q66, L66, "kg")))</f>
        <v>8.5555737512173075E-3</v>
      </c>
      <c r="S66" s="47">
        <f>recipe01TotScale * IF(R66 = 0, IF(L66 = "", Q66 * N66, IF(ISNA(CONVERT(Q66, L66, "l")), CONVERT(Q66, L66, "kg") * IF(M66 &lt;&gt; 0, N66 / M66, 0), CONVERT(Q66, L66, "l"))), 0)</f>
        <v>0</v>
      </c>
      <c r="T66" s="47">
        <f>recipe01TotScale * IF(AND(R66 = 0, S66 = 0, J66 = "", L66 = ""), Q66, 0)</f>
        <v>0</v>
      </c>
      <c r="V66" s="44" t="b">
        <f>INDEX(itemPrepMethods, MATCH(K66, itemNames, 0))="chop"</f>
        <v>0</v>
      </c>
      <c r="W66" s="57" t="str">
        <f>IF(V66, Q66, "")</f>
        <v/>
      </c>
      <c r="X66" s="58" t="str">
        <f>IF(V66, IF(L66 = "", "", L66), "")</f>
        <v/>
      </c>
      <c r="Y66" s="58" t="str">
        <f>IF(V66, K66, "")</f>
        <v/>
      </c>
      <c r="Z66" s="59"/>
      <c r="AA66" s="44" t="b">
        <f>INDEX(itemPrepMethods, MATCH(K66, itemNames, 0))="soak"</f>
        <v>0</v>
      </c>
      <c r="AB66" s="58" t="str">
        <f>IF(AA66, Q66, "")</f>
        <v/>
      </c>
      <c r="AC66" s="58" t="str">
        <f>IF(AA66, IF(L66 = "", "", L66), "")</f>
        <v/>
      </c>
      <c r="AD66" s="58" t="str">
        <f>IF(AA66, K66, "")</f>
        <v/>
      </c>
    </row>
    <row r="67" spans="1:30" x14ac:dyDescent="0.25">
      <c r="A67" s="40" t="s">
        <v>21</v>
      </c>
      <c r="B67" s="52">
        <f>Q67</f>
        <v>2.75</v>
      </c>
      <c r="C67" s="39" t="str">
        <f>IF(L67="","",L67)</f>
        <v>tsp</v>
      </c>
      <c r="D67" s="40" t="str">
        <f>_xlfn.CONCAT(K67, U67)</f>
        <v>ground cumin</v>
      </c>
      <c r="I67" s="54">
        <v>3</v>
      </c>
      <c r="J67" s="55" t="s">
        <v>13</v>
      </c>
      <c r="K67" s="55" t="s">
        <v>14</v>
      </c>
      <c r="L67" s="56" t="s">
        <v>13</v>
      </c>
      <c r="M67" s="47">
        <f>INDEX(itemGPerQty, MATCH(K67, itemNames, 0))</f>
        <v>1.0999999999999999E-2</v>
      </c>
      <c r="N67" s="47">
        <f>INDEX(itemMlPerQty, MATCH(K67, itemNames, 0))</f>
        <v>2.2180100000000001E-2</v>
      </c>
      <c r="O67" s="47">
        <f t="shared" si="126"/>
        <v>7.3333489296148338E-3</v>
      </c>
      <c r="P67" s="47">
        <f t="shared" si="127"/>
        <v>1.478676478125E-2</v>
      </c>
      <c r="Q67" s="47">
        <f>MROUND(IF(AND(J67 = "", L67 = ""), I67 * recipe01DayScale, IF(ISNA(CONVERT(O67, "kg", L67)), CONVERT(P67 * recipe01DayScale, "l", L67), CONVERT(O67 * recipe01DayScale, "kg", L67))), roundTo)</f>
        <v>2.75</v>
      </c>
      <c r="R67" s="47">
        <f>recipe01TotScale * IF(L67 = "", Q67 * M67, IF(ISNA(CONVERT(Q67, L67, "kg")), CONVERT(Q67, L67, "l") * IF(N67 &lt;&gt; 0, M67 / N67, 0), CONVERT(Q67, L67, "kg")))</f>
        <v>6.7222365188135983E-3</v>
      </c>
      <c r="S67" s="47">
        <f>recipe01TotScale * IF(R67 = 0, IF(L67 = "", Q67 * N67, IF(ISNA(CONVERT(Q67, L67, "l")), CONVERT(Q67, L67, "kg") * IF(M67 &lt;&gt; 0, N67 / M67, 0), CONVERT(Q67, L67, "l"))), 0)</f>
        <v>0</v>
      </c>
      <c r="T67" s="47">
        <f>recipe01TotScale * IF(AND(R67 = 0, S67 = 0, J67 = "", L67 = ""), Q67, 0)</f>
        <v>0</v>
      </c>
      <c r="V67" s="44" t="b">
        <f>INDEX(itemPrepMethods, MATCH(K67, itemNames, 0))="chop"</f>
        <v>0</v>
      </c>
      <c r="W67" s="57" t="str">
        <f>IF(V67, Q67, "")</f>
        <v/>
      </c>
      <c r="X67" s="58" t="str">
        <f>IF(V67, IF(L67 = "", "", L67), "")</f>
        <v/>
      </c>
      <c r="Y67" s="58" t="str">
        <f>IF(V67, K67, "")</f>
        <v/>
      </c>
      <c r="Z67" s="59"/>
      <c r="AA67" s="44" t="b">
        <f>INDEX(itemPrepMethods, MATCH(K67, itemNames, 0))="soak"</f>
        <v>0</v>
      </c>
      <c r="AB67" s="58" t="str">
        <f>IF(AA67, Q67, "")</f>
        <v/>
      </c>
      <c r="AC67" s="58" t="str">
        <f>IF(AA67, IF(L67 = "", "", L67), "")</f>
        <v/>
      </c>
      <c r="AD67" s="58" t="str">
        <f>IF(AA67, K67, "")</f>
        <v/>
      </c>
    </row>
    <row r="68" spans="1:30" x14ac:dyDescent="0.25">
      <c r="A68" s="40" t="s">
        <v>21</v>
      </c>
      <c r="B68" s="52">
        <f>Q68</f>
        <v>1.75</v>
      </c>
      <c r="C68" s="39" t="str">
        <f>IF(L68="","",L68)</f>
        <v>tsp</v>
      </c>
      <c r="D68" s="40" t="str">
        <f>_xlfn.CONCAT(K68, U68)</f>
        <v>salt</v>
      </c>
      <c r="I68" s="54">
        <v>2</v>
      </c>
      <c r="J68" s="55" t="s">
        <v>13</v>
      </c>
      <c r="K68" s="55" t="s">
        <v>11</v>
      </c>
      <c r="L68" s="56" t="s">
        <v>13</v>
      </c>
      <c r="M68" s="47">
        <f>INDEX(itemGPerQty, MATCH(K68, itemNames, 0))</f>
        <v>2.5000000000000001E-2</v>
      </c>
      <c r="N68" s="47">
        <f>INDEX(itemMlPerQty, MATCH(K68, itemNames, 0))</f>
        <v>2.2180100000000001E-2</v>
      </c>
      <c r="O68" s="47">
        <f t="shared" si="126"/>
        <v>1.111113474184066E-2</v>
      </c>
      <c r="P68" s="47">
        <f t="shared" si="127"/>
        <v>9.8578431874999997E-3</v>
      </c>
      <c r="Q68" s="47">
        <f>MROUND(IF(AND(J68 = "", L68 = ""), I68 * recipe01DayScale, IF(ISNA(CONVERT(O68, "kg", L68)), CONVERT(P68 * recipe01DayScale, "l", L68), CONVERT(O68 * recipe01DayScale, "kg", L68))), roundTo)</f>
        <v>1.75</v>
      </c>
      <c r="R68" s="47">
        <f>recipe01TotScale * IF(L68 = "", Q68 * M68, IF(ISNA(CONVERT(Q68, L68, "kg")), CONVERT(Q68, L68, "l") * IF(N68 &lt;&gt; 0, M68 / N68, 0), CONVERT(Q68, L68, "kg")))</f>
        <v>9.7222428991105784E-3</v>
      </c>
      <c r="S68" s="47">
        <f>recipe01TotScale * IF(R68 = 0, IF(L68 = "", Q68 * N68, IF(ISNA(CONVERT(Q68, L68, "l")), CONVERT(Q68, L68, "kg") * IF(M68 &lt;&gt; 0, N68 / M68, 0), CONVERT(Q68, L68, "l"))), 0)</f>
        <v>0</v>
      </c>
      <c r="T68" s="47">
        <f>recipe01TotScale * IF(AND(R68 = 0, S68 = 0, J68 = "", L68 = ""), Q68, 0)</f>
        <v>0</v>
      </c>
      <c r="V68" s="44" t="b">
        <f>INDEX(itemPrepMethods, MATCH(K68, itemNames, 0))="chop"</f>
        <v>0</v>
      </c>
      <c r="W68" s="57" t="str">
        <f>IF(V68, Q68, "")</f>
        <v/>
      </c>
      <c r="X68" s="58" t="str">
        <f>IF(V68, IF(L68 = "", "", L68), "")</f>
        <v/>
      </c>
      <c r="Y68" s="58" t="str">
        <f>IF(V68, K68, "")</f>
        <v/>
      </c>
      <c r="Z68" s="59"/>
      <c r="AA68" s="44" t="b">
        <f>INDEX(itemPrepMethods, MATCH(K68, itemNames, 0))="soak"</f>
        <v>0</v>
      </c>
      <c r="AB68" s="58" t="str">
        <f>IF(AA68, Q68, "")</f>
        <v/>
      </c>
      <c r="AC68" s="58" t="str">
        <f>IF(AA68, IF(L68 = "", "", L68), "")</f>
        <v/>
      </c>
      <c r="AD68" s="58" t="str">
        <f>IF(AA68, K68, "")</f>
        <v/>
      </c>
    </row>
    <row r="69" spans="1:30" x14ac:dyDescent="0.25">
      <c r="B69" s="52"/>
      <c r="I69" s="44"/>
      <c r="L69" s="44"/>
      <c r="W69" s="44"/>
    </row>
    <row r="70" spans="1:30" x14ac:dyDescent="0.25">
      <c r="A70" s="107" t="s">
        <v>240</v>
      </c>
      <c r="B70" s="107"/>
      <c r="C70" s="107"/>
      <c r="D70" s="107"/>
      <c r="I70" s="44"/>
      <c r="L70" s="44"/>
      <c r="W70" s="44"/>
    </row>
    <row r="71" spans="1:30" x14ac:dyDescent="0.25">
      <c r="A71" s="40" t="s">
        <v>21</v>
      </c>
      <c r="D71" s="40" t="str">
        <f>_xlfn.CONCAT(K71, U71)</f>
        <v>cooked split peas from step 1</v>
      </c>
      <c r="I71" s="47"/>
      <c r="U71" s="44" t="s">
        <v>241</v>
      </c>
      <c r="W71" s="44"/>
    </row>
    <row r="72" spans="1:30" x14ac:dyDescent="0.25">
      <c r="A72" s="40" t="s">
        <v>21</v>
      </c>
      <c r="C72" s="39" t="str">
        <f>IF(L72="","",L72)</f>
        <v/>
      </c>
      <c r="D72" s="40" t="str">
        <f>_xlfn.CONCAT(K72, U72)</f>
        <v>cooked potatoes from step 1. Should be soft but recognisable when served</v>
      </c>
      <c r="I72" s="47"/>
      <c r="J72" s="48"/>
      <c r="L72" s="48"/>
      <c r="M72" s="48"/>
      <c r="N72" s="48"/>
      <c r="O72" s="48"/>
      <c r="P72" s="48"/>
      <c r="U72" s="44" t="s">
        <v>242</v>
      </c>
      <c r="W72" s="44"/>
    </row>
    <row r="73" spans="1:30" x14ac:dyDescent="0.25">
      <c r="A73" s="40" t="s">
        <v>21</v>
      </c>
      <c r="D73" s="40" t="str">
        <f>_xlfn.CONCAT(K73, U73)</f>
        <v>NOTE: sauce will form around potatoes and peas</v>
      </c>
      <c r="I73" s="47"/>
      <c r="U73" s="44" t="s">
        <v>220</v>
      </c>
    </row>
    <row r="74" spans="1:30" ht="15.75" x14ac:dyDescent="0.25">
      <c r="A74" s="108" t="s">
        <v>24</v>
      </c>
      <c r="B74" s="108"/>
      <c r="C74" s="108"/>
      <c r="D74" s="108"/>
      <c r="E74" s="60" t="s">
        <v>133</v>
      </c>
      <c r="F74" s="104" t="s">
        <v>96</v>
      </c>
      <c r="G74" s="104"/>
    </row>
    <row r="75" spans="1:30" ht="24" x14ac:dyDescent="0.2">
      <c r="A75" s="108" t="s">
        <v>25</v>
      </c>
      <c r="B75" s="108"/>
      <c r="C75" s="108"/>
      <c r="D75" s="108"/>
      <c r="E75" s="42" t="s">
        <v>56</v>
      </c>
      <c r="F75" s="90">
        <v>11</v>
      </c>
      <c r="I75" s="70" t="s">
        <v>448</v>
      </c>
      <c r="J75" s="71" t="s">
        <v>449</v>
      </c>
      <c r="K75" s="71" t="s">
        <v>17</v>
      </c>
      <c r="L75" s="72" t="s">
        <v>452</v>
      </c>
      <c r="M75" s="70" t="s">
        <v>148</v>
      </c>
      <c r="N75" s="70" t="s">
        <v>149</v>
      </c>
      <c r="O75" s="70" t="s">
        <v>450</v>
      </c>
      <c r="P75" s="70" t="s">
        <v>451</v>
      </c>
      <c r="Q75" s="71" t="s">
        <v>364</v>
      </c>
      <c r="R75" s="70" t="s">
        <v>365</v>
      </c>
      <c r="S75" s="70" t="s">
        <v>366</v>
      </c>
      <c r="T75" s="70" t="s">
        <v>367</v>
      </c>
      <c r="U75" s="71" t="s">
        <v>22</v>
      </c>
      <c r="V75" s="71" t="s">
        <v>212</v>
      </c>
      <c r="W75" s="73" t="s">
        <v>364</v>
      </c>
      <c r="X75" s="71" t="s">
        <v>210</v>
      </c>
      <c r="Y75" s="71" t="s">
        <v>211</v>
      </c>
      <c r="Z75" s="71" t="s">
        <v>313</v>
      </c>
      <c r="AA75" s="71" t="s">
        <v>213</v>
      </c>
      <c r="AB75" s="73" t="s">
        <v>364</v>
      </c>
      <c r="AC75" s="71" t="s">
        <v>214</v>
      </c>
      <c r="AD75" s="71" t="s">
        <v>215</v>
      </c>
    </row>
    <row r="76" spans="1:30" ht="16.5" thickBot="1" x14ac:dyDescent="0.3">
      <c r="A76" s="109"/>
      <c r="B76" s="109"/>
      <c r="C76" s="109"/>
      <c r="D76" s="109"/>
      <c r="E76" s="66" t="s">
        <v>359</v>
      </c>
      <c r="F76" s="90">
        <f>saDiCount</f>
        <v>10</v>
      </c>
      <c r="G76" s="47"/>
      <c r="I76" s="63"/>
      <c r="J76" s="42"/>
      <c r="K76" s="42"/>
      <c r="L76" s="64"/>
      <c r="M76" s="63"/>
      <c r="N76" s="63"/>
      <c r="O76" s="63"/>
      <c r="P76" s="63"/>
      <c r="Q76" s="42"/>
      <c r="R76" s="63"/>
      <c r="S76" s="63"/>
      <c r="T76" s="63"/>
      <c r="U76" s="42"/>
    </row>
    <row r="77" spans="1:30" ht="15.75" thickBot="1" x14ac:dyDescent="0.3">
      <c r="A77" s="107" t="s">
        <v>18</v>
      </c>
      <c r="B77" s="107"/>
      <c r="C77" s="107"/>
      <c r="D77" s="107"/>
      <c r="E77" s="66" t="s">
        <v>362</v>
      </c>
      <c r="F77" s="50">
        <f>F76/F75</f>
        <v>0.90909090909090906</v>
      </c>
      <c r="G77" s="51" t="s">
        <v>372</v>
      </c>
      <c r="H77" s="47"/>
      <c r="I77" s="47"/>
    </row>
    <row r="78" spans="1:30" x14ac:dyDescent="0.25">
      <c r="A78" s="40" t="s">
        <v>21</v>
      </c>
      <c r="B78" s="52">
        <f>Q78</f>
        <v>1.5</v>
      </c>
      <c r="C78" s="39" t="str">
        <f>IF(L78="","",L78)</f>
        <v>cup</v>
      </c>
      <c r="D78" s="40" t="str">
        <f>_xlfn.CONCAT(K78, U78)</f>
        <v>chickpeas. Soaked by Tenzo the night before. Rinse and drain first</v>
      </c>
      <c r="E78" s="67"/>
      <c r="F78" s="67"/>
      <c r="G78" s="67"/>
      <c r="H78" s="53"/>
      <c r="I78" s="54">
        <v>1.75</v>
      </c>
      <c r="J78" s="55" t="s">
        <v>16</v>
      </c>
      <c r="K78" s="55" t="s">
        <v>98</v>
      </c>
      <c r="L78" s="56" t="s">
        <v>16</v>
      </c>
      <c r="M78" s="47">
        <f>INDEX(itemGPerQty, MATCH(K78, itemNames, 0))</f>
        <v>0.76300000000000001</v>
      </c>
      <c r="N78" s="47">
        <f>INDEX(itemMlPerQty, MATCH(K78, itemNames, 0))</f>
        <v>0.946353</v>
      </c>
      <c r="O78" s="47">
        <f>IF(J78 = "", I78 * M78, IF(ISNA(CONVERT(I78, J78, "kg")), CONVERT(I78, J78, "l") * IF(N78 &lt;&gt; 0, M78 / N78, 0), CONVERT(I78, J78, "kg")))</f>
        <v>0.33381248095227151</v>
      </c>
      <c r="P78" s="47">
        <f>IF(J78 = "", I78 * N78, IF(ISNA(CONVERT(I78, J78, "l")), CONVERT(I78, J78, "kg") * IF(M78 &lt;&gt; 0, N78 / M78, 0), CONVERT(I78, J78, "l")))</f>
        <v>0.41402941387499997</v>
      </c>
      <c r="Q78" s="47">
        <f>MROUND(IF(AND(J78 = "", L78 = ""), I78 * recipe02DayScale, IF(ISNA(CONVERT(O78, "kg", L78)), CONVERT(P78 * recipe02DayScale, "l", L78), CONVERT(O78 * recipe02DayScale, "kg", L78))), roundTo)</f>
        <v>1.5</v>
      </c>
      <c r="R78" s="47">
        <f>recipe02TotScale * IF(L78 = "", Q78 * M78, IF(ISNA(CONVERT(Q78, L78, "kg")), CONVERT(Q78, L78, "l") * IF(N78 &lt;&gt; 0, M78 / N78, 0), CONVERT(Q78, L78, "kg")))</f>
        <v>0.28612498367337558</v>
      </c>
      <c r="S78" s="47">
        <f>recipe02TotScale * IF(R78 = 0, IF(L78 = "", Q78 * N78, IF(ISNA(CONVERT(Q78, L78, "l")), CONVERT(Q78, L78, "kg") * IF(M78 &lt;&gt; 0, N78 / M78, 0), CONVERT(Q78, L78, "l"))), 0)</f>
        <v>0</v>
      </c>
      <c r="T78" s="47">
        <f>recipe02TotScale * IF(AND(R78 = 0, S78 = 0, J78 = "", L78 = ""), Q78, 0)</f>
        <v>0</v>
      </c>
      <c r="U78" s="44" t="s">
        <v>244</v>
      </c>
      <c r="V78" s="44" t="b">
        <f>INDEX(itemPrepMethods, MATCH(K78, itemNames, 0))="chop"</f>
        <v>0</v>
      </c>
      <c r="W78" s="57" t="str">
        <f>IF(V78, Q78, "")</f>
        <v/>
      </c>
      <c r="X78" s="58" t="str">
        <f>IF(V78, IF(L78 = "", "", L78), "")</f>
        <v/>
      </c>
      <c r="Y78" s="58" t="str">
        <f>IF(V78, K78, "")</f>
        <v/>
      </c>
      <c r="Z78" s="59"/>
      <c r="AA78" s="44" t="b">
        <f>INDEX(itemPrepMethods, MATCH(K78, itemNames, 0))="soak"</f>
        <v>1</v>
      </c>
      <c r="AB78" s="58">
        <f>IF(AA78, Q78, "")</f>
        <v>1.5</v>
      </c>
      <c r="AC78" s="58" t="str">
        <f>IF(AA78, IF(L78 = "", "", L78), "")</f>
        <v>cup</v>
      </c>
      <c r="AD78" s="58" t="str">
        <f>IF(AA78, K78, "")</f>
        <v>chickpeas</v>
      </c>
    </row>
    <row r="79" spans="1:30" ht="15.75" thickBot="1" x14ac:dyDescent="0.3">
      <c r="A79" s="107"/>
      <c r="B79" s="107"/>
      <c r="C79" s="107"/>
      <c r="D79" s="107"/>
      <c r="E79" s="66" t="s">
        <v>338</v>
      </c>
      <c r="F79" s="67">
        <f>saDiCount</f>
        <v>10</v>
      </c>
      <c r="G79" s="67"/>
      <c r="I79" s="47"/>
      <c r="M79" s="44"/>
      <c r="N79" s="44"/>
      <c r="O79" s="44"/>
      <c r="P79" s="44"/>
      <c r="W79" s="74"/>
      <c r="X79" s="74"/>
      <c r="Y79" s="74"/>
      <c r="Z79" s="74"/>
      <c r="AA79" s="67"/>
      <c r="AB79" s="74"/>
      <c r="AC79" s="74"/>
      <c r="AD79" s="74"/>
    </row>
    <row r="80" spans="1:30" ht="15.75" thickBot="1" x14ac:dyDescent="0.3">
      <c r="A80" s="107" t="s">
        <v>221</v>
      </c>
      <c r="B80" s="107"/>
      <c r="C80" s="107"/>
      <c r="D80" s="107"/>
      <c r="E80" s="66" t="s">
        <v>363</v>
      </c>
      <c r="F80" s="50">
        <f>F79/F76</f>
        <v>1</v>
      </c>
      <c r="G80" s="51" t="s">
        <v>373</v>
      </c>
      <c r="I80" s="47"/>
      <c r="M80" s="44"/>
      <c r="N80" s="44"/>
      <c r="O80" s="44"/>
      <c r="P80" s="44"/>
      <c r="W80" s="74"/>
      <c r="X80" s="74"/>
      <c r="Y80" s="74"/>
      <c r="Z80" s="74"/>
      <c r="AA80" s="67"/>
      <c r="AB80" s="74"/>
      <c r="AC80" s="74"/>
      <c r="AD80" s="74"/>
    </row>
    <row r="81" spans="1:30" x14ac:dyDescent="0.25">
      <c r="A81" s="40" t="s">
        <v>21</v>
      </c>
      <c r="B81" s="52">
        <f t="shared" ref="B81:B83" si="128">Q81</f>
        <v>2.75</v>
      </c>
      <c r="C81" s="39" t="str">
        <f>IF(L81="","",L81)</f>
        <v/>
      </c>
      <c r="D81" s="40" t="str">
        <f>_xlfn.CONCAT(K81, U81)</f>
        <v>diced celery stalks</v>
      </c>
      <c r="I81" s="54">
        <v>3</v>
      </c>
      <c r="J81" s="55"/>
      <c r="K81" s="55" t="s">
        <v>102</v>
      </c>
      <c r="L81" s="56"/>
      <c r="M81" s="47">
        <f>INDEX(itemGPerQty, MATCH(K81, itemNames, 0))</f>
        <v>0</v>
      </c>
      <c r="N81" s="47">
        <f>INDEX(itemMlPerQty, MATCH(K81, itemNames, 0))</f>
        <v>0</v>
      </c>
      <c r="O81" s="47">
        <f t="shared" ref="O81:O83" si="129">IF(J81 = "", I81 * M81, IF(ISNA(CONVERT(I81, J81, "kg")), CONVERT(I81, J81, "l") * IF(N81 &lt;&gt; 0, M81 / N81, 0), CONVERT(I81, J81, "kg")))</f>
        <v>0</v>
      </c>
      <c r="P81" s="47">
        <f t="shared" ref="P81:P83" si="130">IF(J81 = "", I81 * N81, IF(ISNA(CONVERT(I81, J81, "l")), CONVERT(I81, J81, "kg") * IF(M81 &lt;&gt; 0, N81 / M81, 0), CONVERT(I81, J81, "l")))</f>
        <v>0</v>
      </c>
      <c r="Q81" s="47">
        <f>MROUND(IF(AND(J81 = "", L81 = ""), I81 * recipe02DayScale, IF(ISNA(CONVERT(O81, "kg", L81)), CONVERT(P81 * recipe02DayScale, "l", L81), CONVERT(O81 * recipe02DayScale, "kg", L81))), roundTo)</f>
        <v>2.75</v>
      </c>
      <c r="R81" s="47">
        <f>recipe02TotScale * IF(L81 = "", Q81 * M81, IF(ISNA(CONVERT(Q81, L81, "kg")), CONVERT(Q81, L81, "l") * IF(N81 &lt;&gt; 0, M81 / N81, 0), CONVERT(Q81, L81, "kg")))</f>
        <v>0</v>
      </c>
      <c r="S81" s="47">
        <f>recipe02TotScale * IF(R81 = 0, IF(L81 = "", Q81 * N81, IF(ISNA(CONVERT(Q81, L81, "l")), CONVERT(Q81, L81, "kg") * IF(M81 &lt;&gt; 0, N81 / M81, 0), CONVERT(Q81, L81, "l"))), 0)</f>
        <v>0</v>
      </c>
      <c r="T81" s="47">
        <f>recipe02TotScale * IF(AND(R81 = 0, S81 = 0, J81 = "", L81 = ""), Q81, 0)</f>
        <v>2.75</v>
      </c>
      <c r="V81" s="44" t="b">
        <f>INDEX(itemPrepMethods, MATCH(K81, itemNames, 0))="chop"</f>
        <v>1</v>
      </c>
      <c r="W81" s="57">
        <f>IF(V81, Q81, "")</f>
        <v>2.75</v>
      </c>
      <c r="X81" s="58" t="str">
        <f>IF(V81, IF(L81 = "", "", L81), "")</f>
        <v/>
      </c>
      <c r="Y81" s="58" t="str">
        <f>IF(V81, K81, "")</f>
        <v>diced celery stalks</v>
      </c>
      <c r="Z81" s="59"/>
      <c r="AA81" s="44" t="b">
        <f>INDEX(itemPrepMethods, MATCH(K81, itemNames, 0))="soak"</f>
        <v>0</v>
      </c>
      <c r="AB81" s="58" t="str">
        <f>IF(AA81, Q81, "")</f>
        <v/>
      </c>
      <c r="AC81" s="58" t="str">
        <f>IF(AA81, IF(L81 = "", "", L81), "")</f>
        <v/>
      </c>
      <c r="AD81" s="58" t="str">
        <f>IF(AA81, K81, "")</f>
        <v/>
      </c>
    </row>
    <row r="82" spans="1:30" x14ac:dyDescent="0.25">
      <c r="A82" s="40" t="s">
        <v>21</v>
      </c>
      <c r="B82" s="52">
        <f t="shared" si="128"/>
        <v>7.25</v>
      </c>
      <c r="C82" s="39" t="str">
        <f>IF(L82="","",L82)</f>
        <v/>
      </c>
      <c r="D82" s="40" t="str">
        <f>_xlfn.CONCAT(K82, U82)</f>
        <v>diced carrots</v>
      </c>
      <c r="I82" s="54">
        <v>8</v>
      </c>
      <c r="J82" s="55"/>
      <c r="K82" s="55" t="s">
        <v>101</v>
      </c>
      <c r="L82" s="56"/>
      <c r="M82" s="47">
        <f>INDEX(itemGPerQty, MATCH(K82, itemNames, 0))</f>
        <v>0</v>
      </c>
      <c r="N82" s="47">
        <f>INDEX(itemMlPerQty, MATCH(K82, itemNames, 0))</f>
        <v>0</v>
      </c>
      <c r="O82" s="47">
        <f t="shared" si="129"/>
        <v>0</v>
      </c>
      <c r="P82" s="47">
        <f t="shared" si="130"/>
        <v>0</v>
      </c>
      <c r="Q82" s="47">
        <f>MROUND(IF(AND(J82 = "", L82 = ""), I82 * recipe02DayScale, IF(ISNA(CONVERT(O82, "kg", L82)), CONVERT(P82 * recipe02DayScale, "l", L82), CONVERT(O82 * recipe02DayScale, "kg", L82))), roundTo)</f>
        <v>7.25</v>
      </c>
      <c r="R82" s="47">
        <f>recipe02TotScale * IF(L82 = "", Q82 * M82, IF(ISNA(CONVERT(Q82, L82, "kg")), CONVERT(Q82, L82, "l") * IF(N82 &lt;&gt; 0, M82 / N82, 0), CONVERT(Q82, L82, "kg")))</f>
        <v>0</v>
      </c>
      <c r="S82" s="47">
        <f>recipe02TotScale * IF(R82 = 0, IF(L82 = "", Q82 * N82, IF(ISNA(CONVERT(Q82, L82, "l")), CONVERT(Q82, L82, "kg") * IF(M82 &lt;&gt; 0, N82 / M82, 0), CONVERT(Q82, L82, "l"))), 0)</f>
        <v>0</v>
      </c>
      <c r="T82" s="47">
        <f>recipe02TotScale * IF(AND(R82 = 0, S82 = 0, J82 = "", L82 = ""), Q82, 0)</f>
        <v>7.25</v>
      </c>
      <c r="V82" s="44" t="b">
        <f>INDEX(itemPrepMethods, MATCH(K82, itemNames, 0))="chop"</f>
        <v>1</v>
      </c>
      <c r="W82" s="57">
        <f>IF(V82, Q82, "")</f>
        <v>7.25</v>
      </c>
      <c r="X82" s="58" t="str">
        <f>IF(V82, IF(L82 = "", "", L82), "")</f>
        <v/>
      </c>
      <c r="Y82" s="58" t="str">
        <f>IF(V82, K82, "")</f>
        <v>diced carrots</v>
      </c>
      <c r="Z82" s="59"/>
      <c r="AA82" s="44" t="b">
        <f>INDEX(itemPrepMethods, MATCH(K82, itemNames, 0))="soak"</f>
        <v>0</v>
      </c>
      <c r="AB82" s="58" t="str">
        <f>IF(AA82, Q82, "")</f>
        <v/>
      </c>
      <c r="AC82" s="58" t="str">
        <f>IF(AA82, IF(L82 = "", "", L82), "")</f>
        <v/>
      </c>
      <c r="AD82" s="58" t="str">
        <f>IF(AA82, K82, "")</f>
        <v/>
      </c>
    </row>
    <row r="83" spans="1:30" x14ac:dyDescent="0.25">
      <c r="A83" s="40" t="s">
        <v>21</v>
      </c>
      <c r="B83" s="52">
        <f t="shared" si="128"/>
        <v>1.75</v>
      </c>
      <c r="C83" s="39" t="str">
        <f>IF(L83="","",L83)</f>
        <v>tsp</v>
      </c>
      <c r="D83" s="40" t="str">
        <f>_xlfn.CONCAT(K83, U83)</f>
        <v>salt</v>
      </c>
      <c r="I83" s="54">
        <v>2</v>
      </c>
      <c r="J83" s="55" t="s">
        <v>13</v>
      </c>
      <c r="K83" s="55" t="s">
        <v>11</v>
      </c>
      <c r="L83" s="56" t="s">
        <v>13</v>
      </c>
      <c r="M83" s="47">
        <f>INDEX(itemGPerQty, MATCH(K83, itemNames, 0))</f>
        <v>2.5000000000000001E-2</v>
      </c>
      <c r="N83" s="47">
        <f>INDEX(itemMlPerQty, MATCH(K83, itemNames, 0))</f>
        <v>2.2180100000000001E-2</v>
      </c>
      <c r="O83" s="47">
        <f t="shared" si="129"/>
        <v>1.111113474184066E-2</v>
      </c>
      <c r="P83" s="47">
        <f t="shared" si="130"/>
        <v>9.8578431874999997E-3</v>
      </c>
      <c r="Q83" s="47">
        <f>MROUND(IF(AND(J83 = "", L83 = ""), I83 * recipe02DayScale, IF(ISNA(CONVERT(O83, "kg", L83)), CONVERT(P83 * recipe02DayScale, "l", L83), CONVERT(O83 * recipe02DayScale, "kg", L83))), roundTo)</f>
        <v>1.75</v>
      </c>
      <c r="R83" s="47">
        <f>recipe02TotScale * IF(L83 = "", Q83 * M83, IF(ISNA(CONVERT(Q83, L83, "kg")), CONVERT(Q83, L83, "l") * IF(N83 &lt;&gt; 0, M83 / N83, 0), CONVERT(Q83, L83, "kg")))</f>
        <v>9.7222428991105784E-3</v>
      </c>
      <c r="S83" s="47">
        <f>recipe02TotScale * IF(R83 = 0, IF(L83 = "", Q83 * N83, IF(ISNA(CONVERT(Q83, L83, "l")), CONVERT(Q83, L83, "kg") * IF(M83 &lt;&gt; 0, N83 / M83, 0), CONVERT(Q83, L83, "l"))), 0)</f>
        <v>0</v>
      </c>
      <c r="T83" s="47">
        <f>recipe02TotScale * IF(AND(R83 = 0, S83 = 0, J83 = "", L83 = ""), Q83, 0)</f>
        <v>0</v>
      </c>
      <c r="V83" s="44" t="b">
        <f>INDEX(itemPrepMethods, MATCH(K83, itemNames, 0))="chop"</f>
        <v>0</v>
      </c>
      <c r="W83" s="57" t="str">
        <f>IF(V83, Q83, "")</f>
        <v/>
      </c>
      <c r="X83" s="58" t="str">
        <f>IF(V83, IF(L83 = "", "", L83), "")</f>
        <v/>
      </c>
      <c r="Y83" s="58" t="str">
        <f>IF(V83, K83, "")</f>
        <v/>
      </c>
      <c r="Z83" s="59"/>
      <c r="AA83" s="44" t="b">
        <f>INDEX(itemPrepMethods, MATCH(K83, itemNames, 0))="soak"</f>
        <v>0</v>
      </c>
      <c r="AB83" s="58" t="str">
        <f>IF(AA83, Q83, "")</f>
        <v/>
      </c>
      <c r="AC83" s="58" t="str">
        <f>IF(AA83, IF(L83 = "", "", L83), "")</f>
        <v/>
      </c>
      <c r="AD83" s="58" t="str">
        <f>IF(AA83, K83, "")</f>
        <v/>
      </c>
    </row>
    <row r="84" spans="1:30" x14ac:dyDescent="0.25">
      <c r="A84" s="107"/>
      <c r="B84" s="107"/>
      <c r="C84" s="107"/>
      <c r="D84" s="107"/>
      <c r="I84" s="47"/>
      <c r="M84" s="44"/>
      <c r="N84" s="44"/>
      <c r="O84" s="44"/>
      <c r="P84" s="44"/>
      <c r="W84" s="74"/>
      <c r="X84" s="74"/>
      <c r="Y84" s="74"/>
      <c r="Z84" s="74"/>
      <c r="AA84" s="67"/>
      <c r="AB84" s="74"/>
      <c r="AC84" s="74"/>
      <c r="AD84" s="74"/>
    </row>
    <row r="85" spans="1:30" x14ac:dyDescent="0.25">
      <c r="A85" s="107" t="s">
        <v>222</v>
      </c>
      <c r="B85" s="107"/>
      <c r="C85" s="107"/>
      <c r="D85" s="107"/>
      <c r="I85" s="47"/>
      <c r="M85" s="44"/>
      <c r="N85" s="44"/>
      <c r="O85" s="44"/>
      <c r="P85" s="44"/>
      <c r="W85" s="74"/>
      <c r="X85" s="74"/>
      <c r="Y85" s="74"/>
      <c r="Z85" s="74"/>
      <c r="AA85" s="67"/>
      <c r="AB85" s="74"/>
      <c r="AC85" s="74"/>
      <c r="AD85" s="74"/>
    </row>
    <row r="86" spans="1:30" x14ac:dyDescent="0.25">
      <c r="A86" s="40" t="s">
        <v>21</v>
      </c>
      <c r="B86" s="52">
        <f t="shared" ref="B86:B91" si="131">Q86</f>
        <v>2.75</v>
      </c>
      <c r="C86" s="39" t="str">
        <f t="shared" ref="C86:C91" si="132">IF(L86="","",L86)</f>
        <v>tsp</v>
      </c>
      <c r="D86" s="40" t="str">
        <f t="shared" ref="D86:D91" si="133">_xlfn.CONCAT(K86, U86)</f>
        <v>paprika</v>
      </c>
      <c r="I86" s="54">
        <v>3</v>
      </c>
      <c r="J86" s="55" t="s">
        <v>13</v>
      </c>
      <c r="K86" s="55" t="s">
        <v>104</v>
      </c>
      <c r="L86" s="56" t="s">
        <v>13</v>
      </c>
      <c r="M86" s="47">
        <f t="shared" ref="M86:M91" si="134">INDEX(itemGPerQty, MATCH(K86, itemNames, 0))</f>
        <v>1.2E-2</v>
      </c>
      <c r="N86" s="47">
        <f t="shared" ref="N86:N91" si="135">INDEX(itemMlPerQty, MATCH(K86, itemNames, 0))</f>
        <v>2.2180100000000001E-2</v>
      </c>
      <c r="O86" s="47">
        <f t="shared" ref="O86:O91" si="136">IF(J86 = "", I86 * M86, IF(ISNA(CONVERT(I86, J86, "kg")), CONVERT(I86, J86, "l") * IF(N86 &lt;&gt; 0, M86 / N86, 0), CONVERT(I86, J86, "kg")))</f>
        <v>8.0000170141252738E-3</v>
      </c>
      <c r="P86" s="47">
        <f t="shared" ref="P86:P91" si="137">IF(J86 = "", I86 * N86, IF(ISNA(CONVERT(I86, J86, "l")), CONVERT(I86, J86, "kg") * IF(M86 &lt;&gt; 0, N86 / M86, 0), CONVERT(I86, J86, "l")))</f>
        <v>1.478676478125E-2</v>
      </c>
      <c r="Q86" s="47">
        <f t="shared" ref="Q86:Q91" si="138">MROUND(IF(AND(J86 = "", L86 = ""), I86 * recipe02DayScale, IF(ISNA(CONVERT(O86, "kg", L86)), CONVERT(P86 * recipe02DayScale, "l", L86), CONVERT(O86 * recipe02DayScale, "kg", L86))), roundTo)</f>
        <v>2.75</v>
      </c>
      <c r="R86" s="47">
        <f t="shared" ref="R86:R91" si="139">recipe02TotScale * IF(L86 = "", Q86 * M86, IF(ISNA(CONVERT(Q86, L86, "kg")), CONVERT(Q86, L86, "l") * IF(N86 &lt;&gt; 0, M86 / N86, 0), CONVERT(Q86, L86, "kg")))</f>
        <v>7.3333489296148356E-3</v>
      </c>
      <c r="S86" s="47">
        <f t="shared" ref="S86:S91" si="140">recipe02TotScale * IF(R86 = 0, IF(L86 = "", Q86 * N86, IF(ISNA(CONVERT(Q86, L86, "l")), CONVERT(Q86, L86, "kg") * IF(M86 &lt;&gt; 0, N86 / M86, 0), CONVERT(Q86, L86, "l"))), 0)</f>
        <v>0</v>
      </c>
      <c r="T86" s="47">
        <f t="shared" ref="T86:T91" si="141">recipe02TotScale * IF(AND(R86 = 0, S86 = 0, J86 = "", L86 = ""), Q86, 0)</f>
        <v>0</v>
      </c>
      <c r="V86" s="44" t="b">
        <f t="shared" ref="V86:V91" si="142">INDEX(itemPrepMethods, MATCH(K86, itemNames, 0))="chop"</f>
        <v>0</v>
      </c>
      <c r="W86" s="57" t="str">
        <f t="shared" ref="W86:W91" si="143">IF(V86, Q86, "")</f>
        <v/>
      </c>
      <c r="X86" s="58" t="str">
        <f t="shared" ref="X86:X91" si="144">IF(V86, IF(L86 = "", "", L86), "")</f>
        <v/>
      </c>
      <c r="Y86" s="58" t="str">
        <f t="shared" ref="Y86:Y91" si="145">IF(V86, K86, "")</f>
        <v/>
      </c>
      <c r="Z86" s="59"/>
      <c r="AA86" s="44" t="b">
        <f t="shared" ref="AA86:AA91" si="146">INDEX(itemPrepMethods, MATCH(K86, itemNames, 0))="soak"</f>
        <v>0</v>
      </c>
      <c r="AB86" s="58" t="str">
        <f t="shared" ref="AB86:AB91" si="147">IF(AA86, Q86, "")</f>
        <v/>
      </c>
      <c r="AC86" s="58" t="str">
        <f t="shared" ref="AC86:AC91" si="148">IF(AA86, IF(L86 = "", "", L86), "")</f>
        <v/>
      </c>
      <c r="AD86" s="58" t="str">
        <f t="shared" ref="AD86:AD91" si="149">IF(AA86, K86, "")</f>
        <v/>
      </c>
    </row>
    <row r="87" spans="1:30" x14ac:dyDescent="0.25">
      <c r="A87" s="40" t="s">
        <v>21</v>
      </c>
      <c r="B87" s="52">
        <f t="shared" si="131"/>
        <v>1.75</v>
      </c>
      <c r="C87" s="39" t="str">
        <f t="shared" si="132"/>
        <v>tsp</v>
      </c>
      <c r="D87" s="40" t="str">
        <f t="shared" si="133"/>
        <v>ground turmeric</v>
      </c>
      <c r="I87" s="54">
        <v>2</v>
      </c>
      <c r="J87" s="55" t="s">
        <v>13</v>
      </c>
      <c r="K87" s="55" t="s">
        <v>316</v>
      </c>
      <c r="L87" s="56" t="s">
        <v>13</v>
      </c>
      <c r="M87" s="47">
        <f t="shared" si="134"/>
        <v>1.4E-2</v>
      </c>
      <c r="N87" s="47">
        <f t="shared" si="135"/>
        <v>2.2180100000000001E-2</v>
      </c>
      <c r="O87" s="47">
        <f t="shared" si="136"/>
        <v>6.2222354554307691E-3</v>
      </c>
      <c r="P87" s="47">
        <f t="shared" si="137"/>
        <v>9.8578431874999997E-3</v>
      </c>
      <c r="Q87" s="47">
        <f t="shared" si="138"/>
        <v>1.75</v>
      </c>
      <c r="R87" s="47">
        <f t="shared" si="139"/>
        <v>5.4444560235019238E-3</v>
      </c>
      <c r="S87" s="47">
        <f t="shared" si="140"/>
        <v>0</v>
      </c>
      <c r="T87" s="47">
        <f t="shared" si="141"/>
        <v>0</v>
      </c>
      <c r="V87" s="44" t="b">
        <f t="shared" si="142"/>
        <v>0</v>
      </c>
      <c r="W87" s="57" t="str">
        <f t="shared" si="143"/>
        <v/>
      </c>
      <c r="X87" s="58" t="str">
        <f t="shared" si="144"/>
        <v/>
      </c>
      <c r="Y87" s="58" t="str">
        <f t="shared" si="145"/>
        <v/>
      </c>
      <c r="Z87" s="59"/>
      <c r="AA87" s="44" t="b">
        <f t="shared" si="146"/>
        <v>0</v>
      </c>
      <c r="AB87" s="58" t="str">
        <f t="shared" si="147"/>
        <v/>
      </c>
      <c r="AC87" s="58" t="str">
        <f t="shared" si="148"/>
        <v/>
      </c>
      <c r="AD87" s="58" t="str">
        <f t="shared" si="149"/>
        <v/>
      </c>
    </row>
    <row r="88" spans="1:30" x14ac:dyDescent="0.25">
      <c r="A88" s="40" t="s">
        <v>21</v>
      </c>
      <c r="B88" s="52">
        <f t="shared" si="131"/>
        <v>1.75</v>
      </c>
      <c r="C88" s="39" t="str">
        <f t="shared" si="132"/>
        <v>tsp</v>
      </c>
      <c r="D88" s="40" t="str">
        <f t="shared" si="133"/>
        <v>dried basil</v>
      </c>
      <c r="I88" s="54">
        <v>2</v>
      </c>
      <c r="J88" s="55" t="s">
        <v>13</v>
      </c>
      <c r="K88" s="55" t="s">
        <v>105</v>
      </c>
      <c r="L88" s="56" t="s">
        <v>13</v>
      </c>
      <c r="M88" s="47">
        <f t="shared" si="134"/>
        <v>3.0000000000000001E-3</v>
      </c>
      <c r="N88" s="47">
        <f t="shared" si="135"/>
        <v>2.2180100000000001E-2</v>
      </c>
      <c r="O88" s="47">
        <f t="shared" si="136"/>
        <v>1.333336169020879E-3</v>
      </c>
      <c r="P88" s="47">
        <f t="shared" si="137"/>
        <v>9.8578431874999997E-3</v>
      </c>
      <c r="Q88" s="47">
        <f t="shared" si="138"/>
        <v>1.75</v>
      </c>
      <c r="R88" s="47">
        <f t="shared" si="139"/>
        <v>1.1666691478932692E-3</v>
      </c>
      <c r="S88" s="47">
        <f t="shared" si="140"/>
        <v>0</v>
      </c>
      <c r="T88" s="47">
        <f t="shared" si="141"/>
        <v>0</v>
      </c>
      <c r="V88" s="44" t="b">
        <f t="shared" si="142"/>
        <v>0</v>
      </c>
      <c r="W88" s="57" t="str">
        <f t="shared" si="143"/>
        <v/>
      </c>
      <c r="X88" s="58" t="str">
        <f t="shared" si="144"/>
        <v/>
      </c>
      <c r="Y88" s="58" t="str">
        <f t="shared" si="145"/>
        <v/>
      </c>
      <c r="Z88" s="59"/>
      <c r="AA88" s="44" t="b">
        <f t="shared" si="146"/>
        <v>0</v>
      </c>
      <c r="AB88" s="58" t="str">
        <f t="shared" si="147"/>
        <v/>
      </c>
      <c r="AC88" s="58" t="str">
        <f t="shared" si="148"/>
        <v/>
      </c>
      <c r="AD88" s="58" t="str">
        <f t="shared" si="149"/>
        <v/>
      </c>
    </row>
    <row r="89" spans="1:30" x14ac:dyDescent="0.25">
      <c r="A89" s="40" t="s">
        <v>21</v>
      </c>
      <c r="B89" s="52">
        <f t="shared" si="131"/>
        <v>0.5</v>
      </c>
      <c r="C89" s="39" t="str">
        <f t="shared" si="132"/>
        <v>tsp</v>
      </c>
      <c r="D89" s="40" t="str">
        <f t="shared" si="133"/>
        <v>cinnamon</v>
      </c>
      <c r="I89" s="54">
        <v>0.5</v>
      </c>
      <c r="J89" s="55" t="s">
        <v>13</v>
      </c>
      <c r="K89" s="55" t="s">
        <v>106</v>
      </c>
      <c r="L89" s="56" t="s">
        <v>13</v>
      </c>
      <c r="M89" s="47">
        <f t="shared" si="134"/>
        <v>1.0999999999999999E-2</v>
      </c>
      <c r="N89" s="47">
        <f t="shared" si="135"/>
        <v>2.2180100000000001E-2</v>
      </c>
      <c r="O89" s="47">
        <f t="shared" si="136"/>
        <v>1.2222248216024723E-3</v>
      </c>
      <c r="P89" s="47">
        <f t="shared" si="137"/>
        <v>2.4644607968749999E-3</v>
      </c>
      <c r="Q89" s="47">
        <f t="shared" si="138"/>
        <v>0.5</v>
      </c>
      <c r="R89" s="47">
        <f t="shared" si="139"/>
        <v>1.2222248216024723E-3</v>
      </c>
      <c r="S89" s="47">
        <f t="shared" si="140"/>
        <v>0</v>
      </c>
      <c r="T89" s="47">
        <f t="shared" si="141"/>
        <v>0</v>
      </c>
      <c r="V89" s="44" t="b">
        <f t="shared" si="142"/>
        <v>0</v>
      </c>
      <c r="W89" s="57" t="str">
        <f t="shared" si="143"/>
        <v/>
      </c>
      <c r="X89" s="58" t="str">
        <f t="shared" si="144"/>
        <v/>
      </c>
      <c r="Y89" s="58" t="str">
        <f t="shared" si="145"/>
        <v/>
      </c>
      <c r="Z89" s="59"/>
      <c r="AA89" s="44" t="b">
        <f t="shared" si="146"/>
        <v>0</v>
      </c>
      <c r="AB89" s="58" t="str">
        <f t="shared" si="147"/>
        <v/>
      </c>
      <c r="AC89" s="58" t="str">
        <f t="shared" si="148"/>
        <v/>
      </c>
      <c r="AD89" s="58" t="str">
        <f t="shared" si="149"/>
        <v/>
      </c>
    </row>
    <row r="90" spans="1:30" x14ac:dyDescent="0.25">
      <c r="A90" s="40" t="s">
        <v>21</v>
      </c>
      <c r="B90" s="52">
        <f t="shared" si="131"/>
        <v>1.75</v>
      </c>
      <c r="C90" s="39" t="str">
        <f t="shared" si="132"/>
        <v/>
      </c>
      <c r="D90" s="40" t="str">
        <f t="shared" si="133"/>
        <v>bay leaves</v>
      </c>
      <c r="I90" s="54">
        <v>2</v>
      </c>
      <c r="J90" s="55"/>
      <c r="K90" s="55" t="s">
        <v>90</v>
      </c>
      <c r="L90" s="56"/>
      <c r="M90" s="47">
        <f t="shared" si="134"/>
        <v>0</v>
      </c>
      <c r="N90" s="47">
        <f t="shared" si="135"/>
        <v>0</v>
      </c>
      <c r="O90" s="47">
        <f t="shared" si="136"/>
        <v>0</v>
      </c>
      <c r="P90" s="47">
        <f t="shared" si="137"/>
        <v>0</v>
      </c>
      <c r="Q90" s="47">
        <f t="shared" si="138"/>
        <v>1.75</v>
      </c>
      <c r="R90" s="47">
        <f t="shared" si="139"/>
        <v>0</v>
      </c>
      <c r="S90" s="47">
        <f t="shared" si="140"/>
        <v>0</v>
      </c>
      <c r="T90" s="47">
        <f t="shared" si="141"/>
        <v>1.75</v>
      </c>
      <c r="V90" s="44" t="b">
        <f t="shared" si="142"/>
        <v>0</v>
      </c>
      <c r="W90" s="57" t="str">
        <f t="shared" si="143"/>
        <v/>
      </c>
      <c r="X90" s="58" t="str">
        <f t="shared" si="144"/>
        <v/>
      </c>
      <c r="Y90" s="58" t="str">
        <f t="shared" si="145"/>
        <v/>
      </c>
      <c r="Z90" s="59"/>
      <c r="AA90" s="44" t="b">
        <f t="shared" si="146"/>
        <v>0</v>
      </c>
      <c r="AB90" s="58" t="str">
        <f t="shared" si="147"/>
        <v/>
      </c>
      <c r="AC90" s="58" t="str">
        <f t="shared" si="148"/>
        <v/>
      </c>
      <c r="AD90" s="58" t="str">
        <f t="shared" si="149"/>
        <v/>
      </c>
    </row>
    <row r="91" spans="1:30" x14ac:dyDescent="0.25">
      <c r="A91" s="40" t="s">
        <v>21</v>
      </c>
      <c r="B91" s="52">
        <f t="shared" si="131"/>
        <v>7.25</v>
      </c>
      <c r="C91" s="39" t="str">
        <f t="shared" si="132"/>
        <v>cup</v>
      </c>
      <c r="D91" s="40" t="str">
        <f t="shared" si="133"/>
        <v>water, approximately</v>
      </c>
      <c r="I91" s="54">
        <v>8</v>
      </c>
      <c r="J91" s="55" t="s">
        <v>16</v>
      </c>
      <c r="K91" s="55" t="s">
        <v>48</v>
      </c>
      <c r="L91" s="56" t="s">
        <v>16</v>
      </c>
      <c r="M91" s="47">
        <f t="shared" si="134"/>
        <v>1</v>
      </c>
      <c r="N91" s="47">
        <f t="shared" si="135"/>
        <v>1</v>
      </c>
      <c r="O91" s="47">
        <f t="shared" si="136"/>
        <v>1.8927058919999999</v>
      </c>
      <c r="P91" s="47">
        <f t="shared" si="137"/>
        <v>1.8927058919999999</v>
      </c>
      <c r="Q91" s="47">
        <f t="shared" si="138"/>
        <v>7.25</v>
      </c>
      <c r="R91" s="47">
        <f t="shared" si="139"/>
        <v>1.715264714625</v>
      </c>
      <c r="S91" s="47">
        <f t="shared" si="140"/>
        <v>0</v>
      </c>
      <c r="T91" s="47">
        <f t="shared" si="141"/>
        <v>0</v>
      </c>
      <c r="U91" s="44" t="s">
        <v>226</v>
      </c>
      <c r="V91" s="44" t="b">
        <f t="shared" si="142"/>
        <v>0</v>
      </c>
      <c r="W91" s="57" t="str">
        <f t="shared" si="143"/>
        <v/>
      </c>
      <c r="X91" s="58" t="str">
        <f t="shared" si="144"/>
        <v/>
      </c>
      <c r="Y91" s="58" t="str">
        <f t="shared" si="145"/>
        <v/>
      </c>
      <c r="Z91" s="59"/>
      <c r="AA91" s="44" t="b">
        <f t="shared" si="146"/>
        <v>0</v>
      </c>
      <c r="AB91" s="58" t="str">
        <f t="shared" si="147"/>
        <v/>
      </c>
      <c r="AC91" s="58" t="str">
        <f t="shared" si="148"/>
        <v/>
      </c>
      <c r="AD91" s="58" t="str">
        <f t="shared" si="149"/>
        <v/>
      </c>
    </row>
    <row r="92" spans="1:30" x14ac:dyDescent="0.25">
      <c r="A92" s="107"/>
      <c r="B92" s="107"/>
      <c r="C92" s="107"/>
      <c r="D92" s="107"/>
      <c r="I92" s="47"/>
      <c r="M92" s="44"/>
      <c r="N92" s="44"/>
      <c r="O92" s="44"/>
      <c r="P92" s="44"/>
      <c r="W92" s="74"/>
      <c r="X92" s="74"/>
      <c r="Y92" s="74"/>
      <c r="Z92" s="74"/>
      <c r="AA92" s="67"/>
      <c r="AB92" s="74"/>
      <c r="AC92" s="74"/>
      <c r="AD92" s="74"/>
    </row>
    <row r="93" spans="1:30" x14ac:dyDescent="0.25">
      <c r="A93" s="107" t="s">
        <v>223</v>
      </c>
      <c r="B93" s="107"/>
      <c r="C93" s="107"/>
      <c r="D93" s="107"/>
      <c r="I93" s="47"/>
      <c r="M93" s="44"/>
      <c r="N93" s="44"/>
      <c r="O93" s="44"/>
      <c r="P93" s="44"/>
      <c r="W93" s="74"/>
      <c r="X93" s="74"/>
      <c r="Y93" s="74"/>
      <c r="Z93" s="74"/>
      <c r="AA93" s="67"/>
      <c r="AB93" s="74"/>
      <c r="AC93" s="74"/>
      <c r="AD93" s="74"/>
    </row>
    <row r="94" spans="1:30" x14ac:dyDescent="0.25">
      <c r="A94" s="107"/>
      <c r="B94" s="107"/>
      <c r="C94" s="107"/>
      <c r="D94" s="107"/>
      <c r="I94" s="47"/>
      <c r="M94" s="44"/>
      <c r="N94" s="44"/>
      <c r="O94" s="44"/>
      <c r="P94" s="44"/>
      <c r="W94" s="74"/>
      <c r="X94" s="74"/>
      <c r="Y94" s="74"/>
      <c r="Z94" s="74"/>
      <c r="AA94" s="67"/>
      <c r="AB94" s="74"/>
      <c r="AC94" s="74"/>
      <c r="AD94" s="74"/>
    </row>
    <row r="95" spans="1:30" x14ac:dyDescent="0.25">
      <c r="A95" s="107" t="s">
        <v>224</v>
      </c>
      <c r="B95" s="107"/>
      <c r="C95" s="107"/>
      <c r="D95" s="107"/>
      <c r="I95" s="47"/>
      <c r="M95" s="44"/>
      <c r="N95" s="44"/>
      <c r="O95" s="44"/>
      <c r="P95" s="44"/>
      <c r="W95" s="74"/>
      <c r="X95" s="74"/>
      <c r="Y95" s="74"/>
      <c r="Z95" s="74"/>
      <c r="AA95" s="67"/>
      <c r="AB95" s="74"/>
      <c r="AC95" s="74"/>
      <c r="AD95" s="74"/>
    </row>
    <row r="96" spans="1:30" x14ac:dyDescent="0.25">
      <c r="A96" s="40" t="s">
        <v>21</v>
      </c>
      <c r="B96" s="61">
        <f t="shared" ref="B96" si="150">Q96</f>
        <v>0</v>
      </c>
      <c r="C96" s="39" t="str">
        <f>IF(L96="","",L96)</f>
        <v>cup</v>
      </c>
      <c r="D96" s="40" t="str">
        <f>_xlfn.CONCAT(K96, U96)</f>
        <v>diced green capsicums</v>
      </c>
      <c r="I96" s="54">
        <v>2</v>
      </c>
      <c r="J96" s="55"/>
      <c r="K96" s="55" t="s">
        <v>225</v>
      </c>
      <c r="L96" s="56" t="s">
        <v>16</v>
      </c>
      <c r="M96" s="47">
        <f>INDEX(itemGPerQty, MATCH(K96, itemNames, 0))</f>
        <v>0</v>
      </c>
      <c r="N96" s="47">
        <f>INDEX(itemMlPerQty, MATCH(K96, itemNames, 0))</f>
        <v>0</v>
      </c>
      <c r="O96" s="47">
        <f t="shared" ref="O96" si="151">IF(J96 = "", I96 * M96, IF(ISNA(CONVERT(I96, J96, "kg")), CONVERT(I96, J96, "l") * IF(N96 &lt;&gt; 0, M96 / N96, 0), CONVERT(I96, J96, "kg")))</f>
        <v>0</v>
      </c>
      <c r="P96" s="47">
        <f t="shared" ref="P96" si="152">IF(J96 = "", I96 * N96, IF(ISNA(CONVERT(I96, J96, "l")), CONVERT(I96, J96, "kg") * IF(M96 &lt;&gt; 0, N96 / M96, 0), CONVERT(I96, J96, "l")))</f>
        <v>0</v>
      </c>
      <c r="Q96" s="47">
        <f>MROUND(IF(AND(J96 = "", L96 = ""), I96 * recipe02DayScale, IF(ISNA(CONVERT(O96, "kg", L96)), CONVERT(P96 * recipe02DayScale, "l", L96), CONVERT(O96 * recipe02DayScale, "kg", L96))), roundTo)</f>
        <v>0</v>
      </c>
      <c r="R96" s="47">
        <f>recipe02TotScale * IF(L96 = "", Q96 * M96, IF(ISNA(CONVERT(Q96, L96, "kg")), CONVERT(Q96, L96, "l") * IF(N96 &lt;&gt; 0, M96 / N96, 0), CONVERT(Q96, L96, "kg")))</f>
        <v>0</v>
      </c>
      <c r="S96" s="47">
        <f>recipe02TotScale * IF(R96 = 0, IF(L96 = "", Q96 * N96, IF(ISNA(CONVERT(Q96, L96, "l")), CONVERT(Q96, L96, "kg") * IF(M96 &lt;&gt; 0, N96 / M96, 0), CONVERT(Q96, L96, "l"))), 0)</f>
        <v>0</v>
      </c>
      <c r="T96" s="47">
        <f>recipe02TotScale * IF(AND(R96 = 0, S96 = 0, J96 = "", L96 = ""), Q96, 0)</f>
        <v>0</v>
      </c>
      <c r="V96" s="44" t="b">
        <f>INDEX(itemPrepMethods, MATCH(K96, itemNames, 0))="chop"</f>
        <v>1</v>
      </c>
      <c r="W96" s="57">
        <f>IF(V96, Q96, "")</f>
        <v>0</v>
      </c>
      <c r="X96" s="58" t="str">
        <f>IF(V96, IF(L96 = "", "", L96), "")</f>
        <v>cup</v>
      </c>
      <c r="Y96" s="58" t="str">
        <f>IF(V96, K96, "")</f>
        <v>diced green capsicums</v>
      </c>
      <c r="Z96" s="59"/>
      <c r="AA96" s="44" t="b">
        <f>INDEX(itemPrepMethods, MATCH(K96, itemNames, 0))="soak"</f>
        <v>0</v>
      </c>
      <c r="AB96" s="58" t="str">
        <f>IF(AA96, Q96, "")</f>
        <v/>
      </c>
      <c r="AC96" s="58" t="str">
        <f>IF(AA96, IF(L96 = "", "", L96), "")</f>
        <v/>
      </c>
      <c r="AD96" s="58" t="str">
        <f>IF(AA96, K96, "")</f>
        <v/>
      </c>
    </row>
    <row r="97" spans="1:30" x14ac:dyDescent="0.25">
      <c r="A97" s="107"/>
      <c r="B97" s="107"/>
      <c r="C97" s="107"/>
      <c r="D97" s="107"/>
      <c r="I97" s="47"/>
      <c r="M97" s="44"/>
      <c r="N97" s="44"/>
      <c r="O97" s="44"/>
      <c r="P97" s="44"/>
    </row>
    <row r="98" spans="1:30" x14ac:dyDescent="0.25">
      <c r="A98" s="107" t="s">
        <v>227</v>
      </c>
      <c r="B98" s="107"/>
      <c r="C98" s="107"/>
      <c r="D98" s="107"/>
      <c r="I98" s="47"/>
      <c r="M98" s="44"/>
      <c r="N98" s="44"/>
      <c r="O98" s="44"/>
      <c r="P98" s="44"/>
    </row>
    <row r="99" spans="1:30" x14ac:dyDescent="0.25">
      <c r="A99" s="40" t="s">
        <v>21</v>
      </c>
      <c r="D99" s="40" t="s">
        <v>108</v>
      </c>
      <c r="I99" s="47"/>
      <c r="M99" s="44"/>
      <c r="N99" s="44"/>
      <c r="O99" s="44"/>
      <c r="P99" s="44"/>
    </row>
    <row r="100" spans="1:30" ht="15.75" x14ac:dyDescent="0.25">
      <c r="A100" s="108" t="s">
        <v>26</v>
      </c>
      <c r="B100" s="108"/>
      <c r="C100" s="108"/>
      <c r="D100" s="108"/>
      <c r="E100" s="43" t="s">
        <v>139</v>
      </c>
      <c r="F100" s="105" t="s">
        <v>78</v>
      </c>
      <c r="G100" s="105"/>
      <c r="I100" s="47"/>
    </row>
    <row r="101" spans="1:30" ht="24" x14ac:dyDescent="0.2">
      <c r="A101" s="108" t="s">
        <v>273</v>
      </c>
      <c r="B101" s="108"/>
      <c r="C101" s="108"/>
      <c r="D101" s="108"/>
      <c r="E101" s="42" t="s">
        <v>56</v>
      </c>
      <c r="F101" s="90">
        <v>21</v>
      </c>
      <c r="G101" s="47"/>
      <c r="H101" s="47"/>
      <c r="I101" s="70" t="s">
        <v>448</v>
      </c>
      <c r="J101" s="71" t="s">
        <v>449</v>
      </c>
      <c r="K101" s="71" t="s">
        <v>17</v>
      </c>
      <c r="L101" s="72" t="s">
        <v>452</v>
      </c>
      <c r="M101" s="70" t="s">
        <v>148</v>
      </c>
      <c r="N101" s="70" t="s">
        <v>149</v>
      </c>
      <c r="O101" s="70" t="s">
        <v>450</v>
      </c>
      <c r="P101" s="70" t="s">
        <v>451</v>
      </c>
      <c r="Q101" s="71" t="s">
        <v>364</v>
      </c>
      <c r="R101" s="70" t="s">
        <v>365</v>
      </c>
      <c r="S101" s="70" t="s">
        <v>366</v>
      </c>
      <c r="T101" s="70" t="s">
        <v>367</v>
      </c>
      <c r="U101" s="71" t="s">
        <v>22</v>
      </c>
      <c r="V101" s="71" t="s">
        <v>212</v>
      </c>
      <c r="W101" s="73" t="s">
        <v>364</v>
      </c>
      <c r="X101" s="71" t="s">
        <v>210</v>
      </c>
      <c r="Y101" s="71" t="s">
        <v>211</v>
      </c>
      <c r="Z101" s="71" t="s">
        <v>313</v>
      </c>
      <c r="AA101" s="71" t="s">
        <v>213</v>
      </c>
      <c r="AB101" s="73" t="s">
        <v>364</v>
      </c>
      <c r="AC101" s="71" t="s">
        <v>214</v>
      </c>
      <c r="AD101" s="71" t="s">
        <v>215</v>
      </c>
    </row>
    <row r="102" spans="1:30" ht="16.5" thickBot="1" x14ac:dyDescent="0.3">
      <c r="A102" s="109"/>
      <c r="B102" s="109"/>
      <c r="C102" s="109"/>
      <c r="D102" s="109"/>
      <c r="E102" s="66" t="s">
        <v>359</v>
      </c>
      <c r="F102" s="90">
        <f>suLuCount</f>
        <v>10</v>
      </c>
      <c r="G102" s="47"/>
      <c r="H102" s="53"/>
      <c r="I102" s="63"/>
      <c r="J102" s="42"/>
      <c r="K102" s="42"/>
      <c r="L102" s="64"/>
      <c r="M102" s="63"/>
      <c r="N102" s="63"/>
      <c r="O102" s="63"/>
      <c r="P102" s="63"/>
      <c r="U102" s="42"/>
    </row>
    <row r="103" spans="1:30" ht="15.75" thickBot="1" x14ac:dyDescent="0.3">
      <c r="A103" s="107" t="s">
        <v>252</v>
      </c>
      <c r="B103" s="107"/>
      <c r="C103" s="107"/>
      <c r="D103" s="107"/>
      <c r="E103" s="66" t="s">
        <v>362</v>
      </c>
      <c r="F103" s="50">
        <f>F102/F101</f>
        <v>0.47619047619047616</v>
      </c>
      <c r="G103" s="51" t="s">
        <v>374</v>
      </c>
      <c r="H103" s="53"/>
      <c r="I103" s="63"/>
      <c r="J103" s="42"/>
      <c r="K103" s="42"/>
      <c r="L103" s="64"/>
      <c r="M103" s="63"/>
      <c r="N103" s="63"/>
      <c r="O103" s="63"/>
      <c r="P103" s="63"/>
      <c r="U103" s="42"/>
    </row>
    <row r="104" spans="1:30" x14ac:dyDescent="0.25">
      <c r="A104" s="40" t="s">
        <v>21</v>
      </c>
      <c r="B104" s="52">
        <f t="shared" ref="B104:B131" si="153">Q104</f>
        <v>3.5</v>
      </c>
      <c r="C104" s="39" t="str">
        <f t="shared" ref="C104:C136" si="154">IF(L104="","",L104)</f>
        <v>cup</v>
      </c>
      <c r="D104" s="40" t="str">
        <f>_xlfn.CONCAT(K104, U104)</f>
        <v>red lentils. Blot with paper towels or clean tea towels to get as dry as possible</v>
      </c>
      <c r="E104" s="67"/>
      <c r="F104" s="67"/>
      <c r="G104" s="67"/>
      <c r="I104" s="62">
        <v>7.5</v>
      </c>
      <c r="J104" s="55" t="s">
        <v>16</v>
      </c>
      <c r="K104" s="55" t="s">
        <v>45</v>
      </c>
      <c r="L104" s="56" t="s">
        <v>16</v>
      </c>
      <c r="M104" s="47">
        <f t="shared" ref="M104:M131" si="155">INDEX(itemGPerQty, MATCH(K104, itemNames, 0))</f>
        <v>0.80800000000000005</v>
      </c>
      <c r="N104" s="47">
        <f t="shared" ref="N104:N131" si="156">INDEX(itemMlPerQty, MATCH(K104, itemNames, 0))</f>
        <v>0.946353</v>
      </c>
      <c r="O104" s="47">
        <f t="shared" ref="O104:O131" si="157">IF(J104 = "", I104 * M104, IF(ISNA(CONVERT(I104, J104, "kg")), CONVERT(I104, J104, "l") * IF(N104 &lt;&gt; 0, M104 / N104, 0), CONVERT(I104, J104, "kg")))</f>
        <v>1.5149999135523426</v>
      </c>
      <c r="P104" s="47">
        <f t="shared" ref="P104:P131" si="158">IF(J104 = "", I104 * N104, IF(ISNA(CONVERT(I104, J104, "l")), CONVERT(I104, J104, "kg") * IF(M104 &lt;&gt; 0, N104 / M104, 0), CONVERT(I104, J104, "l")))</f>
        <v>1.77441177375</v>
      </c>
      <c r="Q104" s="47">
        <f>MROUND(IF(AND(J104 = "", L104 = ""), I104 * recipe08DayScale, IF(ISNA(CONVERT(O104, "kg", L104)), CONVERT(P104 * recipe08DayScale, "l", L104), CONVERT(O104 * recipe08DayScale, "kg", L104))), roundTo)</f>
        <v>3.5</v>
      </c>
      <c r="R104" s="47">
        <f>recipe08TotScale * IF(L104 = "", Q104 * M104, IF(ISNA(CONVERT(Q104, L104, "kg")), CONVERT(Q104, L104, "l") * IF(N104 &lt;&gt; 0, M104 / N104, 0), CONVERT(Q104, L104, "kg")))</f>
        <v>0.70699995965775986</v>
      </c>
      <c r="S104" s="47">
        <f>recipe08TotScale * IF(R104 = 0, IF(L104 = "", Q104 * N104, IF(ISNA(CONVERT(Q104, L104, "l")), CONVERT(Q104, L104, "kg") * IF(M104 &lt;&gt; 0, N104 / M104, 0), CONVERT(Q104, L104, "l"))), 0)</f>
        <v>0</v>
      </c>
      <c r="T104" s="47">
        <f>recipe08TotScale * IF(AND(R104 = 0, S104 = 0, J104 = "", L104 = ""), Q104, 0)</f>
        <v>0</v>
      </c>
      <c r="U104" s="44" t="s">
        <v>228</v>
      </c>
      <c r="V104" s="44" t="b">
        <f>INDEX(itemPrepMethods, MATCH(K104, itemNames, 0))="chop"</f>
        <v>0</v>
      </c>
      <c r="W104" s="57" t="str">
        <f>IF(V104, Q104, "")</f>
        <v/>
      </c>
      <c r="X104" s="58" t="str">
        <f>IF(V104, IF(L104 = "", "", L104), "")</f>
        <v/>
      </c>
      <c r="Y104" s="58" t="str">
        <f>IF(V104, K104, "")</f>
        <v/>
      </c>
      <c r="Z104" s="59"/>
      <c r="AA104" s="44" t="b">
        <f>INDEX(itemPrepMethods, MATCH(K104, itemNames, 0))="soak"</f>
        <v>1</v>
      </c>
      <c r="AB104" s="58">
        <f>IF(AA104, Q104, "")</f>
        <v>3.5</v>
      </c>
      <c r="AC104" s="58" t="str">
        <f>IF(AA104, IF(L104 = "", "", L104), "")</f>
        <v>cup</v>
      </c>
      <c r="AD104" s="58" t="str">
        <f>IF(AA104, K104, "")</f>
        <v>red lentils</v>
      </c>
    </row>
    <row r="105" spans="1:30" ht="15.75" thickBot="1" x14ac:dyDescent="0.3">
      <c r="A105" s="107"/>
      <c r="B105" s="107"/>
      <c r="C105" s="107"/>
      <c r="D105" s="107"/>
      <c r="E105" s="66" t="s">
        <v>338</v>
      </c>
      <c r="F105" s="90">
        <f>suLuCount</f>
        <v>10</v>
      </c>
      <c r="G105" s="67"/>
      <c r="I105" s="47"/>
      <c r="M105" s="44"/>
      <c r="N105" s="44"/>
      <c r="O105" s="44"/>
      <c r="P105" s="44"/>
      <c r="W105" s="74"/>
      <c r="X105" s="74"/>
      <c r="Y105" s="74"/>
      <c r="Z105" s="74"/>
      <c r="AA105" s="67"/>
      <c r="AB105" s="74"/>
      <c r="AC105" s="74"/>
      <c r="AD105" s="74"/>
    </row>
    <row r="106" spans="1:30" ht="15.75" thickBot="1" x14ac:dyDescent="0.3">
      <c r="A106" s="107" t="s">
        <v>248</v>
      </c>
      <c r="B106" s="107"/>
      <c r="C106" s="107"/>
      <c r="D106" s="107"/>
      <c r="E106" s="66" t="s">
        <v>363</v>
      </c>
      <c r="F106" s="50">
        <f>F105/F102</f>
        <v>1</v>
      </c>
      <c r="G106" s="51" t="s">
        <v>375</v>
      </c>
      <c r="I106" s="47"/>
      <c r="M106" s="44"/>
      <c r="N106" s="44"/>
      <c r="O106" s="44"/>
      <c r="P106" s="44"/>
      <c r="W106" s="74"/>
      <c r="X106" s="74"/>
      <c r="Y106" s="74"/>
      <c r="Z106" s="74"/>
      <c r="AA106" s="67"/>
      <c r="AB106" s="74"/>
      <c r="AC106" s="74"/>
      <c r="AD106" s="74"/>
    </row>
    <row r="107" spans="1:30" x14ac:dyDescent="0.25">
      <c r="A107" s="40" t="s">
        <v>21</v>
      </c>
      <c r="D107" s="40" t="str">
        <f>_xlfn.CONCAT(K107, U107)</f>
        <v>washed lentils from step 1</v>
      </c>
      <c r="I107" s="47"/>
      <c r="U107" s="44" t="s">
        <v>245</v>
      </c>
      <c r="W107" s="74"/>
      <c r="X107" s="74"/>
      <c r="Y107" s="74"/>
      <c r="Z107" s="74"/>
      <c r="AA107" s="67"/>
      <c r="AB107" s="74"/>
      <c r="AC107" s="74"/>
      <c r="AD107" s="74"/>
    </row>
    <row r="108" spans="1:30" x14ac:dyDescent="0.25">
      <c r="A108" s="40" t="s">
        <v>21</v>
      </c>
      <c r="B108" s="52">
        <f t="shared" si="153"/>
        <v>1.25</v>
      </c>
      <c r="C108" s="39" t="str">
        <f t="shared" si="154"/>
        <v>tbs</v>
      </c>
      <c r="D108" s="40" t="str">
        <f>_xlfn.CONCAT(K108, U108)</f>
        <v>ground turmeric</v>
      </c>
      <c r="I108" s="62">
        <v>7.5</v>
      </c>
      <c r="J108" s="55" t="s">
        <v>13</v>
      </c>
      <c r="K108" s="55" t="s">
        <v>316</v>
      </c>
      <c r="L108" s="56" t="s">
        <v>15</v>
      </c>
      <c r="M108" s="47">
        <f t="shared" si="155"/>
        <v>1.4E-2</v>
      </c>
      <c r="N108" s="47">
        <f t="shared" si="156"/>
        <v>2.2180100000000001E-2</v>
      </c>
      <c r="O108" s="47">
        <f t="shared" si="157"/>
        <v>2.3333382957865384E-2</v>
      </c>
      <c r="P108" s="47">
        <f t="shared" si="158"/>
        <v>3.6966911953125001E-2</v>
      </c>
      <c r="Q108" s="47">
        <f>MROUND(IF(AND(J108 = "", L108 = ""), I108 * recipe08DayScale, IF(ISNA(CONVERT(O108, "kg", L108)), CONVERT(P108 * recipe08DayScale, "l", L108), CONVERT(O108 * recipe08DayScale, "kg", L108))), roundTo)</f>
        <v>1.25</v>
      </c>
      <c r="R108" s="47">
        <f>recipe08TotScale * IF(L108 = "", Q108 * M108, IF(ISNA(CONVERT(Q108, L108, "kg")), CONVERT(Q108, L108, "l") * IF(N108 &lt;&gt; 0, M108 / N108, 0), CONVERT(Q108, L108, "kg")))</f>
        <v>1.1666691478932692E-2</v>
      </c>
      <c r="S108" s="47">
        <f>recipe08TotScale * IF(R108 = 0, IF(L108 = "", Q108 * N108, IF(ISNA(CONVERT(Q108, L108, "l")), CONVERT(Q108, L108, "kg") * IF(M108 &lt;&gt; 0, N108 / M108, 0), CONVERT(Q108, L108, "l"))), 0)</f>
        <v>0</v>
      </c>
      <c r="T108" s="47">
        <f>recipe08TotScale * IF(AND(R108 = 0, S108 = 0, J108 = "", L108 = ""), Q108, 0)</f>
        <v>0</v>
      </c>
      <c r="V108" s="44" t="b">
        <f>INDEX(itemPrepMethods, MATCH(K108, itemNames, 0))="chop"</f>
        <v>0</v>
      </c>
      <c r="W108" s="57" t="str">
        <f>IF(V108, Q108, "")</f>
        <v/>
      </c>
      <c r="X108" s="58" t="str">
        <f>IF(V108, IF(L108 = "", "", L108), "")</f>
        <v/>
      </c>
      <c r="Y108" s="58" t="str">
        <f>IF(V108, K108, "")</f>
        <v/>
      </c>
      <c r="Z108" s="59"/>
      <c r="AA108" s="44" t="b">
        <f>INDEX(itemPrepMethods, MATCH(K108, itemNames, 0))="soak"</f>
        <v>0</v>
      </c>
      <c r="AB108" s="58" t="str">
        <f>IF(AA108, Q108, "")</f>
        <v/>
      </c>
      <c r="AC108" s="58" t="str">
        <f>IF(AA108, IF(L108 = "", "", L108), "")</f>
        <v/>
      </c>
      <c r="AD108" s="58" t="str">
        <f>IF(AA108, K108, "")</f>
        <v/>
      </c>
    </row>
    <row r="109" spans="1:30" x14ac:dyDescent="0.25">
      <c r="A109" s="40" t="s">
        <v>21</v>
      </c>
      <c r="B109" s="52">
        <f t="shared" si="153"/>
        <v>0.25</v>
      </c>
      <c r="C109" s="39" t="str">
        <f t="shared" si="154"/>
        <v>cup</v>
      </c>
      <c r="D109" s="40" t="str">
        <f>_xlfn.CONCAT(K109, U109)</f>
        <v>oil</v>
      </c>
      <c r="I109" s="62">
        <v>0.75</v>
      </c>
      <c r="J109" s="55" t="s">
        <v>16</v>
      </c>
      <c r="K109" s="55" t="s">
        <v>46</v>
      </c>
      <c r="L109" s="56" t="s">
        <v>16</v>
      </c>
      <c r="M109" s="47">
        <f t="shared" si="155"/>
        <v>0</v>
      </c>
      <c r="N109" s="47">
        <f t="shared" si="156"/>
        <v>0</v>
      </c>
      <c r="O109" s="47">
        <f t="shared" si="157"/>
        <v>0</v>
      </c>
      <c r="P109" s="47">
        <f t="shared" si="158"/>
        <v>0.17744117737499998</v>
      </c>
      <c r="Q109" s="47">
        <f>MROUND(IF(AND(J109 = "", L109 = ""), I109 * recipe08DayScale, IF(ISNA(CONVERT(O109, "kg", L109)), CONVERT(P109 * recipe08DayScale, "l", L109), CONVERT(O109 * recipe08DayScale, "kg", L109))), roundTo)</f>
        <v>0.25</v>
      </c>
      <c r="R109" s="47">
        <f>recipe08TotScale * IF(L109 = "", Q109 * M109, IF(ISNA(CONVERT(Q109, L109, "kg")), CONVERT(Q109, L109, "l") * IF(N109 &lt;&gt; 0, M109 / N109, 0), CONVERT(Q109, L109, "kg")))</f>
        <v>0</v>
      </c>
      <c r="S109" s="47">
        <f>recipe08TotScale * IF(R109 = 0, IF(L109 = "", Q109 * N109, IF(ISNA(CONVERT(Q109, L109, "l")), CONVERT(Q109, L109, "kg") * IF(M109 &lt;&gt; 0, N109 / M109, 0), CONVERT(Q109, L109, "l"))), 0)</f>
        <v>5.9147059124999998E-2</v>
      </c>
      <c r="T109" s="47">
        <f>recipe08TotScale * IF(AND(R109 = 0, S109 = 0, J109 = "", L109 = ""), Q109, 0)</f>
        <v>0</v>
      </c>
      <c r="V109" s="44" t="b">
        <f>INDEX(itemPrepMethods, MATCH(K109, itemNames, 0))="chop"</f>
        <v>0</v>
      </c>
      <c r="W109" s="57" t="str">
        <f>IF(V109, Q109, "")</f>
        <v/>
      </c>
      <c r="X109" s="58" t="str">
        <f>IF(V109, IF(L109 = "", "", L109), "")</f>
        <v/>
      </c>
      <c r="Y109" s="58" t="str">
        <f>IF(V109, K109, "")</f>
        <v/>
      </c>
      <c r="Z109" s="59"/>
      <c r="AA109" s="44" t="b">
        <f>INDEX(itemPrepMethods, MATCH(K109, itemNames, 0))="soak"</f>
        <v>0</v>
      </c>
      <c r="AB109" s="58" t="str">
        <f>IF(AA109, Q109, "")</f>
        <v/>
      </c>
      <c r="AC109" s="58" t="str">
        <f>IF(AA109, IF(L109 = "", "", L109), "")</f>
        <v/>
      </c>
      <c r="AD109" s="58" t="str">
        <f>IF(AA109, K109, "")</f>
        <v/>
      </c>
    </row>
    <row r="110" spans="1:30" x14ac:dyDescent="0.25">
      <c r="A110" s="107"/>
      <c r="B110" s="107"/>
      <c r="C110" s="107"/>
      <c r="D110" s="107"/>
      <c r="I110" s="47"/>
      <c r="M110" s="44"/>
      <c r="N110" s="44"/>
      <c r="O110" s="44"/>
      <c r="P110" s="44"/>
      <c r="W110" s="74"/>
      <c r="X110" s="74"/>
      <c r="Y110" s="74"/>
      <c r="Z110" s="74"/>
      <c r="AA110" s="67"/>
      <c r="AB110" s="74"/>
      <c r="AC110" s="74"/>
      <c r="AD110" s="74"/>
    </row>
    <row r="111" spans="1:30" x14ac:dyDescent="0.25">
      <c r="A111" s="107" t="s">
        <v>247</v>
      </c>
      <c r="B111" s="107"/>
      <c r="C111" s="107"/>
      <c r="D111" s="107"/>
      <c r="I111" s="47"/>
      <c r="M111" s="44"/>
      <c r="N111" s="44"/>
      <c r="O111" s="44"/>
      <c r="P111" s="44"/>
      <c r="W111" s="74"/>
      <c r="X111" s="74"/>
      <c r="Y111" s="74"/>
      <c r="Z111" s="74"/>
      <c r="AA111" s="67"/>
      <c r="AB111" s="74"/>
      <c r="AC111" s="74"/>
      <c r="AD111" s="74"/>
    </row>
    <row r="112" spans="1:30" x14ac:dyDescent="0.25">
      <c r="A112" s="40" t="s">
        <v>21</v>
      </c>
      <c r="B112" s="52">
        <f t="shared" si="153"/>
        <v>1.5</v>
      </c>
      <c r="C112" s="39" t="str">
        <f t="shared" si="154"/>
        <v/>
      </c>
      <c r="D112" s="40" t="str">
        <f>_xlfn.CONCAT(K112, U112)</f>
        <v>tins chopped tomatoes, drained</v>
      </c>
      <c r="I112" s="62">
        <v>3</v>
      </c>
      <c r="J112" s="55"/>
      <c r="K112" s="55" t="s">
        <v>47</v>
      </c>
      <c r="L112" s="56"/>
      <c r="M112" s="47">
        <f t="shared" si="155"/>
        <v>0</v>
      </c>
      <c r="N112" s="47">
        <f t="shared" si="156"/>
        <v>0</v>
      </c>
      <c r="O112" s="47">
        <f t="shared" si="157"/>
        <v>0</v>
      </c>
      <c r="P112" s="47">
        <f t="shared" si="158"/>
        <v>0</v>
      </c>
      <c r="Q112" s="47">
        <f>MROUND(IF(AND(J112 = "", L112 = ""), I112 * recipe08DayScale, IF(ISNA(CONVERT(O112, "kg", L112)), CONVERT(P112 * recipe08DayScale, "l", L112), CONVERT(O112 * recipe08DayScale, "kg", L112))), roundTo)</f>
        <v>1.5</v>
      </c>
      <c r="R112" s="47">
        <f>recipe08TotScale * IF(L112 = "", Q112 * M112, IF(ISNA(CONVERT(Q112, L112, "kg")), CONVERT(Q112, L112, "l") * IF(N112 &lt;&gt; 0, M112 / N112, 0), CONVERT(Q112, L112, "kg")))</f>
        <v>0</v>
      </c>
      <c r="S112" s="47">
        <f>recipe08TotScale * IF(R112 = 0, IF(L112 = "", Q112 * N112, IF(ISNA(CONVERT(Q112, L112, "l")), CONVERT(Q112, L112, "kg") * IF(M112 &lt;&gt; 0, N112 / M112, 0), CONVERT(Q112, L112, "l"))), 0)</f>
        <v>0</v>
      </c>
      <c r="T112" s="47">
        <f>recipe08TotScale * IF(AND(R112 = 0, S112 = 0, J112 = "", L112 = ""), Q112, 0)</f>
        <v>1.5</v>
      </c>
      <c r="U112" s="44" t="s">
        <v>230</v>
      </c>
      <c r="V112" s="44" t="b">
        <f>INDEX(itemPrepMethods, MATCH(K112, itemNames, 0))="chop"</f>
        <v>0</v>
      </c>
      <c r="W112" s="57" t="str">
        <f>IF(V112, Q112, "")</f>
        <v/>
      </c>
      <c r="X112" s="58" t="str">
        <f>IF(V112, IF(L112 = "", "", L112), "")</f>
        <v/>
      </c>
      <c r="Y112" s="58" t="str">
        <f>IF(V112, K112, "")</f>
        <v/>
      </c>
      <c r="Z112" s="59"/>
      <c r="AA112" s="44" t="b">
        <f>INDEX(itemPrepMethods, MATCH(K112, itemNames, 0))="soak"</f>
        <v>0</v>
      </c>
      <c r="AB112" s="58" t="str">
        <f>IF(AA112, Q112, "")</f>
        <v/>
      </c>
      <c r="AC112" s="58" t="str">
        <f>IF(AA112, IF(L112 = "", "", L112), "")</f>
        <v/>
      </c>
      <c r="AD112" s="58" t="str">
        <f>IF(AA112, K112, "")</f>
        <v/>
      </c>
    </row>
    <row r="113" spans="1:30" x14ac:dyDescent="0.25">
      <c r="A113" s="40" t="s">
        <v>21</v>
      </c>
      <c r="B113" s="52">
        <f t="shared" si="153"/>
        <v>4.75</v>
      </c>
      <c r="C113" s="39" t="str">
        <f t="shared" si="154"/>
        <v/>
      </c>
      <c r="D113" s="40" t="str">
        <f>_xlfn.CONCAT(K113, U113)</f>
        <v>chopped zucchini</v>
      </c>
      <c r="I113" s="62">
        <v>10</v>
      </c>
      <c r="J113" s="55"/>
      <c r="K113" s="55" t="s">
        <v>197</v>
      </c>
      <c r="L113" s="56"/>
      <c r="M113" s="47">
        <f t="shared" si="155"/>
        <v>0</v>
      </c>
      <c r="N113" s="47">
        <f t="shared" si="156"/>
        <v>0</v>
      </c>
      <c r="O113" s="47">
        <f t="shared" si="157"/>
        <v>0</v>
      </c>
      <c r="P113" s="47">
        <f t="shared" si="158"/>
        <v>0</v>
      </c>
      <c r="Q113" s="47">
        <f>MROUND(IF(AND(J113 = "", L113 = ""), I113 * recipe08DayScale, IF(ISNA(CONVERT(O113, "kg", L113)), CONVERT(P113 * recipe08DayScale, "l", L113), CONVERT(O113 * recipe08DayScale, "kg", L113))), roundTo)</f>
        <v>4.75</v>
      </c>
      <c r="R113" s="47">
        <f>recipe08TotScale * IF(L113 = "", Q113 * M113, IF(ISNA(CONVERT(Q113, L113, "kg")), CONVERT(Q113, L113, "l") * IF(N113 &lt;&gt; 0, M113 / N113, 0), CONVERT(Q113, L113, "kg")))</f>
        <v>0</v>
      </c>
      <c r="S113" s="47">
        <f>recipe08TotScale * IF(R113 = 0, IF(L113 = "", Q113 * N113, IF(ISNA(CONVERT(Q113, L113, "l")), CONVERT(Q113, L113, "kg") * IF(M113 &lt;&gt; 0, N113 / M113, 0), CONVERT(Q113, L113, "l"))), 0)</f>
        <v>0</v>
      </c>
      <c r="T113" s="47">
        <f>recipe08TotScale * IF(AND(R113 = 0, S113 = 0, J113 = "", L113 = ""), Q113, 0)</f>
        <v>4.75</v>
      </c>
      <c r="V113" s="44" t="b">
        <f>INDEX(itemPrepMethods, MATCH(K113, itemNames, 0))="chop"</f>
        <v>1</v>
      </c>
      <c r="W113" s="57">
        <f>IF(V113, Q113, "")</f>
        <v>4.75</v>
      </c>
      <c r="X113" s="58" t="str">
        <f>IF(V113, IF(L113 = "", "", L113), "")</f>
        <v/>
      </c>
      <c r="Y113" s="58" t="str">
        <f>IF(V113, K113, "")</f>
        <v>chopped zucchini</v>
      </c>
      <c r="Z113" s="59"/>
      <c r="AA113" s="44" t="b">
        <f>INDEX(itemPrepMethods, MATCH(K113, itemNames, 0))="soak"</f>
        <v>0</v>
      </c>
      <c r="AB113" s="58" t="str">
        <f>IF(AA113, Q113, "")</f>
        <v/>
      </c>
      <c r="AC113" s="58" t="str">
        <f>IF(AA113, IF(L113 = "", "", L113), "")</f>
        <v/>
      </c>
      <c r="AD113" s="58" t="str">
        <f>IF(AA113, K113, "")</f>
        <v/>
      </c>
    </row>
    <row r="114" spans="1:30" x14ac:dyDescent="0.25">
      <c r="A114" s="107"/>
      <c r="B114" s="107"/>
      <c r="C114" s="107"/>
      <c r="D114" s="107"/>
      <c r="I114" s="47"/>
      <c r="M114" s="44"/>
      <c r="N114" s="44"/>
      <c r="O114" s="44"/>
      <c r="P114" s="44"/>
      <c r="W114" s="74"/>
      <c r="X114" s="74"/>
      <c r="Y114" s="74"/>
      <c r="Z114" s="74"/>
      <c r="AA114" s="67"/>
      <c r="AB114" s="74"/>
      <c r="AC114" s="74"/>
      <c r="AD114" s="74"/>
    </row>
    <row r="115" spans="1:30" x14ac:dyDescent="0.25">
      <c r="A115" s="107" t="s">
        <v>229</v>
      </c>
      <c r="B115" s="107"/>
      <c r="C115" s="107"/>
      <c r="D115" s="107"/>
      <c r="I115" s="47"/>
      <c r="M115" s="44"/>
      <c r="N115" s="44"/>
      <c r="O115" s="44"/>
      <c r="P115" s="44"/>
      <c r="W115" s="74"/>
      <c r="X115" s="74"/>
      <c r="Y115" s="74"/>
      <c r="Z115" s="74"/>
      <c r="AA115" s="67"/>
      <c r="AB115" s="74"/>
      <c r="AC115" s="74"/>
      <c r="AD115" s="74"/>
    </row>
    <row r="116" spans="1:30" x14ac:dyDescent="0.25">
      <c r="A116" s="40" t="s">
        <v>21</v>
      </c>
      <c r="B116" s="52">
        <f t="shared" si="153"/>
        <v>10</v>
      </c>
      <c r="C116" s="39" t="str">
        <f t="shared" si="154"/>
        <v>cup</v>
      </c>
      <c r="D116" s="40" t="str">
        <f>_xlfn.CONCAT(K116, U116)</f>
        <v>water</v>
      </c>
      <c r="I116" s="62">
        <v>21</v>
      </c>
      <c r="J116" s="55" t="s">
        <v>16</v>
      </c>
      <c r="K116" s="55" t="s">
        <v>48</v>
      </c>
      <c r="L116" s="56" t="s">
        <v>16</v>
      </c>
      <c r="M116" s="47">
        <f t="shared" si="155"/>
        <v>1</v>
      </c>
      <c r="N116" s="47">
        <f t="shared" si="156"/>
        <v>1</v>
      </c>
      <c r="O116" s="47">
        <f t="shared" si="157"/>
        <v>4.9683529664999995</v>
      </c>
      <c r="P116" s="47">
        <f t="shared" si="158"/>
        <v>4.9683529664999995</v>
      </c>
      <c r="Q116" s="47">
        <f>MROUND(IF(AND(J116 = "", L116 = ""), I116 * recipe08DayScale, IF(ISNA(CONVERT(O116, "kg", L116)), CONVERT(P116 * recipe08DayScale, "l", L116), CONVERT(O116 * recipe08DayScale, "kg", L116))), roundTo)</f>
        <v>10</v>
      </c>
      <c r="R116" s="47">
        <f>recipe08TotScale * IF(L116 = "", Q116 * M116, IF(ISNA(CONVERT(Q116, L116, "kg")), CONVERT(Q116, L116, "l") * IF(N116 &lt;&gt; 0, M116 / N116, 0), CONVERT(Q116, L116, "kg")))</f>
        <v>2.365882365</v>
      </c>
      <c r="S116" s="47">
        <f>recipe08TotScale * IF(R116 = 0, IF(L116 = "", Q116 * N116, IF(ISNA(CONVERT(Q116, L116, "l")), CONVERT(Q116, L116, "kg") * IF(M116 &lt;&gt; 0, N116 / M116, 0), CONVERT(Q116, L116, "l"))), 0)</f>
        <v>0</v>
      </c>
      <c r="T116" s="47">
        <f>recipe08TotScale * IF(AND(R116 = 0, S116 = 0, J116 = "", L116 = ""), Q116, 0)</f>
        <v>0</v>
      </c>
      <c r="V116" s="44" t="b">
        <f>INDEX(itemPrepMethods, MATCH(K116, itemNames, 0))="chop"</f>
        <v>0</v>
      </c>
      <c r="W116" s="57" t="str">
        <f>IF(V116, Q116, "")</f>
        <v/>
      </c>
      <c r="X116" s="58" t="str">
        <f>IF(V116, IF(L116 = "", "", L116), "")</f>
        <v/>
      </c>
      <c r="Y116" s="58" t="str">
        <f>IF(V116, K116, "")</f>
        <v/>
      </c>
      <c r="Z116" s="59"/>
      <c r="AA116" s="44" t="b">
        <f>INDEX(itemPrepMethods, MATCH(K116, itemNames, 0))="soak"</f>
        <v>0</v>
      </c>
      <c r="AB116" s="58" t="str">
        <f>IF(AA116, Q116, "")</f>
        <v/>
      </c>
      <c r="AC116" s="58" t="str">
        <f>IF(AA116, IF(L116 = "", "", L116), "")</f>
        <v/>
      </c>
      <c r="AD116" s="58" t="str">
        <f>IF(AA116, K116, "")</f>
        <v/>
      </c>
    </row>
    <row r="117" spans="1:30" x14ac:dyDescent="0.25">
      <c r="A117" s="40" t="s">
        <v>21</v>
      </c>
      <c r="B117" s="52">
        <f t="shared" si="153"/>
        <v>2.5</v>
      </c>
      <c r="C117" s="39" t="str">
        <f t="shared" si="154"/>
        <v>tsp</v>
      </c>
      <c r="D117" s="40" t="str">
        <f>_xlfn.CONCAT(K117, U117)</f>
        <v>salt</v>
      </c>
      <c r="I117" s="62">
        <v>5</v>
      </c>
      <c r="J117" s="55" t="s">
        <v>13</v>
      </c>
      <c r="K117" s="55" t="s">
        <v>11</v>
      </c>
      <c r="L117" s="56" t="s">
        <v>13</v>
      </c>
      <c r="M117" s="47">
        <f t="shared" si="155"/>
        <v>2.5000000000000001E-2</v>
      </c>
      <c r="N117" s="47">
        <f t="shared" si="156"/>
        <v>2.2180100000000001E-2</v>
      </c>
      <c r="O117" s="47">
        <f t="shared" si="157"/>
        <v>2.777783685460165E-2</v>
      </c>
      <c r="P117" s="47">
        <f t="shared" si="158"/>
        <v>2.4644607968749999E-2</v>
      </c>
      <c r="Q117" s="47">
        <f>MROUND(IF(AND(J117 = "", L117 = ""), I117 * recipe08DayScale, IF(ISNA(CONVERT(O117, "kg", L117)), CONVERT(P117 * recipe08DayScale, "l", L117), CONVERT(O117 * recipe08DayScale, "kg", L117))), roundTo)</f>
        <v>2.5</v>
      </c>
      <c r="R117" s="47">
        <f>recipe08TotScale * IF(L117 = "", Q117 * M117, IF(ISNA(CONVERT(Q117, L117, "kg")), CONVERT(Q117, L117, "l") * IF(N117 &lt;&gt; 0, M117 / N117, 0), CONVERT(Q117, L117, "kg")))</f>
        <v>1.3888918427300825E-2</v>
      </c>
      <c r="S117" s="47">
        <f>recipe08TotScale * IF(R117 = 0, IF(L117 = "", Q117 * N117, IF(ISNA(CONVERT(Q117, L117, "l")), CONVERT(Q117, L117, "kg") * IF(M117 &lt;&gt; 0, N117 / M117, 0), CONVERT(Q117, L117, "l"))), 0)</f>
        <v>0</v>
      </c>
      <c r="T117" s="47">
        <f>recipe08TotScale * IF(AND(R117 = 0, S117 = 0, J117 = "", L117 = ""), Q117, 0)</f>
        <v>0</v>
      </c>
      <c r="V117" s="44" t="b">
        <f>INDEX(itemPrepMethods, MATCH(K117, itemNames, 0))="chop"</f>
        <v>0</v>
      </c>
      <c r="W117" s="57" t="str">
        <f>IF(V117, Q117, "")</f>
        <v/>
      </c>
      <c r="X117" s="58" t="str">
        <f>IF(V117, IF(L117 = "", "", L117), "")</f>
        <v/>
      </c>
      <c r="Y117" s="58" t="str">
        <f>IF(V117, K117, "")</f>
        <v/>
      </c>
      <c r="Z117" s="59"/>
      <c r="AA117" s="44" t="b">
        <f>INDEX(itemPrepMethods, MATCH(K117, itemNames, 0))="soak"</f>
        <v>0</v>
      </c>
      <c r="AB117" s="58" t="str">
        <f>IF(AA117, Q117, "")</f>
        <v/>
      </c>
      <c r="AC117" s="58" t="str">
        <f>IF(AA117, IF(L117 = "", "", L117), "")</f>
        <v/>
      </c>
      <c r="AD117" s="58" t="str">
        <f>IF(AA117, K117, "")</f>
        <v/>
      </c>
    </row>
    <row r="118" spans="1:30" x14ac:dyDescent="0.25">
      <c r="A118" s="40" t="s">
        <v>21</v>
      </c>
      <c r="B118" s="61">
        <f t="shared" si="153"/>
        <v>2.5</v>
      </c>
      <c r="C118" s="91" t="str">
        <f t="shared" si="154"/>
        <v/>
      </c>
      <c r="D118" s="92" t="str">
        <f>_xlfn.CONCAT(K118, U118)</f>
        <v>minced green chili</v>
      </c>
      <c r="I118" s="62">
        <v>5</v>
      </c>
      <c r="J118" s="55"/>
      <c r="K118" s="55" t="s">
        <v>50</v>
      </c>
      <c r="L118" s="56"/>
      <c r="M118" s="47">
        <f t="shared" si="155"/>
        <v>0</v>
      </c>
      <c r="N118" s="47">
        <f t="shared" si="156"/>
        <v>0</v>
      </c>
      <c r="O118" s="47">
        <f t="shared" si="157"/>
        <v>0</v>
      </c>
      <c r="P118" s="47">
        <f t="shared" si="158"/>
        <v>0</v>
      </c>
      <c r="Q118" s="47">
        <f>MROUND(IF(AND(J118 = "", L118 = ""), I118 * recipe08DayScale, IF(ISNA(CONVERT(O118, "kg", L118)), CONVERT(P118 * recipe08DayScale, "l", L118), CONVERT(O118 * recipe08DayScale, "kg", L118))), roundTo)</f>
        <v>2.5</v>
      </c>
      <c r="R118" s="47">
        <f>recipe08TotScale * IF(L118 = "", Q118 * M118, IF(ISNA(CONVERT(Q118, L118, "kg")), CONVERT(Q118, L118, "l") * IF(N118 &lt;&gt; 0, M118 / N118, 0), CONVERT(Q118, L118, "kg")))</f>
        <v>0</v>
      </c>
      <c r="S118" s="47">
        <f>recipe08TotScale * IF(R118 = 0, IF(L118 = "", Q118 * N118, IF(ISNA(CONVERT(Q118, L118, "l")), CONVERT(Q118, L118, "kg") * IF(M118 &lt;&gt; 0, N118 / M118, 0), CONVERT(Q118, L118, "l"))), 0)</f>
        <v>0</v>
      </c>
      <c r="T118" s="47">
        <f>recipe08TotScale * IF(AND(R118 = 0, S118 = 0, J118 = "", L118 = ""), Q118, 0)</f>
        <v>2.5</v>
      </c>
      <c r="V118" s="44" t="b">
        <f>INDEX(itemPrepMethods, MATCH(K118, itemNames, 0))="chop"</f>
        <v>1</v>
      </c>
      <c r="W118" s="57">
        <f>IF(V118, Q118, "")</f>
        <v>2.5</v>
      </c>
      <c r="X118" s="58" t="str">
        <f>IF(V118, IF(L118 = "", "", L118), "")</f>
        <v/>
      </c>
      <c r="Y118" s="58" t="str">
        <f>IF(V118, K118, "")</f>
        <v>minced green chili</v>
      </c>
      <c r="Z118" s="59"/>
      <c r="AA118" s="44" t="b">
        <f>INDEX(itemPrepMethods, MATCH(K118, itemNames, 0))="soak"</f>
        <v>0</v>
      </c>
      <c r="AB118" s="58" t="str">
        <f>IF(AA118, Q118, "")</f>
        <v/>
      </c>
      <c r="AC118" s="58" t="str">
        <f>IF(AA118, IF(L118 = "", "", L118), "")</f>
        <v/>
      </c>
      <c r="AD118" s="58" t="str">
        <f>IF(AA118, K118, "")</f>
        <v/>
      </c>
    </row>
    <row r="119" spans="1:30" x14ac:dyDescent="0.25">
      <c r="A119" s="40" t="s">
        <v>21</v>
      </c>
      <c r="B119" s="52">
        <f t="shared" si="153"/>
        <v>1.5</v>
      </c>
      <c r="C119" s="39" t="str">
        <f t="shared" si="154"/>
        <v>tbs</v>
      </c>
      <c r="D119" s="40" t="str">
        <f>_xlfn.CONCAT(K119, U119)</f>
        <v>minced fresh ginger</v>
      </c>
      <c r="I119" s="62">
        <v>3</v>
      </c>
      <c r="J119" s="55" t="s">
        <v>15</v>
      </c>
      <c r="K119" s="55" t="s">
        <v>231</v>
      </c>
      <c r="L119" s="56" t="s">
        <v>15</v>
      </c>
      <c r="M119" s="47">
        <f t="shared" si="155"/>
        <v>0</v>
      </c>
      <c r="N119" s="47">
        <f t="shared" si="156"/>
        <v>0</v>
      </c>
      <c r="O119" s="47">
        <f t="shared" si="157"/>
        <v>0</v>
      </c>
      <c r="P119" s="47">
        <f t="shared" si="158"/>
        <v>4.4360294343749995E-2</v>
      </c>
      <c r="Q119" s="47">
        <f>MROUND(IF(AND(J119 = "", L119 = ""), I119 * recipe08DayScale, IF(ISNA(CONVERT(O119, "kg", L119)), CONVERT(P119 * recipe08DayScale, "l", L119), CONVERT(O119 * recipe08DayScale, "kg", L119))), roundTo)</f>
        <v>1.5</v>
      </c>
      <c r="R119" s="47">
        <f>recipe08TotScale * IF(L119 = "", Q119 * M119, IF(ISNA(CONVERT(Q119, L119, "kg")), CONVERT(Q119, L119, "l") * IF(N119 &lt;&gt; 0, M119 / N119, 0), CONVERT(Q119, L119, "kg")))</f>
        <v>0</v>
      </c>
      <c r="S119" s="47">
        <f>recipe08TotScale * IF(R119 = 0, IF(L119 = "", Q119 * N119, IF(ISNA(CONVERT(Q119, L119, "l")), CONVERT(Q119, L119, "kg") * IF(M119 &lt;&gt; 0, N119 / M119, 0), CONVERT(Q119, L119, "l"))), 0)</f>
        <v>2.2180147171874998E-2</v>
      </c>
      <c r="T119" s="47">
        <f>recipe08TotScale * IF(AND(R119 = 0, S119 = 0, J119 = "", L119 = ""), Q119, 0)</f>
        <v>0</v>
      </c>
      <c r="V119" s="44" t="b">
        <f>INDEX(itemPrepMethods, MATCH(K119, itemNames, 0))="chop"</f>
        <v>1</v>
      </c>
      <c r="W119" s="57">
        <f>IF(V119, Q119, "")</f>
        <v>1.5</v>
      </c>
      <c r="X119" s="58" t="str">
        <f>IF(V119, IF(L119 = "", "", L119), "")</f>
        <v>tbs</v>
      </c>
      <c r="Y119" s="58" t="str">
        <f>IF(V119, K119, "")</f>
        <v>minced fresh ginger</v>
      </c>
      <c r="Z119" s="59"/>
      <c r="AA119" s="44" t="b">
        <f>INDEX(itemPrepMethods, MATCH(K119, itemNames, 0))="soak"</f>
        <v>0</v>
      </c>
      <c r="AB119" s="58" t="str">
        <f>IF(AA119, Q119, "")</f>
        <v/>
      </c>
      <c r="AC119" s="58" t="str">
        <f>IF(AA119, IF(L119 = "", "", L119), "")</f>
        <v/>
      </c>
      <c r="AD119" s="58" t="str">
        <f>IF(AA119, K119, "")</f>
        <v/>
      </c>
    </row>
    <row r="120" spans="1:30" x14ac:dyDescent="0.25">
      <c r="A120" s="107"/>
      <c r="B120" s="107"/>
      <c r="C120" s="107"/>
      <c r="D120" s="107"/>
      <c r="I120" s="44"/>
      <c r="L120" s="44"/>
      <c r="W120" s="74"/>
      <c r="X120" s="74"/>
      <c r="Y120" s="74"/>
      <c r="Z120" s="74"/>
      <c r="AA120" s="67"/>
      <c r="AB120" s="74"/>
      <c r="AC120" s="74"/>
      <c r="AD120" s="74"/>
    </row>
    <row r="121" spans="1:30" x14ac:dyDescent="0.25">
      <c r="A121" s="107" t="s">
        <v>232</v>
      </c>
      <c r="B121" s="107"/>
      <c r="C121" s="107"/>
      <c r="D121" s="107"/>
      <c r="I121" s="44"/>
      <c r="L121" s="44"/>
      <c r="W121" s="74"/>
      <c r="X121" s="74"/>
      <c r="Y121" s="74"/>
      <c r="Z121" s="74"/>
      <c r="AA121" s="67"/>
      <c r="AB121" s="74"/>
      <c r="AC121" s="74"/>
      <c r="AD121" s="74"/>
    </row>
    <row r="122" spans="1:30" x14ac:dyDescent="0.25">
      <c r="A122" s="40" t="s">
        <v>21</v>
      </c>
      <c r="D122" s="40" t="str">
        <f>_xlfn.CONCAT(K122, U122)</f>
        <v>bring to boil over high heat then cover and reduce heat</v>
      </c>
      <c r="I122" s="44"/>
      <c r="L122" s="44"/>
      <c r="U122" s="44" t="s">
        <v>233</v>
      </c>
      <c r="W122" s="74"/>
      <c r="X122" s="74"/>
      <c r="Y122" s="74"/>
      <c r="Z122" s="74"/>
      <c r="AA122" s="67"/>
      <c r="AB122" s="74"/>
      <c r="AC122" s="74"/>
      <c r="AD122" s="74"/>
    </row>
    <row r="123" spans="1:30" x14ac:dyDescent="0.25">
      <c r="A123" s="40" t="s">
        <v>21</v>
      </c>
      <c r="D123" s="40" t="str">
        <f>_xlfn.CONCAT(K123, U123)</f>
        <v>simmer for 20 minutes or until lentils have dissolved into a thick soup porridge</v>
      </c>
      <c r="I123" s="44"/>
      <c r="L123" s="44"/>
      <c r="U123" s="44" t="s">
        <v>234</v>
      </c>
      <c r="W123" s="74"/>
      <c r="X123" s="74"/>
      <c r="Y123" s="74"/>
      <c r="Z123" s="74"/>
      <c r="AA123" s="67"/>
      <c r="AB123" s="74"/>
      <c r="AC123" s="74"/>
      <c r="AD123" s="74"/>
    </row>
    <row r="124" spans="1:30" x14ac:dyDescent="0.25">
      <c r="A124" s="40" t="s">
        <v>21</v>
      </c>
      <c r="D124" s="40" t="str">
        <f>_xlfn.CONCAT(K124, U124)</f>
        <v>add more water if needed and set aside</v>
      </c>
      <c r="I124" s="44"/>
      <c r="L124" s="44"/>
      <c r="U124" s="44" t="s">
        <v>235</v>
      </c>
      <c r="W124" s="74"/>
      <c r="X124" s="74"/>
      <c r="Y124" s="74"/>
      <c r="Z124" s="74"/>
      <c r="AA124" s="67"/>
      <c r="AB124" s="74"/>
      <c r="AC124" s="74"/>
      <c r="AD124" s="74"/>
    </row>
    <row r="125" spans="1:30" x14ac:dyDescent="0.25">
      <c r="A125" s="107"/>
      <c r="B125" s="107"/>
      <c r="C125" s="107"/>
      <c r="D125" s="107"/>
      <c r="I125" s="44"/>
      <c r="L125" s="44"/>
      <c r="W125" s="74"/>
      <c r="X125" s="74"/>
      <c r="Y125" s="74"/>
      <c r="Z125" s="74"/>
      <c r="AA125" s="67"/>
      <c r="AB125" s="74"/>
      <c r="AC125" s="74"/>
      <c r="AD125" s="74"/>
    </row>
    <row r="126" spans="1:30" x14ac:dyDescent="0.25">
      <c r="A126" s="107" t="s">
        <v>246</v>
      </c>
      <c r="B126" s="107"/>
      <c r="C126" s="107"/>
      <c r="D126" s="107"/>
      <c r="I126" s="44"/>
      <c r="L126" s="44"/>
      <c r="W126" s="74"/>
      <c r="X126" s="74"/>
      <c r="Y126" s="74"/>
      <c r="Z126" s="74"/>
      <c r="AA126" s="67"/>
      <c r="AB126" s="74"/>
      <c r="AC126" s="74"/>
      <c r="AD126" s="74"/>
    </row>
    <row r="127" spans="1:30" x14ac:dyDescent="0.25">
      <c r="A127" s="40" t="s">
        <v>21</v>
      </c>
      <c r="B127" s="52">
        <f t="shared" si="153"/>
        <v>0.25</v>
      </c>
      <c r="C127" s="39" t="str">
        <f t="shared" si="154"/>
        <v>cup</v>
      </c>
      <c r="D127" s="40" t="str">
        <f>_xlfn.CONCAT(K127, U127)</f>
        <v>oil</v>
      </c>
      <c r="I127" s="62">
        <v>0.5</v>
      </c>
      <c r="J127" s="55" t="s">
        <v>16</v>
      </c>
      <c r="K127" s="55" t="s">
        <v>46</v>
      </c>
      <c r="L127" s="56" t="s">
        <v>16</v>
      </c>
      <c r="M127" s="47">
        <f t="shared" si="155"/>
        <v>0</v>
      </c>
      <c r="N127" s="47">
        <f t="shared" si="156"/>
        <v>0</v>
      </c>
      <c r="O127" s="47">
        <f t="shared" si="157"/>
        <v>0</v>
      </c>
      <c r="P127" s="47">
        <f t="shared" si="158"/>
        <v>0.11829411825</v>
      </c>
      <c r="Q127" s="47">
        <f>MROUND(IF(AND(J127 = "", L127 = ""), I127 * recipe08DayScale, IF(ISNA(CONVERT(O127, "kg", L127)), CONVERT(P127 * recipe08DayScale, "l", L127), CONVERT(O127 * recipe08DayScale, "kg", L127))), roundTo)</f>
        <v>0.25</v>
      </c>
      <c r="R127" s="47">
        <f>recipe08TotScale * IF(L127 = "", Q127 * M127, IF(ISNA(CONVERT(Q127, L127, "kg")), CONVERT(Q127, L127, "l") * IF(N127 &lt;&gt; 0, M127 / N127, 0), CONVERT(Q127, L127, "kg")))</f>
        <v>0</v>
      </c>
      <c r="S127" s="47">
        <f>recipe08TotScale * IF(R127 = 0, IF(L127 = "", Q127 * N127, IF(ISNA(CONVERT(Q127, L127, "l")), CONVERT(Q127, L127, "kg") * IF(M127 &lt;&gt; 0, N127 / M127, 0), CONVERT(Q127, L127, "l"))), 0)</f>
        <v>5.9147059124999998E-2</v>
      </c>
      <c r="T127" s="47">
        <f>recipe08TotScale * IF(AND(R127 = 0, S127 = 0, J127 = "", L127 = ""), Q127, 0)</f>
        <v>0</v>
      </c>
      <c r="V127" s="44" t="b">
        <f>INDEX(itemPrepMethods, MATCH(K127, itemNames, 0))="chop"</f>
        <v>0</v>
      </c>
      <c r="W127" s="57" t="str">
        <f>IF(V127, Q127, "")</f>
        <v/>
      </c>
      <c r="X127" s="58" t="str">
        <f>IF(V127, IF(L127 = "", "", L127), "")</f>
        <v/>
      </c>
      <c r="Y127" s="58" t="str">
        <f>IF(V127, K127, "")</f>
        <v/>
      </c>
      <c r="Z127" s="59"/>
      <c r="AA127" s="44" t="b">
        <f>INDEX(itemPrepMethods, MATCH(K127, itemNames, 0))="soak"</f>
        <v>0</v>
      </c>
      <c r="AB127" s="58" t="str">
        <f>IF(AA127, Q127, "")</f>
        <v/>
      </c>
      <c r="AC127" s="58" t="str">
        <f>IF(AA127, IF(L127 = "", "", L127), "")</f>
        <v/>
      </c>
      <c r="AD127" s="58" t="str">
        <f>IF(AA127, K127, "")</f>
        <v/>
      </c>
    </row>
    <row r="128" spans="1:30" x14ac:dyDescent="0.25">
      <c r="A128" s="107"/>
      <c r="B128" s="107"/>
      <c r="C128" s="107"/>
      <c r="D128" s="107"/>
      <c r="I128" s="44"/>
      <c r="L128" s="44"/>
      <c r="W128" s="74"/>
      <c r="X128" s="74"/>
      <c r="Y128" s="74"/>
      <c r="Z128" s="74"/>
      <c r="AA128" s="67"/>
      <c r="AB128" s="74"/>
      <c r="AC128" s="74"/>
      <c r="AD128" s="74"/>
    </row>
    <row r="129" spans="1:30" x14ac:dyDescent="0.25">
      <c r="A129" s="107" t="s">
        <v>284</v>
      </c>
      <c r="B129" s="107"/>
      <c r="C129" s="107"/>
      <c r="D129" s="107"/>
      <c r="I129" s="44"/>
      <c r="L129" s="44"/>
      <c r="W129" s="74"/>
      <c r="X129" s="74"/>
      <c r="Y129" s="74"/>
      <c r="Z129" s="74"/>
      <c r="AA129" s="67"/>
      <c r="AB129" s="74"/>
      <c r="AC129" s="74"/>
      <c r="AD129" s="74"/>
    </row>
    <row r="130" spans="1:30" x14ac:dyDescent="0.25">
      <c r="A130" s="40" t="s">
        <v>21</v>
      </c>
      <c r="B130" s="52">
        <f t="shared" si="153"/>
        <v>3.5</v>
      </c>
      <c r="C130" s="39" t="str">
        <f t="shared" si="154"/>
        <v>tbs</v>
      </c>
      <c r="D130" s="40" t="str">
        <f>_xlfn.CONCAT(K130, U130)</f>
        <v>cumin seeds</v>
      </c>
      <c r="I130" s="62">
        <v>7.5</v>
      </c>
      <c r="J130" s="55" t="s">
        <v>15</v>
      </c>
      <c r="K130" s="55" t="s">
        <v>52</v>
      </c>
      <c r="L130" s="56" t="s">
        <v>15</v>
      </c>
      <c r="M130" s="47">
        <f t="shared" si="155"/>
        <v>1.0999999999999999E-2</v>
      </c>
      <c r="N130" s="47">
        <f t="shared" si="156"/>
        <v>2.2180100000000001E-2</v>
      </c>
      <c r="O130" s="47">
        <f t="shared" si="157"/>
        <v>5.5000116972111261E-2</v>
      </c>
      <c r="P130" s="47">
        <f t="shared" si="158"/>
        <v>0.110900735859375</v>
      </c>
      <c r="Q130" s="47">
        <f>MROUND(IF(AND(J130 = "", L130 = ""), I130 * recipe08DayScale, IF(ISNA(CONVERT(O130, "kg", L130)), CONVERT(P130 * recipe08DayScale, "l", L130), CONVERT(O130 * recipe08DayScale, "kg", L130))), roundTo)</f>
        <v>3.5</v>
      </c>
      <c r="R130" s="47">
        <f>recipe08TotScale * IF(L130 = "", Q130 * M130, IF(ISNA(CONVERT(Q130, L130, "kg")), CONVERT(Q130, L130, "l") * IF(N130 &lt;&gt; 0, M130 / N130, 0), CONVERT(Q130, L130, "kg")))</f>
        <v>2.5666721253651919E-2</v>
      </c>
      <c r="S130" s="47">
        <f>recipe08TotScale * IF(R130 = 0, IF(L130 = "", Q130 * N130, IF(ISNA(CONVERT(Q130, L130, "l")), CONVERT(Q130, L130, "kg") * IF(M130 &lt;&gt; 0, N130 / M130, 0), CONVERT(Q130, L130, "l"))), 0)</f>
        <v>0</v>
      </c>
      <c r="T130" s="47">
        <f>recipe08TotScale * IF(AND(R130 = 0, S130 = 0, J130 = "", L130 = ""), Q130, 0)</f>
        <v>0</v>
      </c>
      <c r="V130" s="44" t="b">
        <f>INDEX(itemPrepMethods, MATCH(K130, itemNames, 0))="chop"</f>
        <v>0</v>
      </c>
      <c r="W130" s="57" t="str">
        <f>IF(V130, Q130, "")</f>
        <v/>
      </c>
      <c r="X130" s="58" t="str">
        <f>IF(V130, IF(L130 = "", "", L130), "")</f>
        <v/>
      </c>
      <c r="Y130" s="58" t="str">
        <f>IF(V130, K130, "")</f>
        <v/>
      </c>
      <c r="Z130" s="59"/>
      <c r="AA130" s="44" t="b">
        <f>INDEX(itemPrepMethods, MATCH(K130, itemNames, 0))="soak"</f>
        <v>0</v>
      </c>
      <c r="AB130" s="58" t="str">
        <f>IF(AA130, Q130, "")</f>
        <v/>
      </c>
      <c r="AC130" s="58" t="str">
        <f>IF(AA130, IF(L130 = "", "", L130), "")</f>
        <v/>
      </c>
      <c r="AD130" s="58" t="str">
        <f>IF(AA130, K130, "")</f>
        <v/>
      </c>
    </row>
    <row r="131" spans="1:30" x14ac:dyDescent="0.25">
      <c r="A131" s="40" t="s">
        <v>21</v>
      </c>
      <c r="B131" s="52">
        <f t="shared" si="153"/>
        <v>3.5</v>
      </c>
      <c r="C131" s="39" t="str">
        <f t="shared" si="154"/>
        <v>tbs</v>
      </c>
      <c r="D131" s="40" t="str">
        <f>_xlfn.CONCAT(K131, U131)</f>
        <v>black mustard seeds</v>
      </c>
      <c r="I131" s="62">
        <v>7.5</v>
      </c>
      <c r="J131" s="55" t="s">
        <v>15</v>
      </c>
      <c r="K131" s="55" t="s">
        <v>51</v>
      </c>
      <c r="L131" s="56" t="s">
        <v>15</v>
      </c>
      <c r="M131" s="47">
        <f t="shared" si="155"/>
        <v>1.6E-2</v>
      </c>
      <c r="N131" s="47">
        <f t="shared" si="156"/>
        <v>2.2180100000000001E-2</v>
      </c>
      <c r="O131" s="47">
        <f t="shared" si="157"/>
        <v>8.0000170141252741E-2</v>
      </c>
      <c r="P131" s="47">
        <f t="shared" si="158"/>
        <v>0.110900735859375</v>
      </c>
      <c r="Q131" s="47">
        <f>MROUND(IF(AND(J131 = "", L131 = ""), I131 * recipe08DayScale, IF(ISNA(CONVERT(O131, "kg", L131)), CONVERT(P131 * recipe08DayScale, "l", L131), CONVERT(O131 * recipe08DayScale, "kg", L131))), roundTo)</f>
        <v>3.5</v>
      </c>
      <c r="R131" s="47">
        <f>recipe08TotScale * IF(L131 = "", Q131 * M131, IF(ISNA(CONVERT(Q131, L131, "kg")), CONVERT(Q131, L131, "l") * IF(N131 &lt;&gt; 0, M131 / N131, 0), CONVERT(Q131, L131, "kg")))</f>
        <v>3.7333412732584614E-2</v>
      </c>
      <c r="S131" s="47">
        <f>recipe08TotScale * IF(R131 = 0, IF(L131 = "", Q131 * N131, IF(ISNA(CONVERT(Q131, L131, "l")), CONVERT(Q131, L131, "kg") * IF(M131 &lt;&gt; 0, N131 / M131, 0), CONVERT(Q131, L131, "l"))), 0)</f>
        <v>0</v>
      </c>
      <c r="T131" s="47">
        <f>recipe08TotScale * IF(AND(R131 = 0, S131 = 0, J131 = "", L131 = ""), Q131, 0)</f>
        <v>0</v>
      </c>
      <c r="V131" s="44" t="b">
        <f>INDEX(itemPrepMethods, MATCH(K131, itemNames, 0))="chop"</f>
        <v>0</v>
      </c>
      <c r="W131" s="57" t="str">
        <f>IF(V131, Q131, "")</f>
        <v/>
      </c>
      <c r="X131" s="58" t="str">
        <f>IF(V131, IF(L131 = "", "", L131), "")</f>
        <v/>
      </c>
      <c r="Y131" s="58" t="str">
        <f>IF(V131, K131, "")</f>
        <v/>
      </c>
      <c r="Z131" s="59"/>
      <c r="AA131" s="44" t="b">
        <f>INDEX(itemPrepMethods, MATCH(K131, itemNames, 0))="soak"</f>
        <v>0</v>
      </c>
      <c r="AB131" s="58" t="str">
        <f>IF(AA131, Q131, "")</f>
        <v/>
      </c>
      <c r="AC131" s="58" t="str">
        <f>IF(AA131, IF(L131 = "", "", L131), "")</f>
        <v/>
      </c>
      <c r="AD131" s="58" t="str">
        <f>IF(AA131, K131, "")</f>
        <v/>
      </c>
    </row>
    <row r="132" spans="1:30" x14ac:dyDescent="0.25">
      <c r="A132" s="107"/>
      <c r="B132" s="107"/>
      <c r="C132" s="107"/>
      <c r="D132" s="107"/>
      <c r="I132" s="44"/>
      <c r="L132" s="44"/>
      <c r="W132" s="74"/>
      <c r="X132" s="74"/>
      <c r="Y132" s="74"/>
      <c r="Z132" s="74"/>
      <c r="AA132" s="67"/>
      <c r="AB132" s="74"/>
      <c r="AC132" s="74"/>
      <c r="AD132" s="74"/>
    </row>
    <row r="133" spans="1:30" x14ac:dyDescent="0.25">
      <c r="A133" s="107" t="s">
        <v>236</v>
      </c>
      <c r="B133" s="107"/>
      <c r="C133" s="107"/>
      <c r="D133" s="107"/>
      <c r="I133" s="44"/>
      <c r="L133" s="44"/>
      <c r="W133" s="74"/>
      <c r="X133" s="74"/>
      <c r="Y133" s="74"/>
      <c r="Z133" s="74"/>
      <c r="AA133" s="67"/>
      <c r="AB133" s="74"/>
      <c r="AC133" s="74"/>
      <c r="AD133" s="74"/>
    </row>
    <row r="134" spans="1:30" x14ac:dyDescent="0.25">
      <c r="C134" s="40"/>
      <c r="I134" s="44"/>
      <c r="L134" s="44"/>
      <c r="W134" s="74"/>
      <c r="X134" s="74"/>
      <c r="Y134" s="74"/>
      <c r="Z134" s="74"/>
      <c r="AA134" s="67"/>
      <c r="AB134" s="74"/>
      <c r="AC134" s="74"/>
      <c r="AD134" s="74"/>
    </row>
    <row r="135" spans="1:30" x14ac:dyDescent="0.25">
      <c r="A135" s="107" t="s">
        <v>237</v>
      </c>
      <c r="B135" s="107"/>
      <c r="C135" s="107"/>
      <c r="D135" s="107"/>
      <c r="I135" s="44"/>
      <c r="L135" s="44"/>
      <c r="W135" s="74"/>
      <c r="X135" s="74"/>
      <c r="Y135" s="74"/>
      <c r="Z135" s="74"/>
      <c r="AA135" s="67"/>
      <c r="AB135" s="74"/>
      <c r="AC135" s="74"/>
      <c r="AD135" s="74"/>
    </row>
    <row r="136" spans="1:30" x14ac:dyDescent="0.25">
      <c r="A136" s="40" t="s">
        <v>21</v>
      </c>
      <c r="B136" s="52"/>
      <c r="C136" s="39" t="str">
        <f t="shared" si="154"/>
        <v/>
      </c>
      <c r="D136" s="40" t="str">
        <f>_xlfn.CONCAT(K136, U136)</f>
        <v>sprigs fresh corriander, if available</v>
      </c>
      <c r="I136" s="63"/>
      <c r="J136" s="60"/>
      <c r="K136" s="55" t="s">
        <v>87</v>
      </c>
      <c r="L136" s="60"/>
      <c r="M136" s="60"/>
      <c r="N136" s="60"/>
      <c r="O136" s="60"/>
      <c r="P136" s="60"/>
      <c r="U136" s="44" t="s">
        <v>238</v>
      </c>
      <c r="V136" s="44" t="b">
        <f>INDEX(itemPrepMethods, MATCH(K136, itemNames, 0))="chop"</f>
        <v>0</v>
      </c>
      <c r="W136" s="57" t="str">
        <f>IF(V136, Q136, "")</f>
        <v/>
      </c>
      <c r="X136" s="58" t="str">
        <f>IF(V136, IF(L136 = "", "", L136), "")</f>
        <v/>
      </c>
      <c r="Y136" s="58" t="str">
        <f>IF(V136, K136, "")</f>
        <v/>
      </c>
      <c r="Z136" s="59"/>
      <c r="AA136" s="44" t="b">
        <f>INDEX(itemPrepMethods, MATCH(K136, itemNames, 0))="soak"</f>
        <v>0</v>
      </c>
      <c r="AB136" s="58" t="str">
        <f>IF(AA136, Q136, "")</f>
        <v/>
      </c>
      <c r="AC136" s="58" t="str">
        <f>IF(AA136, IF(L136 = "", "", L136), "")</f>
        <v/>
      </c>
      <c r="AD136" s="58" t="str">
        <f>IF(AA136, K136, "")</f>
        <v/>
      </c>
    </row>
    <row r="137" spans="1:30" ht="15.75" x14ac:dyDescent="0.25">
      <c r="A137" s="108" t="s">
        <v>27</v>
      </c>
      <c r="B137" s="108"/>
      <c r="C137" s="108"/>
      <c r="D137" s="108"/>
      <c r="E137" s="43" t="s">
        <v>134</v>
      </c>
      <c r="F137" s="104" t="s">
        <v>85</v>
      </c>
      <c r="G137" s="104"/>
      <c r="H137" s="47"/>
    </row>
    <row r="138" spans="1:30" ht="24" x14ac:dyDescent="0.2">
      <c r="A138" s="108" t="s">
        <v>28</v>
      </c>
      <c r="B138" s="108"/>
      <c r="C138" s="108"/>
      <c r="D138" s="108"/>
      <c r="E138" s="42" t="s">
        <v>56</v>
      </c>
      <c r="F138" s="90">
        <v>21</v>
      </c>
      <c r="G138" s="47"/>
      <c r="H138" s="47"/>
      <c r="I138" s="70" t="s">
        <v>448</v>
      </c>
      <c r="J138" s="71" t="s">
        <v>449</v>
      </c>
      <c r="K138" s="71" t="s">
        <v>17</v>
      </c>
      <c r="L138" s="72" t="s">
        <v>452</v>
      </c>
      <c r="M138" s="70" t="s">
        <v>148</v>
      </c>
      <c r="N138" s="70" t="s">
        <v>149</v>
      </c>
      <c r="O138" s="70" t="s">
        <v>450</v>
      </c>
      <c r="P138" s="70" t="s">
        <v>451</v>
      </c>
      <c r="Q138" s="71" t="s">
        <v>364</v>
      </c>
      <c r="R138" s="70" t="s">
        <v>365</v>
      </c>
      <c r="S138" s="70" t="s">
        <v>366</v>
      </c>
      <c r="T138" s="70" t="s">
        <v>367</v>
      </c>
      <c r="U138" s="71" t="s">
        <v>22</v>
      </c>
      <c r="V138" s="71" t="s">
        <v>212</v>
      </c>
      <c r="W138" s="73" t="s">
        <v>364</v>
      </c>
      <c r="X138" s="71" t="s">
        <v>210</v>
      </c>
      <c r="Y138" s="71" t="s">
        <v>211</v>
      </c>
      <c r="Z138" s="71" t="s">
        <v>313</v>
      </c>
      <c r="AA138" s="71" t="s">
        <v>213</v>
      </c>
      <c r="AB138" s="73" t="s">
        <v>364</v>
      </c>
      <c r="AC138" s="71" t="s">
        <v>214</v>
      </c>
      <c r="AD138" s="71" t="s">
        <v>215</v>
      </c>
    </row>
    <row r="139" spans="1:30" ht="15.75" thickBot="1" x14ac:dyDescent="0.3">
      <c r="A139" s="107"/>
      <c r="B139" s="107"/>
      <c r="C139" s="107"/>
      <c r="D139" s="107"/>
      <c r="E139" s="66" t="s">
        <v>359</v>
      </c>
      <c r="F139" s="90">
        <f>suDiCount</f>
        <v>10</v>
      </c>
      <c r="G139" s="47"/>
      <c r="I139" s="44"/>
      <c r="L139" s="44"/>
      <c r="W139" s="67"/>
      <c r="X139" s="67"/>
      <c r="Y139" s="67"/>
      <c r="Z139" s="67"/>
      <c r="AA139" s="67"/>
      <c r="AB139" s="67"/>
      <c r="AC139" s="67"/>
      <c r="AD139" s="67"/>
    </row>
    <row r="140" spans="1:30" ht="15.75" thickBot="1" x14ac:dyDescent="0.3">
      <c r="A140" s="107" t="s">
        <v>239</v>
      </c>
      <c r="B140" s="107"/>
      <c r="C140" s="107"/>
      <c r="D140" s="107"/>
      <c r="E140" s="66" t="s">
        <v>362</v>
      </c>
      <c r="F140" s="50">
        <f>F139/F138</f>
        <v>0.47619047619047616</v>
      </c>
      <c r="G140" s="51" t="s">
        <v>376</v>
      </c>
      <c r="I140" s="44"/>
      <c r="L140" s="44"/>
      <c r="W140" s="67"/>
      <c r="X140" s="67"/>
      <c r="Y140" s="67"/>
      <c r="Z140" s="67"/>
      <c r="AA140" s="67"/>
      <c r="AB140" s="67"/>
      <c r="AC140" s="67"/>
      <c r="AD140" s="67"/>
    </row>
    <row r="141" spans="1:30" x14ac:dyDescent="0.25">
      <c r="A141" s="40" t="s">
        <v>21</v>
      </c>
      <c r="B141" s="52">
        <f t="shared" ref="B141:B150" si="159">Q141</f>
        <v>0.5</v>
      </c>
      <c r="C141" s="39" t="str">
        <f t="shared" ref="C141:C153" si="160">IF(L141="","",L141)</f>
        <v>cup</v>
      </c>
      <c r="D141" s="40" t="str">
        <f>_xlfn.CONCAT(K141, U141)</f>
        <v>oil</v>
      </c>
      <c r="E141" s="67"/>
      <c r="F141" s="67"/>
      <c r="G141" s="67"/>
      <c r="I141" s="54">
        <v>1.25</v>
      </c>
      <c r="J141" s="55" t="s">
        <v>16</v>
      </c>
      <c r="K141" s="55" t="s">
        <v>46</v>
      </c>
      <c r="L141" s="56" t="s">
        <v>16</v>
      </c>
      <c r="M141" s="47">
        <f t="shared" ref="M141:M150" si="161">INDEX(itemGPerQty, MATCH(K141, itemNames, 0))</f>
        <v>0</v>
      </c>
      <c r="N141" s="47">
        <f t="shared" ref="N141:N150" si="162">INDEX(itemMlPerQty, MATCH(K141, itemNames, 0))</f>
        <v>0</v>
      </c>
      <c r="O141" s="47">
        <f t="shared" ref="O141:O150" si="163">IF(J141 = "", I141 * M141, IF(ISNA(CONVERT(I141, J141, "kg")), CONVERT(I141, J141, "l") * IF(N141 &lt;&gt; 0, M141 / N141, 0), CONVERT(I141, J141, "kg")))</f>
        <v>0</v>
      </c>
      <c r="P141" s="47">
        <f t="shared" ref="P141:P150" si="164">IF(J141 = "", I141 * N141, IF(ISNA(CONVERT(I141, J141, "l")), CONVERT(I141, J141, "kg") * IF(M141 &lt;&gt; 0, N141 / M141, 0), CONVERT(I141, J141, "l")))</f>
        <v>0.29573529562500001</v>
      </c>
      <c r="Q141" s="47">
        <f>MROUND(IF(AND(J141 = "", L141 = ""), I141 * recipe03DayScale, IF(ISNA(CONVERT(O141, "kg", L141)), CONVERT(P141 * recipe03DayScale, "l", L141), CONVERT(O141 * recipe03DayScale, "kg", L141))), roundTo)</f>
        <v>0.5</v>
      </c>
      <c r="R141" s="47">
        <f>recipe03TotScale * IF(L141 = "", Q141 * M141, IF(ISNA(CONVERT(Q141, L141, "kg")), CONVERT(Q141, L141, "l") * IF(N141 &lt;&gt; 0, M141 / N141, 0), CONVERT(Q141, L141, "kg")))</f>
        <v>0</v>
      </c>
      <c r="S141" s="47">
        <f>recipe03TotScale * IF(R141 = 0, IF(L141 = "", Q141 * N141, IF(ISNA(CONVERT(Q141, L141, "l")), CONVERT(Q141, L141, "kg") * IF(M141 &lt;&gt; 0, N141 / M141, 0), CONVERT(Q141, L141, "l"))), 0)</f>
        <v>0.11829411825</v>
      </c>
      <c r="T141" s="47">
        <f>recipe03TotScale * IF(AND(R141 = 0, S141 = 0, J141 = "", L141 = ""), Q141, 0)</f>
        <v>0</v>
      </c>
      <c r="V141" s="44" t="b">
        <f>INDEX(itemPrepMethods, MATCH(K141, itemNames, 0))="chop"</f>
        <v>0</v>
      </c>
      <c r="W141" s="57" t="str">
        <f>IF(V141, Q141, "")</f>
        <v/>
      </c>
      <c r="X141" s="58" t="str">
        <f>IF(V141, IF(L141 = "", "", L141), "")</f>
        <v/>
      </c>
      <c r="Y141" s="58" t="str">
        <f>IF(V141, K141, "")</f>
        <v/>
      </c>
      <c r="Z141" s="59"/>
      <c r="AA141" s="44" t="b">
        <f>INDEX(itemPrepMethods, MATCH(K141, itemNames, 0))="soak"</f>
        <v>0</v>
      </c>
      <c r="AB141" s="58" t="str">
        <f>IF(AA141, Q141, "")</f>
        <v/>
      </c>
      <c r="AC141" s="58" t="str">
        <f>IF(AA141, IF(L141 = "", "", L141), "")</f>
        <v/>
      </c>
      <c r="AD141" s="58" t="str">
        <f>IF(AA141, K141, "")</f>
        <v/>
      </c>
    </row>
    <row r="142" spans="1:30" ht="15.75" thickBot="1" x14ac:dyDescent="0.3">
      <c r="A142" s="40" t="s">
        <v>21</v>
      </c>
      <c r="B142" s="52">
        <f t="shared" si="159"/>
        <v>7.25</v>
      </c>
      <c r="C142" s="39" t="str">
        <f t="shared" si="160"/>
        <v/>
      </c>
      <c r="D142" s="40" t="str">
        <f>_xlfn.CONCAT(K142, U142)</f>
        <v>diced carrots</v>
      </c>
      <c r="E142" s="66" t="s">
        <v>338</v>
      </c>
      <c r="F142" s="90">
        <f>suDiCount</f>
        <v>10</v>
      </c>
      <c r="G142" s="67"/>
      <c r="I142" s="54">
        <v>15</v>
      </c>
      <c r="J142" s="55"/>
      <c r="K142" s="55" t="s">
        <v>101</v>
      </c>
      <c r="L142" s="56"/>
      <c r="M142" s="47">
        <f t="shared" si="161"/>
        <v>0</v>
      </c>
      <c r="N142" s="47">
        <f t="shared" si="162"/>
        <v>0</v>
      </c>
      <c r="O142" s="47">
        <f t="shared" si="163"/>
        <v>0</v>
      </c>
      <c r="P142" s="47">
        <f t="shared" si="164"/>
        <v>0</v>
      </c>
      <c r="Q142" s="47">
        <f>MROUND(IF(AND(J142 = "", L142 = ""), I142 * recipe03DayScale, IF(ISNA(CONVERT(O142, "kg", L142)), CONVERT(P142 * recipe03DayScale, "l", L142), CONVERT(O142 * recipe03DayScale, "kg", L142))), roundTo)</f>
        <v>7.25</v>
      </c>
      <c r="R142" s="47">
        <f>recipe03TotScale * IF(L142 = "", Q142 * M142, IF(ISNA(CONVERT(Q142, L142, "kg")), CONVERT(Q142, L142, "l") * IF(N142 &lt;&gt; 0, M142 / N142, 0), CONVERT(Q142, L142, "kg")))</f>
        <v>0</v>
      </c>
      <c r="S142" s="47">
        <f>recipe03TotScale * IF(R142 = 0, IF(L142 = "", Q142 * N142, IF(ISNA(CONVERT(Q142, L142, "l")), CONVERT(Q142, L142, "kg") * IF(M142 &lt;&gt; 0, N142 / M142, 0), CONVERT(Q142, L142, "l"))), 0)</f>
        <v>0</v>
      </c>
      <c r="T142" s="47">
        <f>recipe03TotScale * IF(AND(R142 = 0, S142 = 0, J142 = "", L142 = ""), Q142, 0)</f>
        <v>7.25</v>
      </c>
      <c r="V142" s="44" t="b">
        <f>INDEX(itemPrepMethods, MATCH(K142, itemNames, 0))="chop"</f>
        <v>1</v>
      </c>
      <c r="W142" s="57">
        <f>IF(V142, Q142, "")</f>
        <v>7.25</v>
      </c>
      <c r="X142" s="58" t="str">
        <f>IF(V142, IF(L142 = "", "", L142), "")</f>
        <v/>
      </c>
      <c r="Y142" s="58" t="str">
        <f>IF(V142, K142, "")</f>
        <v>diced carrots</v>
      </c>
      <c r="Z142" s="59"/>
      <c r="AA142" s="44" t="b">
        <f>INDEX(itemPrepMethods, MATCH(K142, itemNames, 0))="soak"</f>
        <v>0</v>
      </c>
      <c r="AB142" s="58" t="str">
        <f>IF(AA142, Q142, "")</f>
        <v/>
      </c>
      <c r="AC142" s="58" t="str">
        <f>IF(AA142, IF(L142 = "", "", L142), "")</f>
        <v/>
      </c>
      <c r="AD142" s="58" t="str">
        <f>IF(AA142, K142, "")</f>
        <v/>
      </c>
    </row>
    <row r="143" spans="1:30" ht="15.75" thickBot="1" x14ac:dyDescent="0.3">
      <c r="A143" s="40" t="s">
        <v>21</v>
      </c>
      <c r="B143" s="52">
        <f t="shared" si="159"/>
        <v>2.75</v>
      </c>
      <c r="C143" s="39" t="str">
        <f t="shared" si="160"/>
        <v/>
      </c>
      <c r="D143" s="40" t="str">
        <f>_xlfn.CONCAT(K143, U143)</f>
        <v>diced celery stalks</v>
      </c>
      <c r="E143" s="66" t="s">
        <v>363</v>
      </c>
      <c r="F143" s="50">
        <f>F142/F139</f>
        <v>1</v>
      </c>
      <c r="G143" s="51" t="s">
        <v>377</v>
      </c>
      <c r="I143" s="54">
        <v>6</v>
      </c>
      <c r="J143" s="55"/>
      <c r="K143" s="55" t="s">
        <v>102</v>
      </c>
      <c r="L143" s="56"/>
      <c r="M143" s="47">
        <f t="shared" si="161"/>
        <v>0</v>
      </c>
      <c r="N143" s="47">
        <f t="shared" si="162"/>
        <v>0</v>
      </c>
      <c r="O143" s="47">
        <f t="shared" si="163"/>
        <v>0</v>
      </c>
      <c r="P143" s="47">
        <f t="shared" si="164"/>
        <v>0</v>
      </c>
      <c r="Q143" s="47">
        <f>MROUND(IF(AND(J143 = "", L143 = ""), I143 * recipe03DayScale, IF(ISNA(CONVERT(O143, "kg", L143)), CONVERT(P143 * recipe03DayScale, "l", L143), CONVERT(O143 * recipe03DayScale, "kg", L143))), roundTo)</f>
        <v>2.75</v>
      </c>
      <c r="R143" s="47">
        <f>recipe03TotScale * IF(L143 = "", Q143 * M143, IF(ISNA(CONVERT(Q143, L143, "kg")), CONVERT(Q143, L143, "l") * IF(N143 &lt;&gt; 0, M143 / N143, 0), CONVERT(Q143, L143, "kg")))</f>
        <v>0</v>
      </c>
      <c r="S143" s="47">
        <f>recipe03TotScale * IF(R143 = 0, IF(L143 = "", Q143 * N143, IF(ISNA(CONVERT(Q143, L143, "l")), CONVERT(Q143, L143, "kg") * IF(M143 &lt;&gt; 0, N143 / M143, 0), CONVERT(Q143, L143, "l"))), 0)</f>
        <v>0</v>
      </c>
      <c r="T143" s="47">
        <f>recipe03TotScale * IF(AND(R143 = 0, S143 = 0, J143 = "", L143 = ""), Q143, 0)</f>
        <v>2.75</v>
      </c>
      <c r="V143" s="44" t="b">
        <f>INDEX(itemPrepMethods, MATCH(K143, itemNames, 0))="chop"</f>
        <v>1</v>
      </c>
      <c r="W143" s="57">
        <f>IF(V143, Q143, "")</f>
        <v>2.75</v>
      </c>
      <c r="X143" s="58" t="str">
        <f>IF(V143, IF(L143 = "", "", L143), "")</f>
        <v/>
      </c>
      <c r="Y143" s="58" t="str">
        <f>IF(V143, K143, "")</f>
        <v>diced celery stalks</v>
      </c>
      <c r="Z143" s="59"/>
      <c r="AA143" s="44" t="b">
        <f>INDEX(itemPrepMethods, MATCH(K143, itemNames, 0))="soak"</f>
        <v>0</v>
      </c>
      <c r="AB143" s="58" t="str">
        <f>IF(AA143, Q143, "")</f>
        <v/>
      </c>
      <c r="AC143" s="58" t="str">
        <f>IF(AA143, IF(L143 = "", "", L143), "")</f>
        <v/>
      </c>
      <c r="AD143" s="58" t="str">
        <f>IF(AA143, K143, "")</f>
        <v/>
      </c>
    </row>
    <row r="144" spans="1:30" x14ac:dyDescent="0.25">
      <c r="A144" s="107"/>
      <c r="B144" s="107"/>
      <c r="C144" s="107"/>
      <c r="D144" s="107"/>
      <c r="I144" s="44"/>
      <c r="L144" s="44"/>
      <c r="W144" s="74"/>
      <c r="X144" s="74"/>
      <c r="Y144" s="74"/>
      <c r="Z144" s="74"/>
      <c r="AA144" s="67"/>
      <c r="AB144" s="74"/>
      <c r="AC144" s="74"/>
      <c r="AD144" s="74"/>
    </row>
    <row r="145" spans="1:30" x14ac:dyDescent="0.25">
      <c r="A145" s="107" t="s">
        <v>124</v>
      </c>
      <c r="B145" s="107"/>
      <c r="C145" s="107"/>
      <c r="D145" s="107"/>
      <c r="I145" s="44"/>
      <c r="L145" s="44"/>
      <c r="W145" s="74"/>
      <c r="X145" s="74"/>
      <c r="Y145" s="74"/>
      <c r="Z145" s="74"/>
      <c r="AA145" s="67"/>
      <c r="AB145" s="74"/>
      <c r="AC145" s="74"/>
      <c r="AD145" s="74"/>
    </row>
    <row r="146" spans="1:30" x14ac:dyDescent="0.25">
      <c r="A146" s="40" t="s">
        <v>21</v>
      </c>
      <c r="B146" s="52">
        <f>Q146</f>
        <v>2.5</v>
      </c>
      <c r="C146" s="39" t="str">
        <f>IF(L146="","",L146)</f>
        <v/>
      </c>
      <c r="D146" s="40" t="str">
        <f>_xlfn.CONCAT(K146, U146)</f>
        <v>tins chopped tomatoes</v>
      </c>
      <c r="I146" s="54">
        <v>5</v>
      </c>
      <c r="J146" s="55"/>
      <c r="K146" s="55" t="s">
        <v>47</v>
      </c>
      <c r="L146" s="56"/>
      <c r="M146" s="47">
        <f>INDEX(itemGPerQty, MATCH(K146, itemNames, 0))</f>
        <v>0</v>
      </c>
      <c r="N146" s="47">
        <f>INDEX(itemMlPerQty, MATCH(K146, itemNames, 0))</f>
        <v>0</v>
      </c>
      <c r="O146" s="47">
        <f>IF(J146 = "", I146 * M146, IF(ISNA(CONVERT(I146, J146, "kg")), CONVERT(I146, J146, "l") * IF(N146 &lt;&gt; 0, M146 / N146, 0), CONVERT(I146, J146, "kg")))</f>
        <v>0</v>
      </c>
      <c r="P146" s="47">
        <f>IF(J146 = "", I146 * N146, IF(ISNA(CONVERT(I146, J146, "l")), CONVERT(I146, J146, "kg") * IF(M146 &lt;&gt; 0, N146 / M146, 0), CONVERT(I146, J146, "l")))</f>
        <v>0</v>
      </c>
      <c r="Q146" s="47">
        <f>MROUND(IF(AND(J146 = "", L146 = ""), I146 * recipe03DayScale, IF(ISNA(CONVERT(O146, "kg", L146)), CONVERT(P146 * recipe03DayScale, "l", L146), CONVERT(O146 * recipe03DayScale, "kg", L146))), roundTo)</f>
        <v>2.5</v>
      </c>
      <c r="R146" s="47">
        <f>recipe03TotScale * IF(L146 = "", Q146 * M146, IF(ISNA(CONVERT(Q146, L146, "kg")), CONVERT(Q146, L146, "l") * IF(N146 &lt;&gt; 0, M146 / N146, 0), CONVERT(Q146, L146, "kg")))</f>
        <v>0</v>
      </c>
      <c r="S146" s="47">
        <f>recipe03TotScale * IF(R146 = 0, IF(L146 = "", Q146 * N146, IF(ISNA(CONVERT(Q146, L146, "l")), CONVERT(Q146, L146, "kg") * IF(M146 &lt;&gt; 0, N146 / M146, 0), CONVERT(Q146, L146, "l"))), 0)</f>
        <v>0</v>
      </c>
      <c r="T146" s="47">
        <f>recipe03TotScale * IF(AND(R146 = 0, S146 = 0, J146 = "", L146 = ""), Q146, 0)</f>
        <v>2.5</v>
      </c>
      <c r="V146" s="44" t="b">
        <f>INDEX(itemPrepMethods, MATCH(K146, itemNames, 0))="chop"</f>
        <v>0</v>
      </c>
      <c r="W146" s="57" t="str">
        <f>IF(V146, Q146, "")</f>
        <v/>
      </c>
      <c r="X146" s="58" t="str">
        <f>IF(V146, IF(L146 = "", "", L146), "")</f>
        <v/>
      </c>
      <c r="Y146" s="58" t="str">
        <f>IF(V146, K146, "")</f>
        <v/>
      </c>
      <c r="Z146" s="59"/>
      <c r="AA146" s="44" t="b">
        <f>INDEX(itemPrepMethods, MATCH(K146, itemNames, 0))="soak"</f>
        <v>0</v>
      </c>
      <c r="AB146" s="58" t="str">
        <f>IF(AA146, Q146, "")</f>
        <v/>
      </c>
      <c r="AC146" s="58" t="str">
        <f>IF(AA146, IF(L146 = "", "", L146), "")</f>
        <v/>
      </c>
      <c r="AD146" s="58" t="str">
        <f>IF(AA146, K146, "")</f>
        <v/>
      </c>
    </row>
    <row r="147" spans="1:30" x14ac:dyDescent="0.25">
      <c r="A147" s="40" t="s">
        <v>21</v>
      </c>
      <c r="B147" s="52">
        <f>Q147</f>
        <v>10</v>
      </c>
      <c r="C147" s="39" t="str">
        <f>IF(L147="","",L147)</f>
        <v>cup</v>
      </c>
      <c r="D147" s="40" t="str">
        <f>_xlfn.CONCAT(K147, U147)</f>
        <v>vegetable stock</v>
      </c>
      <c r="I147" s="54">
        <v>5</v>
      </c>
      <c r="J147" s="55" t="s">
        <v>57</v>
      </c>
      <c r="K147" s="55" t="s">
        <v>58</v>
      </c>
      <c r="L147" s="56" t="s">
        <v>16</v>
      </c>
      <c r="M147" s="47">
        <f>INDEX(itemGPerQty, MATCH(K147, itemNames, 0))</f>
        <v>0</v>
      </c>
      <c r="N147" s="47">
        <f>INDEX(itemMlPerQty, MATCH(K147, itemNames, 0))</f>
        <v>0</v>
      </c>
      <c r="O147" s="47">
        <f>IF(J147 = "", I147 * M147, IF(ISNA(CONVERT(I147, J147, "kg")), CONVERT(I147, J147, "l") * IF(N147 &lt;&gt; 0, M147 / N147, 0), CONVERT(I147, J147, "kg")))</f>
        <v>0</v>
      </c>
      <c r="P147" s="47">
        <f>IF(J147 = "", I147 * N147, IF(ISNA(CONVERT(I147, J147, "l")), CONVERT(I147, J147, "kg") * IF(M147 &lt;&gt; 0, N147 / M147, 0), CONVERT(I147, J147, "l")))</f>
        <v>5</v>
      </c>
      <c r="Q147" s="47">
        <f>MROUND(IF(AND(J147 = "", L147 = ""), I147 * recipe03DayScale, IF(ISNA(CONVERT(O147, "kg", L147)), CONVERT(P147 * recipe03DayScale, "l", L147), CONVERT(O147 * recipe03DayScale, "kg", L147))), roundTo)</f>
        <v>10</v>
      </c>
      <c r="R147" s="47">
        <f>recipe03TotScale * IF(L147 = "", Q147 * M147, IF(ISNA(CONVERT(Q147, L147, "kg")), CONVERT(Q147, L147, "l") * IF(N147 &lt;&gt; 0, M147 / N147, 0), CONVERT(Q147, L147, "kg")))</f>
        <v>0</v>
      </c>
      <c r="S147" s="47">
        <f>recipe03TotScale * IF(R147 = 0, IF(L147 = "", Q147 * N147, IF(ISNA(CONVERT(Q147, L147, "l")), CONVERT(Q147, L147, "kg") * IF(M147 &lt;&gt; 0, N147 / M147, 0), CONVERT(Q147, L147, "l"))), 0)</f>
        <v>2.365882365</v>
      </c>
      <c r="T147" s="47">
        <f>recipe03TotScale * IF(AND(R147 = 0, S147 = 0, J147 = "", L147 = ""), Q147, 0)</f>
        <v>0</v>
      </c>
      <c r="V147" s="44" t="b">
        <f>INDEX(itemPrepMethods, MATCH(K147, itemNames, 0))="chop"</f>
        <v>0</v>
      </c>
      <c r="W147" s="57" t="str">
        <f>IF(V147, Q147, "")</f>
        <v/>
      </c>
      <c r="X147" s="58" t="str">
        <f>IF(V147, IF(L147 = "", "", L147), "")</f>
        <v/>
      </c>
      <c r="Y147" s="58" t="str">
        <f>IF(V147, K147, "")</f>
        <v/>
      </c>
      <c r="Z147" s="59"/>
      <c r="AA147" s="44" t="b">
        <f>INDEX(itemPrepMethods, MATCH(K147, itemNames, 0))="soak"</f>
        <v>0</v>
      </c>
      <c r="AB147" s="58" t="str">
        <f>IF(AA147, Q147, "")</f>
        <v/>
      </c>
      <c r="AC147" s="58" t="str">
        <f>IF(AA147, IF(L147 = "", "", L147), "")</f>
        <v/>
      </c>
      <c r="AD147" s="58" t="str">
        <f>IF(AA147, K147, "")</f>
        <v/>
      </c>
    </row>
    <row r="148" spans="1:30" x14ac:dyDescent="0.25">
      <c r="A148" s="40" t="s">
        <v>21</v>
      </c>
      <c r="B148" s="52">
        <f t="shared" si="159"/>
        <v>2.5</v>
      </c>
      <c r="C148" s="39" t="str">
        <f t="shared" si="160"/>
        <v/>
      </c>
      <c r="D148" s="40" t="str">
        <f>_xlfn.CONCAT(K148, U148)</f>
        <v>sprigs fresh rosemary</v>
      </c>
      <c r="I148" s="54">
        <v>5</v>
      </c>
      <c r="J148" s="55"/>
      <c r="K148" s="55" t="s">
        <v>88</v>
      </c>
      <c r="L148" s="56"/>
      <c r="M148" s="47">
        <f t="shared" si="161"/>
        <v>0</v>
      </c>
      <c r="N148" s="47">
        <f t="shared" si="162"/>
        <v>0</v>
      </c>
      <c r="O148" s="47">
        <f t="shared" si="163"/>
        <v>0</v>
      </c>
      <c r="P148" s="47">
        <f t="shared" si="164"/>
        <v>0</v>
      </c>
      <c r="Q148" s="47">
        <f>MROUND(IF(AND(J148 = "", L148 = ""), I148 * recipe03DayScale, IF(ISNA(CONVERT(O148, "kg", L148)), CONVERT(P148 * recipe03DayScale, "l", L148), CONVERT(O148 * recipe03DayScale, "kg", L148))), roundTo)</f>
        <v>2.5</v>
      </c>
      <c r="R148" s="47">
        <f>recipe03TotScale * IF(L148 = "", Q148 * M148, IF(ISNA(CONVERT(Q148, L148, "kg")), CONVERT(Q148, L148, "l") * IF(N148 &lt;&gt; 0, M148 / N148, 0), CONVERT(Q148, L148, "kg")))</f>
        <v>0</v>
      </c>
      <c r="S148" s="47">
        <f>recipe03TotScale * IF(R148 = 0, IF(L148 = "", Q148 * N148, IF(ISNA(CONVERT(Q148, L148, "l")), CONVERT(Q148, L148, "kg") * IF(M148 &lt;&gt; 0, N148 / M148, 0), CONVERT(Q148, L148, "l"))), 0)</f>
        <v>0</v>
      </c>
      <c r="T148" s="47">
        <f>recipe03TotScale * IF(AND(R148 = 0, S148 = 0, J148 = "", L148 = ""), Q148, 0)</f>
        <v>2.5</v>
      </c>
      <c r="V148" s="44" t="b">
        <f>INDEX(itemPrepMethods, MATCH(K148, itemNames, 0))="chop"</f>
        <v>0</v>
      </c>
      <c r="W148" s="57" t="str">
        <f>IF(V148, Q148, "")</f>
        <v/>
      </c>
      <c r="X148" s="58" t="str">
        <f>IF(V148, IF(L148 = "", "", L148), "")</f>
        <v/>
      </c>
      <c r="Y148" s="58" t="str">
        <f>IF(V148, K148, "")</f>
        <v/>
      </c>
      <c r="Z148" s="59"/>
      <c r="AA148" s="44" t="b">
        <f>INDEX(itemPrepMethods, MATCH(K148, itemNames, 0))="soak"</f>
        <v>0</v>
      </c>
      <c r="AB148" s="58" t="str">
        <f>IF(AA148, Q148, "")</f>
        <v/>
      </c>
      <c r="AC148" s="58" t="str">
        <f>IF(AA148, IF(L148 = "", "", L148), "")</f>
        <v/>
      </c>
      <c r="AD148" s="58" t="str">
        <f>IF(AA148, K148, "")</f>
        <v/>
      </c>
    </row>
    <row r="149" spans="1:30" x14ac:dyDescent="0.25">
      <c r="A149" s="40" t="s">
        <v>21</v>
      </c>
      <c r="B149" s="52">
        <f t="shared" si="159"/>
        <v>2.5</v>
      </c>
      <c r="C149" s="39" t="str">
        <f t="shared" si="160"/>
        <v/>
      </c>
      <c r="D149" s="40" t="str">
        <f>_xlfn.CONCAT(K149, U149)</f>
        <v>sprigs fresh thyme</v>
      </c>
      <c r="I149" s="54">
        <v>5</v>
      </c>
      <c r="J149" s="55"/>
      <c r="K149" s="55" t="s">
        <v>89</v>
      </c>
      <c r="L149" s="56"/>
      <c r="M149" s="47">
        <f t="shared" si="161"/>
        <v>0</v>
      </c>
      <c r="N149" s="47">
        <f t="shared" si="162"/>
        <v>0</v>
      </c>
      <c r="O149" s="47">
        <f t="shared" si="163"/>
        <v>0</v>
      </c>
      <c r="P149" s="47">
        <f t="shared" si="164"/>
        <v>0</v>
      </c>
      <c r="Q149" s="47">
        <f>MROUND(IF(AND(J149 = "", L149 = ""), I149 * recipe03DayScale, IF(ISNA(CONVERT(O149, "kg", L149)), CONVERT(P149 * recipe03DayScale, "l", L149), CONVERT(O149 * recipe03DayScale, "kg", L149))), roundTo)</f>
        <v>2.5</v>
      </c>
      <c r="R149" s="47">
        <f>recipe03TotScale * IF(L149 = "", Q149 * M149, IF(ISNA(CONVERT(Q149, L149, "kg")), CONVERT(Q149, L149, "l") * IF(N149 &lt;&gt; 0, M149 / N149, 0), CONVERT(Q149, L149, "kg")))</f>
        <v>0</v>
      </c>
      <c r="S149" s="47">
        <f>recipe03TotScale * IF(R149 = 0, IF(L149 = "", Q149 * N149, IF(ISNA(CONVERT(Q149, L149, "l")), CONVERT(Q149, L149, "kg") * IF(M149 &lt;&gt; 0, N149 / M149, 0), CONVERT(Q149, L149, "l"))), 0)</f>
        <v>0</v>
      </c>
      <c r="T149" s="47">
        <f>recipe03TotScale * IF(AND(R149 = 0, S149 = 0, J149 = "", L149 = ""), Q149, 0)</f>
        <v>2.5</v>
      </c>
      <c r="V149" s="44" t="b">
        <f>INDEX(itemPrepMethods, MATCH(K149, itemNames, 0))="chop"</f>
        <v>0</v>
      </c>
      <c r="W149" s="57" t="str">
        <f>IF(V149, Q149, "")</f>
        <v/>
      </c>
      <c r="X149" s="58" t="str">
        <f>IF(V149, IF(L149 = "", "", L149), "")</f>
        <v/>
      </c>
      <c r="Y149" s="58" t="str">
        <f>IF(V149, K149, "")</f>
        <v/>
      </c>
      <c r="Z149" s="59"/>
      <c r="AA149" s="44" t="b">
        <f>INDEX(itemPrepMethods, MATCH(K149, itemNames, 0))="soak"</f>
        <v>0</v>
      </c>
      <c r="AB149" s="58" t="str">
        <f>IF(AA149, Q149, "")</f>
        <v/>
      </c>
      <c r="AC149" s="58" t="str">
        <f>IF(AA149, IF(L149 = "", "", L149), "")</f>
        <v/>
      </c>
      <c r="AD149" s="58" t="str">
        <f>IF(AA149, K149, "")</f>
        <v/>
      </c>
    </row>
    <row r="150" spans="1:30" x14ac:dyDescent="0.25">
      <c r="A150" s="40" t="s">
        <v>21</v>
      </c>
      <c r="B150" s="52">
        <f t="shared" si="159"/>
        <v>2.5</v>
      </c>
      <c r="C150" s="39" t="str">
        <f t="shared" si="160"/>
        <v/>
      </c>
      <c r="D150" s="40" t="str">
        <f>_xlfn.CONCAT(K150, U150)</f>
        <v>bay leaves</v>
      </c>
      <c r="I150" s="54">
        <v>5</v>
      </c>
      <c r="J150" s="55"/>
      <c r="K150" s="55" t="s">
        <v>90</v>
      </c>
      <c r="L150" s="56"/>
      <c r="M150" s="47">
        <f t="shared" si="161"/>
        <v>0</v>
      </c>
      <c r="N150" s="47">
        <f t="shared" si="162"/>
        <v>0</v>
      </c>
      <c r="O150" s="47">
        <f t="shared" si="163"/>
        <v>0</v>
      </c>
      <c r="P150" s="47">
        <f t="shared" si="164"/>
        <v>0</v>
      </c>
      <c r="Q150" s="47">
        <f>MROUND(IF(AND(J150 = "", L150 = ""), I150 * recipe03DayScale, IF(ISNA(CONVERT(O150, "kg", L150)), CONVERT(P150 * recipe03DayScale, "l", L150), CONVERT(O150 * recipe03DayScale, "kg", L150))), roundTo)</f>
        <v>2.5</v>
      </c>
      <c r="R150" s="47">
        <f>recipe03TotScale * IF(L150 = "", Q150 * M150, IF(ISNA(CONVERT(Q150, L150, "kg")), CONVERT(Q150, L150, "l") * IF(N150 &lt;&gt; 0, M150 / N150, 0), CONVERT(Q150, L150, "kg")))</f>
        <v>0</v>
      </c>
      <c r="S150" s="47">
        <f>recipe03TotScale * IF(R150 = 0, IF(L150 = "", Q150 * N150, IF(ISNA(CONVERT(Q150, L150, "l")), CONVERT(Q150, L150, "kg") * IF(M150 &lt;&gt; 0, N150 / M150, 0), CONVERT(Q150, L150, "l"))), 0)</f>
        <v>0</v>
      </c>
      <c r="T150" s="47">
        <f>recipe03TotScale * IF(AND(R150 = 0, S150 = 0, J150 = "", L150 = ""), Q150, 0)</f>
        <v>2.5</v>
      </c>
      <c r="V150" s="44" t="b">
        <f>INDEX(itemPrepMethods, MATCH(K150, itemNames, 0))="chop"</f>
        <v>0</v>
      </c>
      <c r="W150" s="57" t="str">
        <f>IF(V150, Q150, "")</f>
        <v/>
      </c>
      <c r="X150" s="58" t="str">
        <f>IF(V150, IF(L150 = "", "", L150), "")</f>
        <v/>
      </c>
      <c r="Y150" s="58" t="str">
        <f>IF(V150, K150, "")</f>
        <v/>
      </c>
      <c r="Z150" s="59"/>
      <c r="AA150" s="44" t="b">
        <f>INDEX(itemPrepMethods, MATCH(K150, itemNames, 0))="soak"</f>
        <v>0</v>
      </c>
      <c r="AB150" s="58" t="str">
        <f>IF(AA150, Q150, "")</f>
        <v/>
      </c>
      <c r="AC150" s="58" t="str">
        <f>IF(AA150, IF(L150 = "", "", L150), "")</f>
        <v/>
      </c>
      <c r="AD150" s="58" t="str">
        <f>IF(AA150, K150, "")</f>
        <v/>
      </c>
    </row>
    <row r="151" spans="1:30" x14ac:dyDescent="0.25">
      <c r="A151" s="107"/>
      <c r="B151" s="107"/>
      <c r="C151" s="107"/>
      <c r="D151" s="107"/>
      <c r="I151" s="47"/>
      <c r="L151" s="44"/>
      <c r="M151" s="44"/>
      <c r="N151" s="44"/>
      <c r="O151" s="44"/>
      <c r="P151" s="44"/>
      <c r="W151" s="74"/>
      <c r="X151" s="74"/>
      <c r="Y151" s="74"/>
      <c r="Z151" s="74"/>
      <c r="AA151" s="67"/>
      <c r="AB151" s="74"/>
      <c r="AC151" s="74"/>
      <c r="AD151" s="74"/>
    </row>
    <row r="152" spans="1:30" x14ac:dyDescent="0.25">
      <c r="A152" s="107" t="s">
        <v>249</v>
      </c>
      <c r="B152" s="107"/>
      <c r="C152" s="107"/>
      <c r="D152" s="107"/>
      <c r="I152" s="47"/>
      <c r="L152" s="44"/>
      <c r="M152" s="44"/>
      <c r="N152" s="44"/>
      <c r="O152" s="44"/>
      <c r="P152" s="44"/>
      <c r="W152" s="74"/>
      <c r="X152" s="74"/>
      <c r="Y152" s="74"/>
      <c r="Z152" s="74"/>
      <c r="AA152" s="67"/>
      <c r="AB152" s="74"/>
      <c r="AC152" s="74"/>
      <c r="AD152" s="74"/>
    </row>
    <row r="153" spans="1:30" x14ac:dyDescent="0.25">
      <c r="A153" s="40" t="s">
        <v>21</v>
      </c>
      <c r="B153" s="61">
        <f>Q153</f>
        <v>0</v>
      </c>
      <c r="C153" s="91" t="str">
        <f t="shared" si="160"/>
        <v>cup</v>
      </c>
      <c r="D153" s="103" t="str">
        <f>_xlfn.CONCAT(K153, U153)</f>
        <v>thinly sliced silverbeet</v>
      </c>
      <c r="I153" s="54">
        <v>1.5</v>
      </c>
      <c r="J153" s="55" t="s">
        <v>12</v>
      </c>
      <c r="K153" s="55" t="s">
        <v>94</v>
      </c>
      <c r="L153" s="56" t="s">
        <v>16</v>
      </c>
      <c r="M153" s="47">
        <f>INDEX(itemGPerQty, MATCH(K153, itemNames, 0))</f>
        <v>0</v>
      </c>
      <c r="N153" s="47">
        <f>INDEX(itemMlPerQty, MATCH(K153, itemNames, 0))</f>
        <v>0</v>
      </c>
      <c r="O153" s="47">
        <f>IF(J153 = "", I153 * M153, IF(ISNA(CONVERT(I153, J153, "kg")), CONVERT(I153, J153, "l") * IF(N153 &lt;&gt; 0, M153 / N153, 0), CONVERT(I153, J153, "kg")))</f>
        <v>1.5</v>
      </c>
      <c r="P153" s="47">
        <f>IF(J153 = "", I153 * N153, IF(ISNA(CONVERT(I153, J153, "l")), CONVERT(I153, J153, "kg") * IF(M153 &lt;&gt; 0, N153 / M153, 0), CONVERT(I153, J153, "l")))</f>
        <v>0</v>
      </c>
      <c r="Q153" s="47">
        <f>MROUND(IF(AND(J153 = "", L153 = ""), I153 * recipe03DayScale, IF(ISNA(CONVERT(O153, "kg", L153)), CONVERT(P153 * recipe03DayScale, "l", L153), CONVERT(O153 * recipe03DayScale, "kg", L153))), roundTo)</f>
        <v>0</v>
      </c>
      <c r="R153" s="47">
        <f>recipe03TotScale * IF(L153 = "", Q153 * M153, IF(ISNA(CONVERT(Q153, L153, "kg")), CONVERT(Q153, L153, "l") * IF(N153 &lt;&gt; 0, M153 / N153, 0), CONVERT(Q153, L153, "kg")))</f>
        <v>0</v>
      </c>
      <c r="S153" s="47">
        <f>recipe03TotScale * IF(R153 = 0, IF(L153 = "", Q153 * N153, IF(ISNA(CONVERT(Q153, L153, "l")), CONVERT(Q153, L153, "kg") * IF(M153 &lt;&gt; 0, N153 / M153, 0), CONVERT(Q153, L153, "l"))), 0)</f>
        <v>0</v>
      </c>
      <c r="T153" s="47">
        <f>recipe03TotScale * IF(AND(R153 = 0, S153 = 0, J153 = "", L153 = ""), Q153, 0)</f>
        <v>0</v>
      </c>
      <c r="V153" s="44" t="b">
        <f>INDEX(itemPrepMethods, MATCH(K153, itemNames, 0))="chop"</f>
        <v>1</v>
      </c>
      <c r="W153" s="57">
        <f>IF(V153, Q153, "")</f>
        <v>0</v>
      </c>
      <c r="X153" s="58" t="str">
        <f>IF(V153, IF(L153 = "", "", L153), "")</f>
        <v>cup</v>
      </c>
      <c r="Y153" s="58" t="str">
        <f>IF(V153, K153, "")</f>
        <v>thinly sliced silverbeet</v>
      </c>
      <c r="Z153" s="59"/>
      <c r="AA153" s="44" t="b">
        <f>INDEX(itemPrepMethods, MATCH(K153, itemNames, 0))="soak"</f>
        <v>0</v>
      </c>
      <c r="AB153" s="58" t="str">
        <f>IF(AA153, Q153, "")</f>
        <v/>
      </c>
      <c r="AC153" s="58" t="str">
        <f>IF(AA153, IF(L153 = "", "", L153), "")</f>
        <v/>
      </c>
      <c r="AD153" s="58" t="str">
        <f>IF(AA153, K153, "")</f>
        <v/>
      </c>
    </row>
    <row r="154" spans="1:30" x14ac:dyDescent="0.25">
      <c r="A154" s="107"/>
      <c r="B154" s="107"/>
      <c r="C154" s="107"/>
      <c r="D154" s="107"/>
      <c r="I154" s="47"/>
      <c r="L154" s="44"/>
      <c r="M154" s="44"/>
      <c r="N154" s="44"/>
      <c r="O154" s="44"/>
      <c r="P154" s="44"/>
      <c r="W154" s="74"/>
      <c r="X154" s="74"/>
      <c r="Y154" s="74"/>
      <c r="Z154" s="74"/>
      <c r="AA154" s="67"/>
      <c r="AB154" s="74"/>
      <c r="AC154" s="74"/>
      <c r="AD154" s="74"/>
    </row>
    <row r="155" spans="1:30" x14ac:dyDescent="0.25">
      <c r="A155" s="107" t="s">
        <v>250</v>
      </c>
      <c r="B155" s="107"/>
      <c r="C155" s="107"/>
      <c r="D155" s="107"/>
      <c r="I155" s="47"/>
      <c r="L155" s="44"/>
      <c r="M155" s="44"/>
      <c r="N155" s="44"/>
      <c r="O155" s="44"/>
      <c r="P155" s="44"/>
      <c r="W155" s="74"/>
      <c r="X155" s="74"/>
      <c r="Y155" s="74"/>
      <c r="Z155" s="74"/>
      <c r="AA155" s="67"/>
      <c r="AB155" s="74"/>
      <c r="AC155" s="74"/>
      <c r="AD155" s="74"/>
    </row>
    <row r="156" spans="1:30" x14ac:dyDescent="0.25">
      <c r="A156" s="107"/>
      <c r="B156" s="107"/>
      <c r="C156" s="107"/>
      <c r="D156" s="107"/>
      <c r="I156" s="47"/>
      <c r="L156" s="44"/>
      <c r="M156" s="44"/>
      <c r="N156" s="44"/>
      <c r="O156" s="44"/>
      <c r="P156" s="44"/>
      <c r="W156" s="74"/>
      <c r="X156" s="74"/>
      <c r="Y156" s="74"/>
      <c r="Z156" s="74"/>
      <c r="AA156" s="67"/>
      <c r="AB156" s="74"/>
      <c r="AC156" s="74"/>
      <c r="AD156" s="74"/>
    </row>
    <row r="157" spans="1:30" x14ac:dyDescent="0.25">
      <c r="A157" s="107" t="s">
        <v>266</v>
      </c>
      <c r="B157" s="107"/>
      <c r="C157" s="107"/>
      <c r="D157" s="107"/>
      <c r="I157" s="47"/>
      <c r="L157" s="44"/>
      <c r="W157" s="74"/>
      <c r="X157" s="74"/>
      <c r="Y157" s="74"/>
      <c r="Z157" s="74"/>
      <c r="AA157" s="67"/>
      <c r="AB157" s="74"/>
      <c r="AC157" s="74"/>
      <c r="AD157" s="74"/>
    </row>
    <row r="158" spans="1:30" x14ac:dyDescent="0.25">
      <c r="A158" s="40" t="s">
        <v>21</v>
      </c>
      <c r="B158" s="52"/>
      <c r="C158" s="39" t="str">
        <f>IF(L158="","",L158)</f>
        <v/>
      </c>
      <c r="D158" s="40" t="str">
        <f>_xlfn.CONCAT(K158, U158)</f>
        <v>salt, to taste</v>
      </c>
      <c r="I158" s="47"/>
      <c r="K158" s="55" t="s">
        <v>11</v>
      </c>
      <c r="L158" s="44"/>
      <c r="M158" s="44"/>
      <c r="N158" s="44"/>
      <c r="O158" s="44"/>
      <c r="P158" s="44"/>
      <c r="U158" s="44" t="s">
        <v>216</v>
      </c>
      <c r="V158" s="44" t="b">
        <f>INDEX(itemPrepMethods, MATCH(K158, itemNames, 0))="chop"</f>
        <v>0</v>
      </c>
      <c r="W158" s="57" t="str">
        <f>IF(V158, Q158, "")</f>
        <v/>
      </c>
      <c r="X158" s="58" t="str">
        <f>IF(V158, IF(L158 = "", "", L158), "")</f>
        <v/>
      </c>
      <c r="Y158" s="58" t="str">
        <f>IF(V158, K158, "")</f>
        <v/>
      </c>
      <c r="Z158" s="59"/>
      <c r="AA158" s="44" t="b">
        <f>INDEX(itemPrepMethods, MATCH(K158, itemNames, 0))="soak"</f>
        <v>0</v>
      </c>
      <c r="AB158" s="58" t="str">
        <f>IF(AA158, Q158, "")</f>
        <v/>
      </c>
      <c r="AC158" s="58" t="str">
        <f>IF(AA158, IF(L158 = "", "", L158), "")</f>
        <v/>
      </c>
      <c r="AD158" s="58" t="str">
        <f>IF(AA158, K158, "")</f>
        <v/>
      </c>
    </row>
    <row r="159" spans="1:30" x14ac:dyDescent="0.25">
      <c r="A159" s="40" t="s">
        <v>21</v>
      </c>
      <c r="B159" s="52"/>
      <c r="C159" s="39" t="str">
        <f>IF(L159="","",L159)</f>
        <v/>
      </c>
      <c r="D159" s="40" t="str">
        <f>_xlfn.CONCAT(K159, U159)</f>
        <v>ground black pepper, to taste</v>
      </c>
      <c r="I159" s="47"/>
      <c r="K159" s="55" t="s">
        <v>80</v>
      </c>
      <c r="L159" s="44"/>
      <c r="M159" s="44"/>
      <c r="N159" s="44"/>
      <c r="O159" s="44"/>
      <c r="P159" s="44"/>
      <c r="U159" s="44" t="s">
        <v>216</v>
      </c>
      <c r="V159" s="44" t="b">
        <f>INDEX(itemPrepMethods, MATCH(K159, itemNames, 0))="chop"</f>
        <v>0</v>
      </c>
      <c r="W159" s="57" t="str">
        <f>IF(V159, Q159, "")</f>
        <v/>
      </c>
      <c r="X159" s="58" t="str">
        <f>IF(V159, IF(L159 = "", "", L159), "")</f>
        <v/>
      </c>
      <c r="Y159" s="58" t="str">
        <f>IF(V159, K159, "")</f>
        <v/>
      </c>
      <c r="Z159" s="59"/>
      <c r="AA159" s="44" t="b">
        <f>INDEX(itemPrepMethods, MATCH(K159, itemNames, 0))="soak"</f>
        <v>0</v>
      </c>
      <c r="AB159" s="58" t="str">
        <f>IF(AA159, Q159, "")</f>
        <v/>
      </c>
      <c r="AC159" s="58" t="str">
        <f>IF(AA159, IF(L159 = "", "", L159), "")</f>
        <v/>
      </c>
      <c r="AD159" s="58" t="str">
        <f>IF(AA159, K159, "")</f>
        <v/>
      </c>
    </row>
    <row r="160" spans="1:30" ht="15.75" x14ac:dyDescent="0.25">
      <c r="A160" s="108" t="s">
        <v>30</v>
      </c>
      <c r="B160" s="108"/>
      <c r="C160" s="108"/>
      <c r="D160" s="108"/>
      <c r="E160" s="43" t="s">
        <v>141</v>
      </c>
      <c r="F160" s="104" t="s">
        <v>170</v>
      </c>
      <c r="G160" s="104"/>
    </row>
    <row r="161" spans="1:30" ht="24" x14ac:dyDescent="0.2">
      <c r="A161" s="108" t="s">
        <v>42</v>
      </c>
      <c r="B161" s="108"/>
      <c r="C161" s="108"/>
      <c r="D161" s="108"/>
      <c r="E161" s="42" t="s">
        <v>56</v>
      </c>
      <c r="F161" s="90">
        <v>16</v>
      </c>
      <c r="G161" s="47"/>
      <c r="I161" s="70" t="s">
        <v>448</v>
      </c>
      <c r="J161" s="71" t="s">
        <v>449</v>
      </c>
      <c r="K161" s="71" t="s">
        <v>17</v>
      </c>
      <c r="L161" s="72" t="s">
        <v>452</v>
      </c>
      <c r="M161" s="70" t="s">
        <v>148</v>
      </c>
      <c r="N161" s="70" t="s">
        <v>149</v>
      </c>
      <c r="O161" s="70" t="s">
        <v>450</v>
      </c>
      <c r="P161" s="70" t="s">
        <v>451</v>
      </c>
      <c r="Q161" s="71" t="s">
        <v>364</v>
      </c>
      <c r="R161" s="70" t="s">
        <v>365</v>
      </c>
      <c r="S161" s="70" t="s">
        <v>366</v>
      </c>
      <c r="T161" s="70" t="s">
        <v>367</v>
      </c>
      <c r="U161" s="71" t="s">
        <v>22</v>
      </c>
      <c r="V161" s="71" t="s">
        <v>212</v>
      </c>
      <c r="W161" s="73" t="s">
        <v>364</v>
      </c>
      <c r="X161" s="71" t="s">
        <v>210</v>
      </c>
      <c r="Y161" s="71" t="s">
        <v>211</v>
      </c>
      <c r="Z161" s="71" t="s">
        <v>313</v>
      </c>
      <c r="AA161" s="71" t="s">
        <v>213</v>
      </c>
      <c r="AB161" s="73" t="s">
        <v>364</v>
      </c>
      <c r="AC161" s="71" t="s">
        <v>214</v>
      </c>
      <c r="AD161" s="71" t="s">
        <v>215</v>
      </c>
    </row>
    <row r="162" spans="1:30" ht="15.75" thickBot="1" x14ac:dyDescent="0.3">
      <c r="A162" s="107"/>
      <c r="B162" s="107"/>
      <c r="C162" s="107"/>
      <c r="D162" s="107"/>
      <c r="E162" s="66" t="s">
        <v>359</v>
      </c>
      <c r="F162" s="90">
        <f>thLuCount</f>
        <v>10</v>
      </c>
      <c r="G162" s="47"/>
      <c r="I162" s="47"/>
    </row>
    <row r="163" spans="1:30" ht="15.75" thickBot="1" x14ac:dyDescent="0.3">
      <c r="A163" s="107" t="s">
        <v>172</v>
      </c>
      <c r="B163" s="107"/>
      <c r="C163" s="107"/>
      <c r="D163" s="107"/>
      <c r="E163" s="66" t="s">
        <v>362</v>
      </c>
      <c r="F163" s="50">
        <f>F162/F161</f>
        <v>0.625</v>
      </c>
      <c r="G163" s="51" t="s">
        <v>390</v>
      </c>
      <c r="I163" s="47"/>
    </row>
    <row r="164" spans="1:30" x14ac:dyDescent="0.25">
      <c r="A164" s="40" t="s">
        <v>21</v>
      </c>
      <c r="B164" s="52"/>
      <c r="C164" s="39" t="str">
        <f t="shared" ref="C164" si="165">IF(L164="","",L164)</f>
        <v/>
      </c>
      <c r="D164" s="40" t="str">
        <f>_xlfn.CONCAT(K164, U164)</f>
        <v>oil</v>
      </c>
      <c r="E164" s="67"/>
      <c r="F164" s="67"/>
      <c r="G164" s="67"/>
      <c r="I164" s="47"/>
      <c r="K164" s="55" t="s">
        <v>46</v>
      </c>
      <c r="L164" s="44"/>
      <c r="M164" s="44"/>
      <c r="N164" s="44"/>
      <c r="O164" s="44"/>
      <c r="P164" s="44"/>
      <c r="Q164" s="44"/>
      <c r="T164" s="44"/>
      <c r="V164" s="44" t="b">
        <f>INDEX(itemPrepMethods, MATCH(K164, itemNames, 0))="chop"</f>
        <v>0</v>
      </c>
      <c r="W164" s="57" t="str">
        <f>IF(V164, Q164, "")</f>
        <v/>
      </c>
      <c r="X164" s="58" t="str">
        <f>IF(V164, IF(L164 = "", "", L164), "")</f>
        <v/>
      </c>
      <c r="Y164" s="58" t="str">
        <f>IF(V164, K164, "")</f>
        <v/>
      </c>
      <c r="Z164" s="59"/>
      <c r="AA164" s="44" t="b">
        <f>INDEX(itemPrepMethods, MATCH(K164, itemNames, 0))="soak"</f>
        <v>0</v>
      </c>
      <c r="AB164" s="58" t="str">
        <f>IF(AA164, Q164, "")</f>
        <v/>
      </c>
      <c r="AC164" s="58" t="str">
        <f>IF(AA164, IF(L164 = "", "", L164), "")</f>
        <v/>
      </c>
      <c r="AD164" s="58" t="str">
        <f>IF(AA164, K164, "")</f>
        <v/>
      </c>
    </row>
    <row r="165" spans="1:30" ht="36.75" thickBot="1" x14ac:dyDescent="0.3">
      <c r="A165" s="40" t="s">
        <v>21</v>
      </c>
      <c r="B165" s="52">
        <f t="shared" ref="B165" si="166">Q165</f>
        <v>500</v>
      </c>
      <c r="C165" s="39" t="str">
        <f t="shared" ref="C165" si="167">IF(L165="","",L165)</f>
        <v>g</v>
      </c>
      <c r="D165" s="40" t="str">
        <f>_xlfn.CONCAT(K165, U165)</f>
        <v>blocks tofu, cut into cubes</v>
      </c>
      <c r="E165" s="66" t="s">
        <v>338</v>
      </c>
      <c r="F165" s="90">
        <f>thLuCount</f>
        <v>10</v>
      </c>
      <c r="G165" s="67"/>
      <c r="I165" s="62">
        <v>800</v>
      </c>
      <c r="J165" s="55" t="s">
        <v>0</v>
      </c>
      <c r="K165" s="55" t="s">
        <v>270</v>
      </c>
      <c r="L165" s="56" t="s">
        <v>0</v>
      </c>
      <c r="M165" s="47">
        <f>INDEX(itemGPerQty, MATCH(K165, itemNames, 0))</f>
        <v>0</v>
      </c>
      <c r="N165" s="47">
        <f>INDEX(itemMlPerQty, MATCH(K165, itemNames, 0))</f>
        <v>0</v>
      </c>
      <c r="O165" s="47">
        <f t="shared" ref="O165:O166" si="168">IF(J165 = "", I165 * M165, IF(ISNA(CONVERT(I165, J165, "kg")), CONVERT(I165, J165, "l") * IF(N165 &lt;&gt; 0, M165 / N165, 0), CONVERT(I165, J165, "kg")))</f>
        <v>0.8</v>
      </c>
      <c r="P165" s="47">
        <f t="shared" ref="P165:P166" si="169">IF(J165 = "", I165 * N165, IF(ISNA(CONVERT(I165, J165, "l")), CONVERT(I165, J165, "kg") * IF(M165 &lt;&gt; 0, N165 / M165, 0), CONVERT(I165, J165, "l")))</f>
        <v>0</v>
      </c>
      <c r="Q165" s="47">
        <f>MROUND(IF(AND(J165 = "", L165 = ""), I165 * recipe10DayScale, IF(ISNA(CONVERT(O165, "kg", L165)), CONVERT(P165 * recipe10DayScale, "l", L165), CONVERT(O165 * recipe10DayScale, "kg", L165))), roundTo)</f>
        <v>500</v>
      </c>
      <c r="R165" s="47">
        <f>recipe10TotScale * IF(L165 = "", Q165 * M165, IF(ISNA(CONVERT(Q165, L165, "kg")), CONVERT(Q165, L165, "l") * IF(N165 &lt;&gt; 0, M165 / N165, 0), CONVERT(Q165, L165, "kg")))</f>
        <v>0.5</v>
      </c>
      <c r="S165" s="47">
        <f>recipe10TotScale * IF(R165 = 0, IF(L165 = "", Q165 * N165, IF(ISNA(CONVERT(Q165, L165, "l")), CONVERT(Q165, L165, "kg") * IF(M165 &lt;&gt; 0, N165 / M165, 0), CONVERT(Q165, L165, "l"))), 0)</f>
        <v>0</v>
      </c>
      <c r="T165" s="47">
        <f>recipe10TotScale * IF(AND(R165 = 0, S165 = 0, J165 = "", L165 = ""), Q165, 0)</f>
        <v>0</v>
      </c>
      <c r="V165" s="44" t="b">
        <f>INDEX(itemPrepMethods, MATCH(K165, itemNames, 0))="chop"</f>
        <v>1</v>
      </c>
      <c r="W165" s="57">
        <f>IF(V165, Q165, "")</f>
        <v>500</v>
      </c>
      <c r="X165" s="58" t="str">
        <f>IF(V165, IF(L165 = "", "", L165), "")</f>
        <v>g</v>
      </c>
      <c r="Y165" s="58" t="str">
        <f>IF(V165, K165, "")</f>
        <v>blocks tofu, cut into cubes</v>
      </c>
      <c r="Z165" s="59" t="s">
        <v>272</v>
      </c>
      <c r="AA165" s="44" t="b">
        <f>INDEX(itemPrepMethods, MATCH(K165, itemNames, 0))="soak"</f>
        <v>0</v>
      </c>
      <c r="AB165" s="58" t="str">
        <f>IF(AA165, Q165, "")</f>
        <v/>
      </c>
      <c r="AC165" s="58" t="str">
        <f>IF(AA165, IF(L165 = "", "", L165), "")</f>
        <v/>
      </c>
      <c r="AD165" s="58" t="str">
        <f>IF(AA165, K165, "")</f>
        <v/>
      </c>
    </row>
    <row r="166" spans="1:30" ht="15.75" thickBot="1" x14ac:dyDescent="0.3">
      <c r="A166" s="40" t="s">
        <v>21</v>
      </c>
      <c r="B166" s="52">
        <f t="shared" ref="B166" si="170">Q166</f>
        <v>3</v>
      </c>
      <c r="C166" s="39" t="str">
        <f t="shared" ref="C166" si="171">IF(L166="","",L166)</f>
        <v>tbs</v>
      </c>
      <c r="D166" s="40" t="str">
        <f>_xlfn.CONCAT(K166, U166)</f>
        <v>tamari</v>
      </c>
      <c r="E166" s="66" t="s">
        <v>363</v>
      </c>
      <c r="F166" s="50">
        <f>F165/F162</f>
        <v>1</v>
      </c>
      <c r="G166" s="51" t="s">
        <v>391</v>
      </c>
      <c r="I166" s="62">
        <v>0.3</v>
      </c>
      <c r="J166" s="55" t="s">
        <v>16</v>
      </c>
      <c r="K166" s="55" t="s">
        <v>171</v>
      </c>
      <c r="L166" s="56" t="s">
        <v>15</v>
      </c>
      <c r="M166" s="47">
        <f>INDEX(itemGPerQty, MATCH(K166, itemNames, 0))</f>
        <v>0</v>
      </c>
      <c r="N166" s="47">
        <f>INDEX(itemMlPerQty, MATCH(K166, itemNames, 0))</f>
        <v>0</v>
      </c>
      <c r="O166" s="47">
        <f t="shared" si="168"/>
        <v>0</v>
      </c>
      <c r="P166" s="47">
        <f t="shared" si="169"/>
        <v>7.0976470949999995E-2</v>
      </c>
      <c r="Q166" s="47">
        <f>MROUND(IF(AND(J166 = "", L166 = ""), I166 * recipe10DayScale, IF(ISNA(CONVERT(O166, "kg", L166)), CONVERT(P166 * recipe10DayScale, "l", L166), CONVERT(O166 * recipe10DayScale, "kg", L166))), roundTo)</f>
        <v>3</v>
      </c>
      <c r="R166" s="47">
        <f>recipe10TotScale * IF(L166 = "", Q166 * M166, IF(ISNA(CONVERT(Q166, L166, "kg")), CONVERT(Q166, L166, "l") * IF(N166 &lt;&gt; 0, M166 / N166, 0), CONVERT(Q166, L166, "kg")))</f>
        <v>0</v>
      </c>
      <c r="S166" s="47">
        <f>recipe10TotScale * IF(R166 = 0, IF(L166 = "", Q166 * N166, IF(ISNA(CONVERT(Q166, L166, "l")), CONVERT(Q166, L166, "kg") * IF(M166 &lt;&gt; 0, N166 / M166, 0), CONVERT(Q166, L166, "l"))), 0)</f>
        <v>4.4360294343749995E-2</v>
      </c>
      <c r="T166" s="47">
        <f>recipe10TotScale * IF(AND(R166 = 0, S166 = 0, J166 = "", L166 = ""), Q166, 0)</f>
        <v>0</v>
      </c>
      <c r="V166" s="44" t="b">
        <f>INDEX(itemPrepMethods, MATCH(K166, itemNames, 0))="chop"</f>
        <v>0</v>
      </c>
      <c r="W166" s="57" t="str">
        <f>IF(V166, Q166, "")</f>
        <v/>
      </c>
      <c r="X166" s="58" t="str">
        <f>IF(V166, IF(L166 = "", "", L166), "")</f>
        <v/>
      </c>
      <c r="Y166" s="58" t="str">
        <f>IF(V166, K166, "")</f>
        <v/>
      </c>
      <c r="Z166" s="59"/>
      <c r="AA166" s="44" t="b">
        <f>INDEX(itemPrepMethods, MATCH(K166, itemNames, 0))="soak"</f>
        <v>0</v>
      </c>
      <c r="AB166" s="58" t="str">
        <f>IF(AA166, Q166, "")</f>
        <v/>
      </c>
      <c r="AC166" s="58" t="str">
        <f>IF(AA166, IF(L166 = "", "", L166), "")</f>
        <v/>
      </c>
      <c r="AD166" s="58" t="str">
        <f>IF(AA166, K166, "")</f>
        <v/>
      </c>
    </row>
    <row r="167" spans="1:30" x14ac:dyDescent="0.25">
      <c r="A167" s="107"/>
      <c r="B167" s="107"/>
      <c r="C167" s="107"/>
      <c r="D167" s="107"/>
      <c r="I167" s="47"/>
      <c r="L167" s="44"/>
      <c r="M167" s="44"/>
      <c r="N167" s="44"/>
      <c r="W167" s="74"/>
      <c r="X167" s="75"/>
      <c r="Y167" s="75"/>
      <c r="Z167" s="76"/>
      <c r="AA167" s="67"/>
      <c r="AB167" s="74"/>
      <c r="AC167" s="74"/>
      <c r="AD167" s="74"/>
    </row>
    <row r="168" spans="1:30" x14ac:dyDescent="0.25">
      <c r="A168" s="107" t="s">
        <v>184</v>
      </c>
      <c r="B168" s="107"/>
      <c r="C168" s="107"/>
      <c r="D168" s="107"/>
      <c r="I168" s="47"/>
      <c r="L168" s="44"/>
      <c r="M168" s="44"/>
      <c r="N168" s="44"/>
      <c r="W168" s="74"/>
      <c r="X168" s="75"/>
      <c r="Y168" s="75"/>
      <c r="Z168" s="76"/>
      <c r="AA168" s="67"/>
      <c r="AB168" s="74"/>
      <c r="AC168" s="74"/>
      <c r="AD168" s="74"/>
    </row>
    <row r="169" spans="1:30" x14ac:dyDescent="0.25">
      <c r="A169" s="40" t="s">
        <v>21</v>
      </c>
      <c r="B169" s="52">
        <f t="shared" ref="B169" si="172">Q169</f>
        <v>6.25</v>
      </c>
      <c r="C169" s="39" t="str">
        <f t="shared" ref="C169" si="173">IF(L169="","",L169)</f>
        <v>tbs</v>
      </c>
      <c r="D169" s="40" t="str">
        <f>_xlfn.CONCAT(K169, U169)</f>
        <v>sesame oil</v>
      </c>
      <c r="I169" s="62">
        <v>10</v>
      </c>
      <c r="J169" s="55" t="s">
        <v>15</v>
      </c>
      <c r="K169" s="55" t="s">
        <v>173</v>
      </c>
      <c r="L169" s="56" t="s">
        <v>15</v>
      </c>
      <c r="M169" s="47">
        <f>INDEX(itemGPerQty, MATCH(K169, itemNames, 0))</f>
        <v>0</v>
      </c>
      <c r="N169" s="47">
        <f>INDEX(itemMlPerQty, MATCH(K169, itemNames, 0))</f>
        <v>0</v>
      </c>
      <c r="O169" s="47">
        <f t="shared" ref="O169:O173" si="174">IF(J169 = "", I169 * M169, IF(ISNA(CONVERT(I169, J169, "kg")), CONVERT(I169, J169, "l") * IF(N169 &lt;&gt; 0, M169 / N169, 0), CONVERT(I169, J169, "kg")))</f>
        <v>0</v>
      </c>
      <c r="P169" s="47">
        <f t="shared" ref="P169:P173" si="175">IF(J169 = "", I169 * N169, IF(ISNA(CONVERT(I169, J169, "l")), CONVERT(I169, J169, "kg") * IF(M169 &lt;&gt; 0, N169 / M169, 0), CONVERT(I169, J169, "l")))</f>
        <v>0.1478676478125</v>
      </c>
      <c r="Q169" s="47">
        <f>MROUND(IF(AND(J169 = "", L169 = ""), I169 * recipe10DayScale, IF(ISNA(CONVERT(O169, "kg", L169)), CONVERT(P169 * recipe10DayScale, "l", L169), CONVERT(O169 * recipe10DayScale, "kg", L169))), roundTo)</f>
        <v>6.25</v>
      </c>
      <c r="R169" s="47">
        <f>recipe10TotScale * IF(L169 = "", Q169 * M169, IF(ISNA(CONVERT(Q169, L169, "kg")), CONVERT(Q169, L169, "l") * IF(N169 &lt;&gt; 0, M169 / N169, 0), CONVERT(Q169, L169, "kg")))</f>
        <v>0</v>
      </c>
      <c r="S169" s="47">
        <f>recipe10TotScale * IF(R169 = 0, IF(L169 = "", Q169 * N169, IF(ISNA(CONVERT(Q169, L169, "l")), CONVERT(Q169, L169, "kg") * IF(M169 &lt;&gt; 0, N169 / M169, 0), CONVERT(Q169, L169, "l"))), 0)</f>
        <v>9.2417279882812495E-2</v>
      </c>
      <c r="T169" s="47">
        <f>recipe10TotScale * IF(AND(R169 = 0, S169 = 0, J169 = "", L169 = ""), Q169, 0)</f>
        <v>0</v>
      </c>
      <c r="V169" s="44" t="b">
        <f>INDEX(itemPrepMethods, MATCH(K169, itemNames, 0))="chop"</f>
        <v>0</v>
      </c>
      <c r="W169" s="57" t="str">
        <f>IF(V169, Q169, "")</f>
        <v/>
      </c>
      <c r="X169" s="58" t="str">
        <f>IF(V169, IF(L169 = "", "", L169), "")</f>
        <v/>
      </c>
      <c r="Y169" s="58" t="str">
        <f>IF(V169, K169, "")</f>
        <v/>
      </c>
      <c r="Z169" s="59"/>
      <c r="AA169" s="44" t="b">
        <f>INDEX(itemPrepMethods, MATCH(K169, itemNames, 0))="soak"</f>
        <v>0</v>
      </c>
      <c r="AB169" s="58" t="str">
        <f>IF(AA169, Q169, "")</f>
        <v/>
      </c>
      <c r="AC169" s="58" t="str">
        <f>IF(AA169, IF(L169 = "", "", L169), "")</f>
        <v/>
      </c>
      <c r="AD169" s="58" t="str">
        <f>IF(AA169, K169, "")</f>
        <v/>
      </c>
    </row>
    <row r="170" spans="1:30" x14ac:dyDescent="0.25">
      <c r="A170" s="40" t="s">
        <v>21</v>
      </c>
      <c r="B170" s="52">
        <f t="shared" ref="B170:B171" si="176">Q170</f>
        <v>2</v>
      </c>
      <c r="C170" s="39" t="str">
        <f t="shared" ref="C170:C171" si="177">IF(L170="","",L170)</f>
        <v>tbs</v>
      </c>
      <c r="D170" s="40" t="str">
        <f>_xlfn.CONCAT(K170, U170)</f>
        <v>thai green curry</v>
      </c>
      <c r="I170" s="62">
        <v>3</v>
      </c>
      <c r="J170" s="55" t="s">
        <v>15</v>
      </c>
      <c r="K170" s="55" t="s">
        <v>174</v>
      </c>
      <c r="L170" s="56" t="s">
        <v>15</v>
      </c>
      <c r="M170" s="47">
        <f>INDEX(itemGPerQty, MATCH(K170, itemNames, 0))</f>
        <v>0</v>
      </c>
      <c r="N170" s="47">
        <f>INDEX(itemMlPerQty, MATCH(K170, itemNames, 0))</f>
        <v>0</v>
      </c>
      <c r="O170" s="47">
        <f t="shared" si="174"/>
        <v>0</v>
      </c>
      <c r="P170" s="47">
        <f t="shared" si="175"/>
        <v>4.4360294343749995E-2</v>
      </c>
      <c r="Q170" s="47">
        <f>MROUND(IF(AND(J170 = "", L170 = ""), I170 * recipe10DayScale, IF(ISNA(CONVERT(O170, "kg", L170)), CONVERT(P170 * recipe10DayScale, "l", L170), CONVERT(O170 * recipe10DayScale, "kg", L170))), roundTo)</f>
        <v>2</v>
      </c>
      <c r="R170" s="47">
        <f>recipe10TotScale * IF(L170 = "", Q170 * M170, IF(ISNA(CONVERT(Q170, L170, "kg")), CONVERT(Q170, L170, "l") * IF(N170 &lt;&gt; 0, M170 / N170, 0), CONVERT(Q170, L170, "kg")))</f>
        <v>0</v>
      </c>
      <c r="S170" s="47">
        <f>recipe10TotScale * IF(R170 = 0, IF(L170 = "", Q170 * N170, IF(ISNA(CONVERT(Q170, L170, "l")), CONVERT(Q170, L170, "kg") * IF(M170 &lt;&gt; 0, N170 / M170, 0), CONVERT(Q170, L170, "l"))), 0)</f>
        <v>2.9573529562499999E-2</v>
      </c>
      <c r="T170" s="47">
        <f>recipe10TotScale * IF(AND(R170 = 0, S170 = 0, J170 = "", L170 = ""), Q170, 0)</f>
        <v>0</v>
      </c>
      <c r="V170" s="44" t="b">
        <f>INDEX(itemPrepMethods, MATCH(K170, itemNames, 0))="chop"</f>
        <v>0</v>
      </c>
      <c r="W170" s="57" t="str">
        <f>IF(V170, Q170, "")</f>
        <v/>
      </c>
      <c r="X170" s="58" t="str">
        <f>IF(V170, IF(L170 = "", "", L170), "")</f>
        <v/>
      </c>
      <c r="Y170" s="58" t="str">
        <f>IF(V170, K170, "")</f>
        <v/>
      </c>
      <c r="Z170" s="59"/>
      <c r="AA170" s="44" t="b">
        <f>INDEX(itemPrepMethods, MATCH(K170, itemNames, 0))="soak"</f>
        <v>0</v>
      </c>
      <c r="AB170" s="58" t="str">
        <f>IF(AA170, Q170, "")</f>
        <v/>
      </c>
      <c r="AC170" s="58" t="str">
        <f>IF(AA170, IF(L170 = "", "", L170), "")</f>
        <v/>
      </c>
      <c r="AD170" s="58" t="str">
        <f>IF(AA170, K170, "")</f>
        <v/>
      </c>
    </row>
    <row r="171" spans="1:30" x14ac:dyDescent="0.25">
      <c r="A171" s="40" t="s">
        <v>21</v>
      </c>
      <c r="B171" s="52">
        <f t="shared" si="176"/>
        <v>2.5</v>
      </c>
      <c r="C171" s="39" t="str">
        <f t="shared" si="177"/>
        <v/>
      </c>
      <c r="D171" s="40" t="str">
        <f>_xlfn.CONCAT(K171, U171)</f>
        <v>chopped onions</v>
      </c>
      <c r="I171" s="62">
        <v>4</v>
      </c>
      <c r="J171" s="55"/>
      <c r="K171" s="55" t="s">
        <v>6</v>
      </c>
      <c r="L171" s="56"/>
      <c r="M171" s="47">
        <f>INDEX(itemGPerQty, MATCH(K171, itemNames, 0))</f>
        <v>0.185</v>
      </c>
      <c r="N171" s="47">
        <f>INDEX(itemMlPerQty, MATCH(K171, itemNames, 0))</f>
        <v>0.3</v>
      </c>
      <c r="O171" s="47">
        <f t="shared" si="174"/>
        <v>0.74</v>
      </c>
      <c r="P171" s="47">
        <f t="shared" si="175"/>
        <v>1.2</v>
      </c>
      <c r="Q171" s="47">
        <f>MROUND(IF(AND(J171 = "", L171 = ""), I171 * recipe10DayScale, IF(ISNA(CONVERT(O171, "kg", L171)), CONVERT(P171 * recipe10DayScale, "l", L171), CONVERT(O171 * recipe10DayScale, "kg", L171))), roundTo)</f>
        <v>2.5</v>
      </c>
      <c r="R171" s="47">
        <f>recipe10TotScale * IF(L171 = "", Q171 * M171, IF(ISNA(CONVERT(Q171, L171, "kg")), CONVERT(Q171, L171, "l") * IF(N171 &lt;&gt; 0, M171 / N171, 0), CONVERT(Q171, L171, "kg")))</f>
        <v>0.46250000000000002</v>
      </c>
      <c r="S171" s="47">
        <f>recipe10TotScale * IF(R171 = 0, IF(L171 = "", Q171 * N171, IF(ISNA(CONVERT(Q171, L171, "l")), CONVERT(Q171, L171, "kg") * IF(M171 &lt;&gt; 0, N171 / M171, 0), CONVERT(Q171, L171, "l"))), 0)</f>
        <v>0</v>
      </c>
      <c r="T171" s="47">
        <f>recipe10TotScale * IF(AND(R171 = 0, S171 = 0, J171 = "", L171 = ""), Q171, 0)</f>
        <v>0</v>
      </c>
      <c r="V171" s="44" t="b">
        <f>INDEX(itemPrepMethods, MATCH(K171, itemNames, 0))="chop"</f>
        <v>1</v>
      </c>
      <c r="W171" s="57">
        <f>IF(V171, Q171, "")</f>
        <v>2.5</v>
      </c>
      <c r="X171" s="58" t="str">
        <f>IF(V171, IF(L171 = "", "", L171), "")</f>
        <v/>
      </c>
      <c r="Y171" s="58" t="str">
        <f>IF(V171, K171, "")</f>
        <v>chopped onions</v>
      </c>
      <c r="Z171" s="59"/>
      <c r="AA171" s="44" t="b">
        <f>INDEX(itemPrepMethods, MATCH(K171, itemNames, 0))="soak"</f>
        <v>0</v>
      </c>
      <c r="AB171" s="58" t="str">
        <f>IF(AA171, Q171, "")</f>
        <v/>
      </c>
      <c r="AC171" s="58" t="str">
        <f>IF(AA171, IF(L171 = "", "", L171), "")</f>
        <v/>
      </c>
      <c r="AD171" s="58" t="str">
        <f>IF(AA171, K171, "")</f>
        <v/>
      </c>
    </row>
    <row r="172" spans="1:30" x14ac:dyDescent="0.25">
      <c r="A172" s="40" t="s">
        <v>21</v>
      </c>
      <c r="B172" s="52">
        <f t="shared" ref="B172" si="178">Q172</f>
        <v>3.25</v>
      </c>
      <c r="C172" s="39" t="str">
        <f t="shared" ref="C172" si="179">IF(L172="","",L172)</f>
        <v>tbs</v>
      </c>
      <c r="D172" s="40" t="str">
        <f>_xlfn.CONCAT(K172, U172)</f>
        <v>minced fresh ginger</v>
      </c>
      <c r="I172" s="62">
        <v>5</v>
      </c>
      <c r="J172" s="55" t="s">
        <v>15</v>
      </c>
      <c r="K172" s="55" t="s">
        <v>231</v>
      </c>
      <c r="L172" s="56" t="s">
        <v>15</v>
      </c>
      <c r="M172" s="47">
        <f>INDEX(itemGPerQty, MATCH(K172, itemNames, 0))</f>
        <v>0</v>
      </c>
      <c r="N172" s="47">
        <f>INDEX(itemMlPerQty, MATCH(K172, itemNames, 0))</f>
        <v>0</v>
      </c>
      <c r="O172" s="47">
        <f t="shared" si="174"/>
        <v>0</v>
      </c>
      <c r="P172" s="47">
        <f t="shared" si="175"/>
        <v>7.3933823906250001E-2</v>
      </c>
      <c r="Q172" s="47">
        <f>MROUND(IF(AND(J172 = "", L172 = ""), I172 * recipe10DayScale, IF(ISNA(CONVERT(O172, "kg", L172)), CONVERT(P172 * recipe10DayScale, "l", L172), CONVERT(O172 * recipe10DayScale, "kg", L172))), roundTo)</f>
        <v>3.25</v>
      </c>
      <c r="R172" s="47">
        <f>recipe10TotScale * IF(L172 = "", Q172 * M172, IF(ISNA(CONVERT(Q172, L172, "kg")), CONVERT(Q172, L172, "l") * IF(N172 &lt;&gt; 0, M172 / N172, 0), CONVERT(Q172, L172, "kg")))</f>
        <v>0</v>
      </c>
      <c r="S172" s="47">
        <f>recipe10TotScale * IF(R172 = 0, IF(L172 = "", Q172 * N172, IF(ISNA(CONVERT(Q172, L172, "l")), CONVERT(Q172, L172, "kg") * IF(M172 &lt;&gt; 0, N172 / M172, 0), CONVERT(Q172, L172, "l"))), 0)</f>
        <v>4.8056985539062499E-2</v>
      </c>
      <c r="T172" s="47">
        <f>recipe10TotScale * IF(AND(R172 = 0, S172 = 0, J172 = "", L172 = ""), Q172, 0)</f>
        <v>0</v>
      </c>
      <c r="V172" s="44" t="b">
        <f>INDEX(itemPrepMethods, MATCH(K172, itemNames, 0))="chop"</f>
        <v>1</v>
      </c>
      <c r="W172" s="57">
        <f>IF(V172, Q172, "")</f>
        <v>3.25</v>
      </c>
      <c r="X172" s="58" t="str">
        <f>IF(V172, IF(L172 = "", "", L172), "")</f>
        <v>tbs</v>
      </c>
      <c r="Y172" s="58" t="str">
        <f>IF(V172, K172, "")</f>
        <v>minced fresh ginger</v>
      </c>
      <c r="Z172" s="59"/>
      <c r="AA172" s="44" t="b">
        <f>INDEX(itemPrepMethods, MATCH(K172, itemNames, 0))="soak"</f>
        <v>0</v>
      </c>
      <c r="AB172" s="58" t="str">
        <f>IF(AA172, Q172, "")</f>
        <v/>
      </c>
      <c r="AC172" s="58" t="str">
        <f>IF(AA172, IF(L172 = "", "", L172), "")</f>
        <v/>
      </c>
      <c r="AD172" s="58" t="str">
        <f>IF(AA172, K172, "")</f>
        <v/>
      </c>
    </row>
    <row r="173" spans="1:30" x14ac:dyDescent="0.25">
      <c r="A173" s="40" t="s">
        <v>21</v>
      </c>
      <c r="B173" s="52">
        <f t="shared" ref="B173" si="180">Q173</f>
        <v>0.75</v>
      </c>
      <c r="C173" s="39" t="str">
        <f t="shared" ref="C173" si="181">IF(L173="","",L173)</f>
        <v/>
      </c>
      <c r="D173" s="40" t="str">
        <f>_xlfn.CONCAT(K173, U173)</f>
        <v>chopped cauliflowers</v>
      </c>
      <c r="I173" s="62">
        <v>1</v>
      </c>
      <c r="J173" s="55"/>
      <c r="K173" s="55" t="s">
        <v>167</v>
      </c>
      <c r="L173" s="56"/>
      <c r="M173" s="47">
        <f>INDEX(itemGPerQty, MATCH(K173, itemNames, 0))</f>
        <v>0</v>
      </c>
      <c r="N173" s="47">
        <f>INDEX(itemMlPerQty, MATCH(K173, itemNames, 0))</f>
        <v>0</v>
      </c>
      <c r="O173" s="47">
        <f t="shared" si="174"/>
        <v>0</v>
      </c>
      <c r="P173" s="47">
        <f t="shared" si="175"/>
        <v>0</v>
      </c>
      <c r="Q173" s="47">
        <f>MROUND(IF(AND(J173 = "", L173 = ""), I173 * recipe10DayScale, IF(ISNA(CONVERT(O173, "kg", L173)), CONVERT(P173 * recipe10DayScale, "l", L173), CONVERT(O173 * recipe10DayScale, "kg", L173))), roundTo)</f>
        <v>0.75</v>
      </c>
      <c r="R173" s="47">
        <f>recipe10TotScale * IF(L173 = "", Q173 * M173, IF(ISNA(CONVERT(Q173, L173, "kg")), CONVERT(Q173, L173, "l") * IF(N173 &lt;&gt; 0, M173 / N173, 0), CONVERT(Q173, L173, "kg")))</f>
        <v>0</v>
      </c>
      <c r="S173" s="47">
        <f>recipe10TotScale * IF(R173 = 0, IF(L173 = "", Q173 * N173, IF(ISNA(CONVERT(Q173, L173, "l")), CONVERT(Q173, L173, "kg") * IF(M173 &lt;&gt; 0, N173 / M173, 0), CONVERT(Q173, L173, "l"))), 0)</f>
        <v>0</v>
      </c>
      <c r="T173" s="47">
        <f>recipe10TotScale * IF(AND(R173 = 0, S173 = 0, J173 = "", L173 = ""), Q173, 0)</f>
        <v>0.75</v>
      </c>
      <c r="V173" s="44" t="b">
        <f>INDEX(itemPrepMethods, MATCH(K173, itemNames, 0))="chop"</f>
        <v>1</v>
      </c>
      <c r="W173" s="57">
        <f>IF(V173, Q173, "")</f>
        <v>0.75</v>
      </c>
      <c r="X173" s="58" t="str">
        <f>IF(V173, IF(L173 = "", "", L173), "")</f>
        <v/>
      </c>
      <c r="Y173" s="58" t="str">
        <f>IF(V173, K173, "")</f>
        <v>chopped cauliflowers</v>
      </c>
      <c r="Z173" s="59"/>
      <c r="AA173" s="44" t="b">
        <f>INDEX(itemPrepMethods, MATCH(K173, itemNames, 0))="soak"</f>
        <v>0</v>
      </c>
      <c r="AB173" s="58" t="str">
        <f>IF(AA173, Q173, "")</f>
        <v/>
      </c>
      <c r="AC173" s="58" t="str">
        <f>IF(AA173, IF(L173 = "", "", L173), "")</f>
        <v/>
      </c>
      <c r="AD173" s="58" t="str">
        <f>IF(AA173, K173, "")</f>
        <v/>
      </c>
    </row>
    <row r="174" spans="1:30" x14ac:dyDescent="0.25">
      <c r="A174" s="107"/>
      <c r="B174" s="107"/>
      <c r="C174" s="107"/>
      <c r="D174" s="107"/>
      <c r="I174" s="47"/>
      <c r="L174" s="44"/>
      <c r="M174" s="44"/>
      <c r="N174" s="44"/>
      <c r="W174" s="74"/>
      <c r="X174" s="75"/>
      <c r="Y174" s="75"/>
      <c r="Z174" s="76"/>
      <c r="AA174" s="67"/>
      <c r="AB174" s="74"/>
      <c r="AC174" s="74"/>
      <c r="AD174" s="74"/>
    </row>
    <row r="175" spans="1:30" x14ac:dyDescent="0.25">
      <c r="A175" s="107" t="s">
        <v>185</v>
      </c>
      <c r="B175" s="107"/>
      <c r="C175" s="107"/>
      <c r="D175" s="107"/>
      <c r="I175" s="47"/>
      <c r="L175" s="44"/>
      <c r="M175" s="44"/>
      <c r="N175" s="44"/>
      <c r="W175" s="74"/>
      <c r="X175" s="75"/>
      <c r="Y175" s="75"/>
      <c r="Z175" s="76"/>
      <c r="AA175" s="67"/>
      <c r="AB175" s="74"/>
      <c r="AC175" s="74"/>
      <c r="AD175" s="74"/>
    </row>
    <row r="176" spans="1:30" x14ac:dyDescent="0.25">
      <c r="A176" s="40" t="s">
        <v>21</v>
      </c>
      <c r="B176" s="52">
        <f t="shared" ref="B176:B177" si="182">Q176</f>
        <v>0.25</v>
      </c>
      <c r="C176" s="39" t="str">
        <f t="shared" ref="C176:C177" si="183">IF(L176="","",L176)</f>
        <v>l</v>
      </c>
      <c r="D176" s="40" t="str">
        <f>_xlfn.CONCAT(K176, U176)</f>
        <v>water</v>
      </c>
      <c r="I176" s="62">
        <v>0.5</v>
      </c>
      <c r="J176" s="55" t="s">
        <v>57</v>
      </c>
      <c r="K176" s="55" t="s">
        <v>48</v>
      </c>
      <c r="L176" s="56" t="s">
        <v>57</v>
      </c>
      <c r="M176" s="47">
        <f>INDEX(itemGPerQty, MATCH(K176, itemNames, 0))</f>
        <v>1</v>
      </c>
      <c r="N176" s="47">
        <f>INDEX(itemMlPerQty, MATCH(K176, itemNames, 0))</f>
        <v>1</v>
      </c>
      <c r="O176" s="47">
        <f t="shared" ref="O176:O180" si="184">IF(J176 = "", I176 * M176, IF(ISNA(CONVERT(I176, J176, "kg")), CONVERT(I176, J176, "l") * IF(N176 &lt;&gt; 0, M176 / N176, 0), CONVERT(I176, J176, "kg")))</f>
        <v>0.5</v>
      </c>
      <c r="P176" s="47">
        <f t="shared" ref="P176:P180" si="185">IF(J176 = "", I176 * N176, IF(ISNA(CONVERT(I176, J176, "l")), CONVERT(I176, J176, "kg") * IF(M176 &lt;&gt; 0, N176 / M176, 0), CONVERT(I176, J176, "l")))</f>
        <v>0.5</v>
      </c>
      <c r="Q176" s="47">
        <f>MROUND(IF(AND(J176 = "", L176 = ""), I176 * recipe10DayScale, IF(ISNA(CONVERT(O176, "kg", L176)), CONVERT(P176 * recipe10DayScale, "l", L176), CONVERT(O176 * recipe10DayScale, "kg", L176))), roundTo)</f>
        <v>0.25</v>
      </c>
      <c r="R176" s="47">
        <f>recipe10TotScale * IF(L176 = "", Q176 * M176, IF(ISNA(CONVERT(Q176, L176, "kg")), CONVERT(Q176, L176, "l") * IF(N176 &lt;&gt; 0, M176 / N176, 0), CONVERT(Q176, L176, "kg")))</f>
        <v>0.25</v>
      </c>
      <c r="S176" s="47">
        <f>recipe10TotScale * IF(R176 = 0, IF(L176 = "", Q176 * N176, IF(ISNA(CONVERT(Q176, L176, "l")), CONVERT(Q176, L176, "kg") * IF(M176 &lt;&gt; 0, N176 / M176, 0), CONVERT(Q176, L176, "l"))), 0)</f>
        <v>0</v>
      </c>
      <c r="T176" s="47">
        <f>recipe10TotScale * IF(AND(R176 = 0, S176 = 0, J176 = "", L176 = ""), Q176, 0)</f>
        <v>0</v>
      </c>
      <c r="V176" s="44" t="b">
        <f>INDEX(itemPrepMethods, MATCH(K176, itemNames, 0))="chop"</f>
        <v>0</v>
      </c>
      <c r="W176" s="57" t="str">
        <f>IF(V176, Q176, "")</f>
        <v/>
      </c>
      <c r="X176" s="58" t="str">
        <f>IF(V176, IF(L176 = "", "", L176), "")</f>
        <v/>
      </c>
      <c r="Y176" s="58" t="str">
        <f>IF(V176, K176, "")</f>
        <v/>
      </c>
      <c r="Z176" s="59"/>
      <c r="AA176" s="44" t="b">
        <f>INDEX(itemPrepMethods, MATCH(K176, itemNames, 0))="soak"</f>
        <v>0</v>
      </c>
      <c r="AB176" s="58" t="str">
        <f>IF(AA176, Q176, "")</f>
        <v/>
      </c>
      <c r="AC176" s="58" t="str">
        <f>IF(AA176, IF(L176 = "", "", L176), "")</f>
        <v/>
      </c>
      <c r="AD176" s="58" t="str">
        <f>IF(AA176, K176, "")</f>
        <v/>
      </c>
    </row>
    <row r="177" spans="1:30" x14ac:dyDescent="0.25">
      <c r="A177" s="40" t="s">
        <v>21</v>
      </c>
      <c r="B177" s="52">
        <f t="shared" si="182"/>
        <v>1.25</v>
      </c>
      <c r="C177" s="39" t="str">
        <f t="shared" si="183"/>
        <v/>
      </c>
      <c r="D177" s="40" t="str">
        <f>_xlfn.CONCAT(K177, U177)</f>
        <v>chopped broccoli</v>
      </c>
      <c r="I177" s="62">
        <v>1.9</v>
      </c>
      <c r="J177" s="55"/>
      <c r="K177" s="55" t="s">
        <v>120</v>
      </c>
      <c r="L177" s="56"/>
      <c r="M177" s="47">
        <f>INDEX(itemGPerQty, MATCH(K177, itemNames, 0))</f>
        <v>0.313</v>
      </c>
      <c r="N177" s="47">
        <f>INDEX(itemMlPerQty, MATCH(K177, itemNames, 0))</f>
        <v>0</v>
      </c>
      <c r="O177" s="47">
        <f t="shared" si="184"/>
        <v>0.59470000000000001</v>
      </c>
      <c r="P177" s="47">
        <f t="shared" si="185"/>
        <v>0</v>
      </c>
      <c r="Q177" s="47">
        <f>MROUND(IF(AND(J177 = "", L177 = ""), I177 * recipe10DayScale, IF(ISNA(CONVERT(O177, "kg", L177)), CONVERT(P177 * recipe10DayScale, "l", L177), CONVERT(O177 * recipe10DayScale, "kg", L177))), roundTo)</f>
        <v>1.25</v>
      </c>
      <c r="R177" s="47">
        <f>recipe10TotScale * IF(L177 = "", Q177 * M177, IF(ISNA(CONVERT(Q177, L177, "kg")), CONVERT(Q177, L177, "l") * IF(N177 &lt;&gt; 0, M177 / N177, 0), CONVERT(Q177, L177, "kg")))</f>
        <v>0.39124999999999999</v>
      </c>
      <c r="S177" s="47">
        <f>recipe10TotScale * IF(R177 = 0, IF(L177 = "", Q177 * N177, IF(ISNA(CONVERT(Q177, L177, "l")), CONVERT(Q177, L177, "kg") * IF(M177 &lt;&gt; 0, N177 / M177, 0), CONVERT(Q177, L177, "l"))), 0)</f>
        <v>0</v>
      </c>
      <c r="T177" s="47">
        <f>recipe10TotScale * IF(AND(R177 = 0, S177 = 0, J177 = "", L177 = ""), Q177, 0)</f>
        <v>0</v>
      </c>
      <c r="V177" s="44" t="b">
        <f>INDEX(itemPrepMethods, MATCH(K177, itemNames, 0))="chop"</f>
        <v>1</v>
      </c>
      <c r="W177" s="57">
        <f>IF(V177, Q177, "")</f>
        <v>1.25</v>
      </c>
      <c r="X177" s="58" t="str">
        <f>IF(V177, IF(L177 = "", "", L177), "")</f>
        <v/>
      </c>
      <c r="Y177" s="58" t="str">
        <f>IF(V177, K177, "")</f>
        <v>chopped broccoli</v>
      </c>
      <c r="Z177" s="59"/>
      <c r="AA177" s="44" t="b">
        <f>INDEX(itemPrepMethods, MATCH(K177, itemNames, 0))="soak"</f>
        <v>0</v>
      </c>
      <c r="AB177" s="58" t="str">
        <f>IF(AA177, Q177, "")</f>
        <v/>
      </c>
      <c r="AC177" s="58" t="str">
        <f>IF(AA177, IF(L177 = "", "", L177), "")</f>
        <v/>
      </c>
      <c r="AD177" s="58" t="str">
        <f>IF(AA177, K177, "")</f>
        <v/>
      </c>
    </row>
    <row r="178" spans="1:30" x14ac:dyDescent="0.25">
      <c r="A178" s="40" t="s">
        <v>21</v>
      </c>
      <c r="B178" s="52">
        <f t="shared" ref="B178:B179" si="186">Q178</f>
        <v>2.5</v>
      </c>
      <c r="C178" s="39" t="str">
        <f t="shared" ref="C178:C179" si="187">IF(L178="","",L178)</f>
        <v/>
      </c>
      <c r="D178" s="40" t="str">
        <f>_xlfn.CONCAT(K178, U178)</f>
        <v>chopped yellow capsicums</v>
      </c>
      <c r="I178" s="62">
        <v>4</v>
      </c>
      <c r="J178" s="55"/>
      <c r="K178" s="55" t="s">
        <v>176</v>
      </c>
      <c r="L178" s="56"/>
      <c r="M178" s="47">
        <f>INDEX(itemGPerQty, MATCH(K178, itemNames, 0))</f>
        <v>0.1885</v>
      </c>
      <c r="N178" s="47">
        <f>INDEX(itemMlPerQty, MATCH(K178, itemNames, 0))</f>
        <v>0.25</v>
      </c>
      <c r="O178" s="47">
        <f t="shared" si="184"/>
        <v>0.754</v>
      </c>
      <c r="P178" s="47">
        <f t="shared" si="185"/>
        <v>1</v>
      </c>
      <c r="Q178" s="47">
        <f>MROUND(IF(AND(J178 = "", L178 = ""), I178 * recipe10DayScale, IF(ISNA(CONVERT(O178, "kg", L178)), CONVERT(P178 * recipe10DayScale, "l", L178), CONVERT(O178 * recipe10DayScale, "kg", L178))), roundTo)</f>
        <v>2.5</v>
      </c>
      <c r="R178" s="47">
        <f>recipe10TotScale * IF(L178 = "", Q178 * M178, IF(ISNA(CONVERT(Q178, L178, "kg")), CONVERT(Q178, L178, "l") * IF(N178 &lt;&gt; 0, M178 / N178, 0), CONVERT(Q178, L178, "kg")))</f>
        <v>0.47125</v>
      </c>
      <c r="S178" s="47">
        <f>recipe10TotScale * IF(R178 = 0, IF(L178 = "", Q178 * N178, IF(ISNA(CONVERT(Q178, L178, "l")), CONVERT(Q178, L178, "kg") * IF(M178 &lt;&gt; 0, N178 / M178, 0), CONVERT(Q178, L178, "l"))), 0)</f>
        <v>0</v>
      </c>
      <c r="T178" s="47">
        <f>recipe10TotScale * IF(AND(R178 = 0, S178 = 0, J178 = "", L178 = ""), Q178, 0)</f>
        <v>0</v>
      </c>
      <c r="V178" s="44" t="b">
        <f>INDEX(itemPrepMethods, MATCH(K178, itemNames, 0))="chop"</f>
        <v>1</v>
      </c>
      <c r="W178" s="57">
        <f>IF(V178, Q178, "")</f>
        <v>2.5</v>
      </c>
      <c r="X178" s="58" t="str">
        <f>IF(V178, IF(L178 = "", "", L178), "")</f>
        <v/>
      </c>
      <c r="Y178" s="58" t="str">
        <f>IF(V178, K178, "")</f>
        <v>chopped yellow capsicums</v>
      </c>
      <c r="Z178" s="59"/>
      <c r="AA178" s="44" t="b">
        <f>INDEX(itemPrepMethods, MATCH(K178, itemNames, 0))="soak"</f>
        <v>0</v>
      </c>
      <c r="AB178" s="58" t="str">
        <f>IF(AA178, Q178, "")</f>
        <v/>
      </c>
      <c r="AC178" s="58" t="str">
        <f>IF(AA178, IF(L178 = "", "", L178), "")</f>
        <v/>
      </c>
      <c r="AD178" s="58" t="str">
        <f>IF(AA178, K178, "")</f>
        <v/>
      </c>
    </row>
    <row r="179" spans="1:30" x14ac:dyDescent="0.25">
      <c r="A179" s="40" t="s">
        <v>21</v>
      </c>
      <c r="B179" s="52">
        <f t="shared" si="186"/>
        <v>6.25</v>
      </c>
      <c r="C179" s="39" t="str">
        <f t="shared" si="187"/>
        <v/>
      </c>
      <c r="D179" s="40" t="str">
        <f>_xlfn.CONCAT(K179, U179)</f>
        <v>sliced celery stalks</v>
      </c>
      <c r="I179" s="62">
        <v>10</v>
      </c>
      <c r="J179" s="55"/>
      <c r="K179" s="55" t="s">
        <v>177</v>
      </c>
      <c r="L179" s="56"/>
      <c r="M179" s="47">
        <f>INDEX(itemGPerQty, MATCH(K179, itemNames, 0))</f>
        <v>0</v>
      </c>
      <c r="N179" s="47">
        <f>INDEX(itemMlPerQty, MATCH(K179, itemNames, 0))</f>
        <v>0</v>
      </c>
      <c r="O179" s="47">
        <f t="shared" si="184"/>
        <v>0</v>
      </c>
      <c r="P179" s="47">
        <f t="shared" si="185"/>
        <v>0</v>
      </c>
      <c r="Q179" s="47">
        <f>MROUND(IF(AND(J179 = "", L179 = ""), I179 * recipe10DayScale, IF(ISNA(CONVERT(O179, "kg", L179)), CONVERT(P179 * recipe10DayScale, "l", L179), CONVERT(O179 * recipe10DayScale, "kg", L179))), roundTo)</f>
        <v>6.25</v>
      </c>
      <c r="R179" s="47">
        <f>recipe10TotScale * IF(L179 = "", Q179 * M179, IF(ISNA(CONVERT(Q179, L179, "kg")), CONVERT(Q179, L179, "l") * IF(N179 &lt;&gt; 0, M179 / N179, 0), CONVERT(Q179, L179, "kg")))</f>
        <v>0</v>
      </c>
      <c r="S179" s="47">
        <f>recipe10TotScale * IF(R179 = 0, IF(L179 = "", Q179 * N179, IF(ISNA(CONVERT(Q179, L179, "l")), CONVERT(Q179, L179, "kg") * IF(M179 &lt;&gt; 0, N179 / M179, 0), CONVERT(Q179, L179, "l"))), 0)</f>
        <v>0</v>
      </c>
      <c r="T179" s="47">
        <f>recipe10TotScale * IF(AND(R179 = 0, S179 = 0, J179 = "", L179 = ""), Q179, 0)</f>
        <v>6.25</v>
      </c>
      <c r="V179" s="44" t="b">
        <f>INDEX(itemPrepMethods, MATCH(K179, itemNames, 0))="chop"</f>
        <v>1</v>
      </c>
      <c r="W179" s="57">
        <f>IF(V179, Q179, "")</f>
        <v>6.25</v>
      </c>
      <c r="X179" s="58" t="str">
        <f>IF(V179, IF(L179 = "", "", L179), "")</f>
        <v/>
      </c>
      <c r="Y179" s="58" t="str">
        <f>IF(V179, K179, "")</f>
        <v>sliced celery stalks</v>
      </c>
      <c r="Z179" s="59"/>
      <c r="AA179" s="44" t="b">
        <f>INDEX(itemPrepMethods, MATCH(K179, itemNames, 0))="soak"</f>
        <v>0</v>
      </c>
      <c r="AB179" s="58" t="str">
        <f>IF(AA179, Q179, "")</f>
        <v/>
      </c>
      <c r="AC179" s="58" t="str">
        <f>IF(AA179, IF(L179 = "", "", L179), "")</f>
        <v/>
      </c>
      <c r="AD179" s="58" t="str">
        <f>IF(AA179, K179, "")</f>
        <v/>
      </c>
    </row>
    <row r="180" spans="1:30" x14ac:dyDescent="0.25">
      <c r="A180" s="40" t="s">
        <v>21</v>
      </c>
      <c r="B180" s="52">
        <f t="shared" ref="B180" si="188">Q180</f>
        <v>3.75</v>
      </c>
      <c r="C180" s="39" t="str">
        <f t="shared" ref="C180" si="189">IF(L180="","",L180)</f>
        <v/>
      </c>
      <c r="D180" s="40" t="str">
        <f>_xlfn.CONCAT(K180, U180)</f>
        <v>tins bamboo</v>
      </c>
      <c r="I180" s="62">
        <v>6</v>
      </c>
      <c r="J180" s="55"/>
      <c r="K180" s="55" t="s">
        <v>179</v>
      </c>
      <c r="L180" s="56"/>
      <c r="M180" s="47">
        <f>INDEX(itemGPerQty, MATCH(K180, itemNames, 0))</f>
        <v>0</v>
      </c>
      <c r="N180" s="47">
        <f>INDEX(itemMlPerQty, MATCH(K180, itemNames, 0))</f>
        <v>0</v>
      </c>
      <c r="O180" s="47">
        <f t="shared" si="184"/>
        <v>0</v>
      </c>
      <c r="P180" s="47">
        <f t="shared" si="185"/>
        <v>0</v>
      </c>
      <c r="Q180" s="47">
        <f>MROUND(IF(AND(J180 = "", L180 = ""), I180 * recipe10DayScale, IF(ISNA(CONVERT(O180, "kg", L180)), CONVERT(P180 * recipe10DayScale, "l", L180), CONVERT(O180 * recipe10DayScale, "kg", L180))), roundTo)</f>
        <v>3.75</v>
      </c>
      <c r="R180" s="47">
        <f>recipe10TotScale * IF(L180 = "", Q180 * M180, IF(ISNA(CONVERT(Q180, L180, "kg")), CONVERT(Q180, L180, "l") * IF(N180 &lt;&gt; 0, M180 / N180, 0), CONVERT(Q180, L180, "kg")))</f>
        <v>0</v>
      </c>
      <c r="S180" s="47">
        <f>recipe10TotScale * IF(R180 = 0, IF(L180 = "", Q180 * N180, IF(ISNA(CONVERT(Q180, L180, "l")), CONVERT(Q180, L180, "kg") * IF(M180 &lt;&gt; 0, N180 / M180, 0), CONVERT(Q180, L180, "l"))), 0)</f>
        <v>0</v>
      </c>
      <c r="T180" s="47">
        <f>recipe10TotScale * IF(AND(R180 = 0, S180 = 0, J180 = "", L180 = ""), Q180, 0)</f>
        <v>3.75</v>
      </c>
      <c r="V180" s="44" t="b">
        <f>INDEX(itemPrepMethods, MATCH(K180, itemNames, 0))="chop"</f>
        <v>0</v>
      </c>
      <c r="W180" s="57" t="str">
        <f>IF(V180, Q180, "")</f>
        <v/>
      </c>
      <c r="X180" s="58" t="str">
        <f>IF(V180, IF(L180 = "", "", L180), "")</f>
        <v/>
      </c>
      <c r="Y180" s="58" t="str">
        <f>IF(V180, K180, "")</f>
        <v/>
      </c>
      <c r="Z180" s="59"/>
      <c r="AA180" s="44" t="b">
        <f>INDEX(itemPrepMethods, MATCH(K180, itemNames, 0))="soak"</f>
        <v>0</v>
      </c>
      <c r="AB180" s="58" t="str">
        <f>IF(AA180, Q180, "")</f>
        <v/>
      </c>
      <c r="AC180" s="58" t="str">
        <f>IF(AA180, IF(L180 = "", "", L180), "")</f>
        <v/>
      </c>
      <c r="AD180" s="58" t="str">
        <f>IF(AA180, K180, "")</f>
        <v/>
      </c>
    </row>
    <row r="181" spans="1:30" x14ac:dyDescent="0.25">
      <c r="A181" s="107"/>
      <c r="B181" s="107"/>
      <c r="C181" s="107"/>
      <c r="D181" s="107"/>
      <c r="I181" s="47"/>
      <c r="L181" s="44"/>
      <c r="M181" s="44"/>
      <c r="N181" s="44"/>
      <c r="W181" s="74"/>
      <c r="X181" s="75"/>
      <c r="Y181" s="75"/>
      <c r="Z181" s="76"/>
      <c r="AA181" s="67"/>
      <c r="AB181" s="74"/>
      <c r="AC181" s="74"/>
      <c r="AD181" s="74"/>
    </row>
    <row r="182" spans="1:30" x14ac:dyDescent="0.25">
      <c r="A182" s="107" t="s">
        <v>161</v>
      </c>
      <c r="B182" s="107"/>
      <c r="C182" s="107"/>
      <c r="D182" s="107"/>
      <c r="I182" s="47"/>
      <c r="L182" s="44"/>
      <c r="M182" s="44"/>
      <c r="N182" s="44"/>
      <c r="W182" s="74"/>
      <c r="X182" s="75"/>
      <c r="Y182" s="75"/>
      <c r="Z182" s="76"/>
      <c r="AA182" s="67"/>
      <c r="AB182" s="74"/>
      <c r="AC182" s="74"/>
      <c r="AD182" s="74"/>
    </row>
    <row r="183" spans="1:30" x14ac:dyDescent="0.25">
      <c r="A183" s="40" t="s">
        <v>21</v>
      </c>
      <c r="B183" s="52">
        <f t="shared" ref="B183" si="190">Q183</f>
        <v>3</v>
      </c>
      <c r="C183" s="39" t="str">
        <f t="shared" ref="C183" si="191">IF(L183="","",L183)</f>
        <v/>
      </c>
      <c r="D183" s="92" t="str">
        <f>_xlfn.CONCAT(K183, U183)</f>
        <v>juiced limes</v>
      </c>
      <c r="I183" s="62">
        <v>4.75</v>
      </c>
      <c r="J183" s="55"/>
      <c r="K183" s="55" t="s">
        <v>395</v>
      </c>
      <c r="L183" s="56"/>
      <c r="M183" s="47">
        <f>INDEX(itemGPerQty, MATCH(K183, itemNames, 0))</f>
        <v>0</v>
      </c>
      <c r="N183" s="47">
        <f>INDEX(itemMlPerQty, MATCH(K183, itemNames, 0))</f>
        <v>0</v>
      </c>
      <c r="O183" s="47">
        <f t="shared" ref="O183:O185" si="192">IF(J183 = "", I183 * M183, IF(ISNA(CONVERT(I183, J183, "kg")), CONVERT(I183, J183, "l") * IF(N183 &lt;&gt; 0, M183 / N183, 0), CONVERT(I183, J183, "kg")))</f>
        <v>0</v>
      </c>
      <c r="P183" s="47">
        <f t="shared" ref="P183:P185" si="193">IF(J183 = "", I183 * N183, IF(ISNA(CONVERT(I183, J183, "l")), CONVERT(I183, J183, "kg") * IF(M183 &lt;&gt; 0, N183 / M183, 0), CONVERT(I183, J183, "l")))</f>
        <v>0</v>
      </c>
      <c r="Q183" s="47">
        <f>MROUND(IF(AND(J183 = "", L183 = ""), I183 * recipe10DayScale, IF(ISNA(CONVERT(O183, "kg", L183)), CONVERT(P183 * recipe10DayScale, "l", L183), CONVERT(O183 * recipe10DayScale, "kg", L183))), roundTo)</f>
        <v>3</v>
      </c>
      <c r="R183" s="47">
        <f>recipe10TotScale * IF(L183 = "", Q183 * M183, IF(ISNA(CONVERT(Q183, L183, "kg")), CONVERT(Q183, L183, "l") * IF(N183 &lt;&gt; 0, M183 / N183, 0), CONVERT(Q183, L183, "kg")))</f>
        <v>0</v>
      </c>
      <c r="S183" s="47">
        <f>recipe10TotScale * IF(R183 = 0, IF(L183 = "", Q183 * N183, IF(ISNA(CONVERT(Q183, L183, "l")), CONVERT(Q183, L183, "kg") * IF(M183 &lt;&gt; 0, N183 / M183, 0), CONVERT(Q183, L183, "l"))), 0)</f>
        <v>0</v>
      </c>
      <c r="T183" s="47">
        <f>recipe10TotScale * IF(AND(R183 = 0, S183 = 0, J183 = "", L183 = ""), Q183, 0)</f>
        <v>3</v>
      </c>
      <c r="V183" s="44" t="b">
        <f>INDEX(itemPrepMethods, MATCH(K183, itemNames, 0))="chop"</f>
        <v>1</v>
      </c>
      <c r="W183" s="57">
        <f>IF(V183, Q183, "")</f>
        <v>3</v>
      </c>
      <c r="X183" s="58" t="str">
        <f>IF(V183, IF(L183 = "", "", L183), "")</f>
        <v/>
      </c>
      <c r="Y183" s="58" t="str">
        <f>IF(V183, K183, "")</f>
        <v>juiced limes</v>
      </c>
      <c r="Z183" s="59"/>
      <c r="AA183" s="44" t="b">
        <f>INDEX(itemPrepMethods, MATCH(K183, itemNames, 0))="soak"</f>
        <v>0</v>
      </c>
      <c r="AB183" s="58" t="str">
        <f>IF(AA183, Q183, "")</f>
        <v/>
      </c>
      <c r="AC183" s="58" t="str">
        <f>IF(AA183, IF(L183 = "", "", L183), "")</f>
        <v/>
      </c>
      <c r="AD183" s="58" t="str">
        <f>IF(AA183, K183, "")</f>
        <v/>
      </c>
    </row>
    <row r="184" spans="1:30" x14ac:dyDescent="0.25">
      <c r="A184" s="40" t="s">
        <v>21</v>
      </c>
      <c r="B184" s="52">
        <f t="shared" ref="B184" si="194">Q184</f>
        <v>750</v>
      </c>
      <c r="C184" s="39" t="str">
        <f t="shared" ref="C184" si="195">IF(L184="","",L184)</f>
        <v>g</v>
      </c>
      <c r="D184" s="40" t="str">
        <f>_xlfn.CONCAT(K184, U184)</f>
        <v>green beans</v>
      </c>
      <c r="I184" s="62">
        <v>1.2</v>
      </c>
      <c r="J184" s="55" t="s">
        <v>12</v>
      </c>
      <c r="K184" s="55" t="s">
        <v>182</v>
      </c>
      <c r="L184" s="56" t="s">
        <v>0</v>
      </c>
      <c r="M184" s="47">
        <f>INDEX(itemGPerQty, MATCH(K184, itemNames, 0))</f>
        <v>0</v>
      </c>
      <c r="N184" s="47">
        <f>INDEX(itemMlPerQty, MATCH(K184, itemNames, 0))</f>
        <v>0</v>
      </c>
      <c r="O184" s="47">
        <f t="shared" si="192"/>
        <v>1.2</v>
      </c>
      <c r="P184" s="47">
        <f t="shared" si="193"/>
        <v>0</v>
      </c>
      <c r="Q184" s="47">
        <f>MROUND(IF(AND(J184 = "", L184 = ""), I184 * recipe10DayScale, IF(ISNA(CONVERT(O184, "kg", L184)), CONVERT(P184 * recipe10DayScale, "l", L184), CONVERT(O184 * recipe10DayScale, "kg", L184))), roundTo)</f>
        <v>750</v>
      </c>
      <c r="R184" s="47">
        <f>recipe10TotScale * IF(L184 = "", Q184 * M184, IF(ISNA(CONVERT(Q184, L184, "kg")), CONVERT(Q184, L184, "l") * IF(N184 &lt;&gt; 0, M184 / N184, 0), CONVERT(Q184, L184, "kg")))</f>
        <v>0.75</v>
      </c>
      <c r="S184" s="47">
        <f>recipe10TotScale * IF(R184 = 0, IF(L184 = "", Q184 * N184, IF(ISNA(CONVERT(Q184, L184, "l")), CONVERT(Q184, L184, "kg") * IF(M184 &lt;&gt; 0, N184 / M184, 0), CONVERT(Q184, L184, "l"))), 0)</f>
        <v>0</v>
      </c>
      <c r="T184" s="47">
        <f>recipe10TotScale * IF(AND(R184 = 0, S184 = 0, J184 = "", L184 = ""), Q184, 0)</f>
        <v>0</v>
      </c>
      <c r="V184" s="44" t="b">
        <f>INDEX(itemPrepMethods, MATCH(K184, itemNames, 0))="chop"</f>
        <v>0</v>
      </c>
      <c r="W184" s="57" t="str">
        <f>IF(V184, Q184, "")</f>
        <v/>
      </c>
      <c r="X184" s="58" t="str">
        <f>IF(V184, IF(L184 = "", "", L184), "")</f>
        <v/>
      </c>
      <c r="Y184" s="58" t="str">
        <f>IF(V184, K184, "")</f>
        <v/>
      </c>
      <c r="Z184" s="59"/>
      <c r="AA184" s="44" t="b">
        <f>INDEX(itemPrepMethods, MATCH(K184, itemNames, 0))="soak"</f>
        <v>0</v>
      </c>
      <c r="AB184" s="58" t="str">
        <f>IF(AA184, Q184, "")</f>
        <v/>
      </c>
      <c r="AC184" s="58" t="str">
        <f>IF(AA184, IF(L184 = "", "", L184), "")</f>
        <v/>
      </c>
      <c r="AD184" s="58" t="str">
        <f>IF(AA184, K184, "")</f>
        <v/>
      </c>
    </row>
    <row r="185" spans="1:30" x14ac:dyDescent="0.25">
      <c r="A185" s="40" t="s">
        <v>21</v>
      </c>
      <c r="B185" s="52">
        <f t="shared" ref="B185" si="196">Q185</f>
        <v>1.25</v>
      </c>
      <c r="C185" s="39" t="str">
        <f t="shared" ref="C185" si="197">IF(L185="","",L185)</f>
        <v/>
      </c>
      <c r="D185" s="40" t="str">
        <f>_xlfn.CONCAT(K185, U185)</f>
        <v>tins coconut cream</v>
      </c>
      <c r="I185" s="62">
        <v>1.9</v>
      </c>
      <c r="J185" s="55"/>
      <c r="K185" s="55" t="s">
        <v>111</v>
      </c>
      <c r="L185" s="56"/>
      <c r="M185" s="47">
        <f>INDEX(itemGPerQty, MATCH(K185, itemNames, 0))</f>
        <v>0</v>
      </c>
      <c r="N185" s="47">
        <f>INDEX(itemMlPerQty, MATCH(K185, itemNames, 0))</f>
        <v>0</v>
      </c>
      <c r="O185" s="47">
        <f t="shared" si="192"/>
        <v>0</v>
      </c>
      <c r="P185" s="47">
        <f t="shared" si="193"/>
        <v>0</v>
      </c>
      <c r="Q185" s="47">
        <f>MROUND(IF(AND(J185 = "", L185 = ""), I185 * recipe10DayScale, IF(ISNA(CONVERT(O185, "kg", L185)), CONVERT(P185 * recipe10DayScale, "l", L185), CONVERT(O185 * recipe10DayScale, "kg", L185))), roundTo)</f>
        <v>1.25</v>
      </c>
      <c r="R185" s="47">
        <f>recipe10TotScale * IF(L185 = "", Q185 * M185, IF(ISNA(CONVERT(Q185, L185, "kg")), CONVERT(Q185, L185, "l") * IF(N185 &lt;&gt; 0, M185 / N185, 0), CONVERT(Q185, L185, "kg")))</f>
        <v>0</v>
      </c>
      <c r="S185" s="47">
        <f>recipe10TotScale * IF(R185 = 0, IF(L185 = "", Q185 * N185, IF(ISNA(CONVERT(Q185, L185, "l")), CONVERT(Q185, L185, "kg") * IF(M185 &lt;&gt; 0, N185 / M185, 0), CONVERT(Q185, L185, "l"))), 0)</f>
        <v>0</v>
      </c>
      <c r="T185" s="47">
        <f>recipe10TotScale * IF(AND(R185 = 0, S185 = 0, J185 = "", L185 = ""), Q185, 0)</f>
        <v>1.25</v>
      </c>
      <c r="V185" s="44" t="b">
        <f>INDEX(itemPrepMethods, MATCH(K185, itemNames, 0))="chop"</f>
        <v>0</v>
      </c>
      <c r="W185" s="57" t="str">
        <f>IF(V185, Q185, "")</f>
        <v/>
      </c>
      <c r="X185" s="58" t="str">
        <f>IF(V185, IF(L185 = "", "", L185), "")</f>
        <v/>
      </c>
      <c r="Y185" s="58" t="str">
        <f>IF(V185, K185, "")</f>
        <v/>
      </c>
      <c r="Z185" s="59"/>
      <c r="AA185" s="44" t="b">
        <f>INDEX(itemPrepMethods, MATCH(K185, itemNames, 0))="soak"</f>
        <v>0</v>
      </c>
      <c r="AB185" s="58" t="str">
        <f>IF(AA185, Q185, "")</f>
        <v/>
      </c>
      <c r="AC185" s="58" t="str">
        <f>IF(AA185, IF(L185 = "", "", L185), "")</f>
        <v/>
      </c>
      <c r="AD185" s="58" t="str">
        <f>IF(AA185, K185, "")</f>
        <v/>
      </c>
    </row>
    <row r="186" spans="1:30" x14ac:dyDescent="0.25">
      <c r="A186" s="107"/>
      <c r="B186" s="107"/>
      <c r="C186" s="107"/>
      <c r="D186" s="107"/>
      <c r="I186" s="47"/>
      <c r="L186" s="44"/>
      <c r="M186" s="44"/>
      <c r="N186" s="44"/>
      <c r="W186" s="74"/>
      <c r="X186" s="75"/>
      <c r="Y186" s="75"/>
      <c r="Z186" s="76"/>
      <c r="AA186" s="67"/>
      <c r="AB186" s="74"/>
      <c r="AC186" s="74"/>
      <c r="AD186" s="74"/>
    </row>
    <row r="187" spans="1:30" x14ac:dyDescent="0.25">
      <c r="A187" s="107" t="s">
        <v>303</v>
      </c>
      <c r="B187" s="107"/>
      <c r="C187" s="107"/>
      <c r="D187" s="107"/>
      <c r="I187" s="47"/>
      <c r="L187" s="44"/>
      <c r="M187" s="44"/>
      <c r="N187" s="44"/>
      <c r="W187" s="74"/>
      <c r="X187" s="75"/>
      <c r="Y187" s="75"/>
      <c r="Z187" s="76"/>
      <c r="AA187" s="67"/>
      <c r="AB187" s="74"/>
      <c r="AC187" s="74"/>
      <c r="AD187" s="74"/>
    </row>
    <row r="188" spans="1:30" x14ac:dyDescent="0.25">
      <c r="A188" s="107"/>
      <c r="B188" s="107"/>
      <c r="C188" s="107"/>
      <c r="D188" s="107"/>
      <c r="I188" s="47"/>
      <c r="L188" s="44"/>
      <c r="M188" s="44"/>
      <c r="N188" s="44"/>
      <c r="W188" s="74"/>
      <c r="X188" s="75"/>
      <c r="Y188" s="75"/>
      <c r="Z188" s="76"/>
      <c r="AA188" s="67"/>
      <c r="AB188" s="74"/>
      <c r="AC188" s="74"/>
      <c r="AD188" s="74"/>
    </row>
    <row r="189" spans="1:30" x14ac:dyDescent="0.25">
      <c r="A189" s="107" t="s">
        <v>186</v>
      </c>
      <c r="B189" s="107"/>
      <c r="C189" s="107"/>
      <c r="D189" s="107"/>
      <c r="I189" s="47"/>
      <c r="L189" s="44"/>
      <c r="M189" s="44"/>
      <c r="N189" s="44"/>
      <c r="W189" s="74"/>
      <c r="X189" s="75"/>
      <c r="Y189" s="75"/>
      <c r="Z189" s="76"/>
      <c r="AA189" s="67"/>
      <c r="AB189" s="74"/>
      <c r="AC189" s="74"/>
      <c r="AD189" s="74"/>
    </row>
    <row r="190" spans="1:30" x14ac:dyDescent="0.25">
      <c r="A190" s="40" t="s">
        <v>21</v>
      </c>
      <c r="B190" s="52">
        <f t="shared" ref="B190" si="198">Q190</f>
        <v>2</v>
      </c>
      <c r="C190" s="39" t="str">
        <f t="shared" ref="C190:C192" si="199">IF(L190="","",L190)</f>
        <v>cup</v>
      </c>
      <c r="D190" s="40" t="str">
        <f>_xlfn.CONCAT(K190, U190)</f>
        <v>cashew nuts</v>
      </c>
      <c r="I190" s="62">
        <v>3</v>
      </c>
      <c r="J190" s="55" t="s">
        <v>16</v>
      </c>
      <c r="K190" s="55" t="s">
        <v>187</v>
      </c>
      <c r="L190" s="56" t="s">
        <v>16</v>
      </c>
      <c r="M190" s="47">
        <f>INDEX(itemGPerQty, MATCH(K190, itemNames, 0))</f>
        <v>0</v>
      </c>
      <c r="N190" s="47">
        <f>INDEX(itemMlPerQty, MATCH(K190, itemNames, 0))</f>
        <v>0</v>
      </c>
      <c r="O190" s="47">
        <f>IF(J190 = "", I190 * M190, IF(ISNA(CONVERT(I190, J190, "kg")), CONVERT(I190, J190, "l") * IF(N190 &lt;&gt; 0, M190 / N190, 0), CONVERT(I190, J190, "kg")))</f>
        <v>0</v>
      </c>
      <c r="P190" s="47">
        <f>IF(J190 = "", I190 * N190, IF(ISNA(CONVERT(I190, J190, "l")), CONVERT(I190, J190, "kg") * IF(M190 &lt;&gt; 0, N190 / M190, 0), CONVERT(I190, J190, "l")))</f>
        <v>0.70976470949999992</v>
      </c>
      <c r="Q190" s="47">
        <f>MROUND(IF(AND(J190 = "", L190 = ""), I190 * recipe10DayScale, IF(ISNA(CONVERT(O190, "kg", L190)), CONVERT(P190 * recipe10DayScale, "l", L190), CONVERT(O190 * recipe10DayScale, "kg", L190))), roundTo)</f>
        <v>2</v>
      </c>
      <c r="R190" s="47">
        <f>recipe10TotScale * IF(L190 = "", Q190 * M190, IF(ISNA(CONVERT(Q190, L190, "kg")), CONVERT(Q190, L190, "l") * IF(N190 &lt;&gt; 0, M190 / N190, 0), CONVERT(Q190, L190, "kg")))</f>
        <v>0</v>
      </c>
      <c r="S190" s="47">
        <f>recipe10TotScale * IF(R190 = 0, IF(L190 = "", Q190 * N190, IF(ISNA(CONVERT(Q190, L190, "l")), CONVERT(Q190, L190, "kg") * IF(M190 &lt;&gt; 0, N190 / M190, 0), CONVERT(Q190, L190, "l"))), 0)</f>
        <v>0.47317647299999999</v>
      </c>
      <c r="T190" s="47">
        <f>recipe10TotScale * IF(AND(R190 = 0, S190 = 0, J190 = "", L190 = ""), Q190, 0)</f>
        <v>0</v>
      </c>
      <c r="V190" s="44" t="b">
        <f>INDEX(itemPrepMethods, MATCH(K190, itemNames, 0))="chop"</f>
        <v>0</v>
      </c>
      <c r="W190" s="57" t="str">
        <f>IF(V190, Q190, "")</f>
        <v/>
      </c>
      <c r="X190" s="58" t="str">
        <f>IF(V190, IF(L190 = "", "", L190), "")</f>
        <v/>
      </c>
      <c r="Y190" s="58" t="str">
        <f>IF(V190, K190, "")</f>
        <v/>
      </c>
      <c r="Z190" s="59"/>
      <c r="AA190" s="44" t="b">
        <f>INDEX(itemPrepMethods, MATCH(K190, itemNames, 0))="soak"</f>
        <v>0</v>
      </c>
      <c r="AB190" s="58" t="str">
        <f>IF(AA190, Q190, "")</f>
        <v/>
      </c>
      <c r="AC190" s="58" t="str">
        <f>IF(AA190, IF(L190 = "", "", L190), "")</f>
        <v/>
      </c>
      <c r="AD190" s="58" t="str">
        <f>IF(AA190, K190, "")</f>
        <v/>
      </c>
    </row>
    <row r="191" spans="1:30" x14ac:dyDescent="0.25">
      <c r="A191" s="40" t="s">
        <v>21</v>
      </c>
      <c r="B191" s="52"/>
      <c r="C191" s="39" t="str">
        <f t="shared" si="199"/>
        <v/>
      </c>
      <c r="D191" s="40" t="str">
        <f>_xlfn.CONCAT(K191, U191)</f>
        <v>grilled tofu</v>
      </c>
      <c r="I191" s="47"/>
      <c r="L191" s="44"/>
      <c r="M191" s="44"/>
      <c r="N191" s="44"/>
      <c r="O191" s="44"/>
      <c r="P191" s="44"/>
      <c r="Q191" s="44"/>
      <c r="T191" s="44"/>
      <c r="U191" s="44" t="s">
        <v>128</v>
      </c>
      <c r="V191" s="67"/>
      <c r="W191" s="74"/>
      <c r="X191" s="75"/>
      <c r="Y191" s="75"/>
      <c r="Z191" s="76"/>
      <c r="AA191" s="67"/>
      <c r="AB191" s="74"/>
      <c r="AC191" s="74"/>
      <c r="AD191" s="74"/>
    </row>
    <row r="192" spans="1:30" x14ac:dyDescent="0.25">
      <c r="A192" s="40" t="s">
        <v>21</v>
      </c>
      <c r="B192" s="52"/>
      <c r="C192" s="39" t="str">
        <f t="shared" si="199"/>
        <v/>
      </c>
      <c r="D192" s="40" t="str">
        <f>_xlfn.CONCAT(K192, U192)</f>
        <v>sprigs fresh corriander, for garnish</v>
      </c>
      <c r="I192" s="63"/>
      <c r="J192" s="60"/>
      <c r="K192" s="55" t="s">
        <v>87</v>
      </c>
      <c r="L192" s="60"/>
      <c r="M192" s="60"/>
      <c r="N192" s="60"/>
      <c r="O192" s="60"/>
      <c r="P192" s="60"/>
      <c r="U192" s="44" t="s">
        <v>218</v>
      </c>
      <c r="V192" s="44" t="b">
        <f>INDEX(itemPrepMethods, MATCH(K192, itemNames, 0))="chop"</f>
        <v>0</v>
      </c>
      <c r="W192" s="57" t="str">
        <f>IF(V192, Q192, "")</f>
        <v/>
      </c>
      <c r="X192" s="58" t="str">
        <f>IF(V192, IF(L192 = "", "", L192), "")</f>
        <v/>
      </c>
      <c r="Y192" s="58" t="str">
        <f>IF(V192, K192, "")</f>
        <v/>
      </c>
      <c r="Z192" s="59"/>
      <c r="AA192" s="44" t="b">
        <f>INDEX(itemPrepMethods, MATCH(K192, itemNames, 0))="soak"</f>
        <v>0</v>
      </c>
      <c r="AB192" s="58" t="str">
        <f>IF(AA192, Q192, "")</f>
        <v/>
      </c>
      <c r="AC192" s="58" t="str">
        <f>IF(AA192, IF(L192 = "", "", L192), "")</f>
        <v/>
      </c>
      <c r="AD192" s="58" t="str">
        <f>IF(AA192, K192, "")</f>
        <v/>
      </c>
    </row>
    <row r="193" spans="1:30" ht="15.75" x14ac:dyDescent="0.25">
      <c r="A193" s="108" t="s">
        <v>29</v>
      </c>
      <c r="B193" s="108"/>
      <c r="C193" s="108"/>
      <c r="D193" s="108"/>
      <c r="E193" s="43" t="s">
        <v>136</v>
      </c>
      <c r="F193" s="104" t="s">
        <v>82</v>
      </c>
      <c r="G193" s="104"/>
      <c r="H193" s="47"/>
    </row>
    <row r="194" spans="1:30" ht="24" x14ac:dyDescent="0.2">
      <c r="A194" s="108" t="s">
        <v>259</v>
      </c>
      <c r="B194" s="108"/>
      <c r="C194" s="108"/>
      <c r="D194" s="108"/>
      <c r="E194" s="42" t="s">
        <v>56</v>
      </c>
      <c r="F194" s="90">
        <v>15</v>
      </c>
      <c r="G194" s="47"/>
      <c r="H194" s="47"/>
      <c r="I194" s="70" t="s">
        <v>448</v>
      </c>
      <c r="J194" s="71" t="s">
        <v>449</v>
      </c>
      <c r="K194" s="71" t="s">
        <v>17</v>
      </c>
      <c r="L194" s="72" t="s">
        <v>452</v>
      </c>
      <c r="M194" s="70" t="s">
        <v>148</v>
      </c>
      <c r="N194" s="70" t="s">
        <v>149</v>
      </c>
      <c r="O194" s="70" t="s">
        <v>450</v>
      </c>
      <c r="P194" s="70" t="s">
        <v>451</v>
      </c>
      <c r="Q194" s="71" t="s">
        <v>364</v>
      </c>
      <c r="R194" s="70" t="s">
        <v>365</v>
      </c>
      <c r="S194" s="70" t="s">
        <v>366</v>
      </c>
      <c r="T194" s="70" t="s">
        <v>367</v>
      </c>
      <c r="U194" s="71" t="s">
        <v>22</v>
      </c>
      <c r="V194" s="71" t="s">
        <v>212</v>
      </c>
      <c r="W194" s="73" t="s">
        <v>364</v>
      </c>
      <c r="X194" s="71" t="s">
        <v>210</v>
      </c>
      <c r="Y194" s="71" t="s">
        <v>211</v>
      </c>
      <c r="Z194" s="71" t="s">
        <v>313</v>
      </c>
      <c r="AA194" s="71" t="s">
        <v>213</v>
      </c>
      <c r="AB194" s="73" t="s">
        <v>364</v>
      </c>
      <c r="AC194" s="71" t="s">
        <v>214</v>
      </c>
      <c r="AD194" s="71" t="s">
        <v>215</v>
      </c>
    </row>
    <row r="195" spans="1:30" ht="15.75" thickBot="1" x14ac:dyDescent="0.3">
      <c r="A195" s="107"/>
      <c r="B195" s="107"/>
      <c r="C195" s="107"/>
      <c r="D195" s="107"/>
      <c r="E195" s="66" t="s">
        <v>359</v>
      </c>
      <c r="F195" s="90">
        <f>moDiCount</f>
        <v>10</v>
      </c>
      <c r="G195" s="47"/>
      <c r="H195" s="47"/>
      <c r="I195" s="63"/>
      <c r="J195" s="42"/>
      <c r="K195" s="42"/>
      <c r="L195" s="64"/>
      <c r="M195" s="63"/>
      <c r="N195" s="63"/>
      <c r="O195" s="63"/>
      <c r="P195" s="63"/>
      <c r="Q195" s="42"/>
      <c r="R195" s="63"/>
      <c r="S195" s="63"/>
      <c r="T195" s="63"/>
      <c r="U195" s="42"/>
      <c r="V195" s="42"/>
      <c r="W195" s="60"/>
      <c r="X195" s="42"/>
      <c r="Y195" s="42"/>
      <c r="Z195" s="41"/>
      <c r="AA195" s="42"/>
      <c r="AB195" s="42"/>
      <c r="AC195" s="42"/>
      <c r="AD195" s="42"/>
    </row>
    <row r="196" spans="1:30" ht="15.75" thickBot="1" x14ac:dyDescent="0.3">
      <c r="A196" s="107" t="s">
        <v>260</v>
      </c>
      <c r="B196" s="107"/>
      <c r="C196" s="107"/>
      <c r="D196" s="107"/>
      <c r="E196" s="66" t="s">
        <v>362</v>
      </c>
      <c r="F196" s="50">
        <f>F195/F194</f>
        <v>0.66666666666666663</v>
      </c>
      <c r="G196" s="51" t="s">
        <v>380</v>
      </c>
      <c r="H196" s="53"/>
      <c r="I196" s="47"/>
    </row>
    <row r="197" spans="1:30" x14ac:dyDescent="0.25">
      <c r="A197" s="40" t="s">
        <v>21</v>
      </c>
      <c r="B197" s="52">
        <f>Q197</f>
        <v>3</v>
      </c>
      <c r="C197" s="39" t="str">
        <f>IF(L197="","",L197)</f>
        <v>l</v>
      </c>
      <c r="D197" s="40" t="str">
        <f>_xlfn.CONCAT(K197, U197)</f>
        <v>vegetable stock</v>
      </c>
      <c r="E197" s="67"/>
      <c r="F197" s="67"/>
      <c r="G197" s="67"/>
      <c r="I197" s="54">
        <v>4.5</v>
      </c>
      <c r="J197" s="55" t="s">
        <v>57</v>
      </c>
      <c r="K197" s="55" t="s">
        <v>58</v>
      </c>
      <c r="L197" s="56" t="s">
        <v>57</v>
      </c>
      <c r="M197" s="47">
        <f>INDEX(itemGPerQty, MATCH(K197, itemNames, 0))</f>
        <v>0</v>
      </c>
      <c r="N197" s="47">
        <f>INDEX(itemMlPerQty, MATCH(K197, itemNames, 0))</f>
        <v>0</v>
      </c>
      <c r="O197" s="47">
        <f>IF(J197 = "", I197 * M197, IF(ISNA(CONVERT(I197, J197, "kg")), CONVERT(I197, J197, "l") * IF(N197 &lt;&gt; 0, M197 / N197, 0), CONVERT(I197, J197, "kg")))</f>
        <v>0</v>
      </c>
      <c r="P197" s="47">
        <f>IF(J197 = "", I197 * N197, IF(ISNA(CONVERT(I197, J197, "l")), CONVERT(I197, J197, "kg") * IF(M197 &lt;&gt; 0, N197 / M197, 0), CONVERT(I197, J197, "l")))</f>
        <v>4.5</v>
      </c>
      <c r="Q197" s="47">
        <f>MROUND(IF(AND(J197 = "", L197 = ""), I197 * recipe05DayScale, IF(ISNA(CONVERT(O197, "kg", L197)), CONVERT(P197 * recipe05DayScale, "l", L197), CONVERT(O197 * recipe05DayScale, "kg", L197))), roundTo)</f>
        <v>3</v>
      </c>
      <c r="R197" s="47">
        <f>recipe05TotScale * IF(L197 = "", Q197 * M197, IF(ISNA(CONVERT(Q197, L197, "kg")), CONVERT(Q197, L197, "l") * IF(N197 &lt;&gt; 0, M197 / N197, 0), CONVERT(Q197, L197, "kg")))</f>
        <v>0</v>
      </c>
      <c r="S197" s="47">
        <f>recipe05TotScale * IF(R197 = 0, IF(L197 = "", Q197 * N197, IF(ISNA(CONVERT(Q197, L197, "l")), CONVERT(Q197, L197, "kg") * IF(M197 &lt;&gt; 0, N197 / M197, 0), CONVERT(Q197, L197, "l"))), 0)</f>
        <v>3</v>
      </c>
      <c r="T197" s="47">
        <f>recipe05TotScale * IF(AND(R197 = 0, S197 = 0, J197 = "", L197 = ""), Q197, 0)</f>
        <v>0</v>
      </c>
      <c r="V197" s="44" t="b">
        <f>INDEX(itemPrepMethods, MATCH(K197, itemNames, 0))="chop"</f>
        <v>0</v>
      </c>
      <c r="W197" s="57" t="str">
        <f>IF(V197, Q197, "")</f>
        <v/>
      </c>
      <c r="X197" s="58" t="str">
        <f>IF(V197, IF(L197 = "", "", L197), "")</f>
        <v/>
      </c>
      <c r="Y197" s="58" t="str">
        <f>IF(V197, K197, "")</f>
        <v/>
      </c>
      <c r="Z197" s="59"/>
      <c r="AA197" s="44" t="b">
        <f>INDEX(itemPrepMethods, MATCH(K197, itemNames, 0))="soak"</f>
        <v>0</v>
      </c>
      <c r="AB197" s="58" t="str">
        <f>IF(AA197, Q197, "")</f>
        <v/>
      </c>
      <c r="AC197" s="58" t="str">
        <f>IF(AA197, IF(L197 = "", "", L197), "")</f>
        <v/>
      </c>
      <c r="AD197" s="58" t="str">
        <f>IF(AA197, K197, "")</f>
        <v/>
      </c>
    </row>
    <row r="198" spans="1:30" ht="16.5" thickBot="1" x14ac:dyDescent="0.3">
      <c r="A198" s="109"/>
      <c r="B198" s="109"/>
      <c r="C198" s="109"/>
      <c r="D198" s="109"/>
      <c r="E198" s="66" t="s">
        <v>338</v>
      </c>
      <c r="F198" s="90">
        <f>moDiCount</f>
        <v>10</v>
      </c>
      <c r="G198" s="67"/>
      <c r="H198" s="47"/>
      <c r="I198" s="63"/>
      <c r="J198" s="42"/>
      <c r="K198" s="42"/>
      <c r="L198" s="64"/>
      <c r="M198" s="63"/>
      <c r="N198" s="63"/>
      <c r="O198" s="63"/>
      <c r="P198" s="63"/>
      <c r="Q198" s="42"/>
      <c r="R198" s="63"/>
      <c r="S198" s="63"/>
      <c r="T198" s="63"/>
      <c r="U198" s="42"/>
      <c r="W198" s="74"/>
      <c r="X198" s="74"/>
      <c r="Y198" s="74"/>
      <c r="Z198" s="74"/>
      <c r="AA198" s="67"/>
      <c r="AB198" s="74"/>
      <c r="AC198" s="74"/>
      <c r="AD198" s="74"/>
    </row>
    <row r="199" spans="1:30" ht="15.75" thickBot="1" x14ac:dyDescent="0.3">
      <c r="A199" s="107" t="s">
        <v>124</v>
      </c>
      <c r="B199" s="107"/>
      <c r="C199" s="107"/>
      <c r="D199" s="107"/>
      <c r="E199" s="66" t="s">
        <v>363</v>
      </c>
      <c r="F199" s="50">
        <f>F198/F195</f>
        <v>1</v>
      </c>
      <c r="G199" s="51" t="s">
        <v>381</v>
      </c>
      <c r="H199" s="47"/>
      <c r="I199" s="63"/>
      <c r="J199" s="42"/>
      <c r="K199" s="42"/>
      <c r="L199" s="64"/>
      <c r="M199" s="63"/>
      <c r="N199" s="63"/>
      <c r="O199" s="63"/>
      <c r="P199" s="63"/>
      <c r="Q199" s="42"/>
      <c r="R199" s="63"/>
      <c r="S199" s="63"/>
      <c r="T199" s="63"/>
      <c r="U199" s="42"/>
      <c r="W199" s="74"/>
      <c r="X199" s="74"/>
      <c r="Y199" s="74"/>
      <c r="Z199" s="74"/>
      <c r="AA199" s="67"/>
      <c r="AB199" s="74"/>
      <c r="AC199" s="74"/>
      <c r="AD199" s="74"/>
    </row>
    <row r="200" spans="1:30" x14ac:dyDescent="0.25">
      <c r="A200" s="40" t="s">
        <v>21</v>
      </c>
      <c r="B200" s="52">
        <f t="shared" ref="B200:B215" si="200">Q200</f>
        <v>16</v>
      </c>
      <c r="C200" s="39" t="str">
        <f t="shared" ref="C200:C224" si="201">IF(L200="","",L200)</f>
        <v/>
      </c>
      <c r="D200" s="40" t="str">
        <f>_xlfn.CONCAT(K200, U200)</f>
        <v>chopped kumara</v>
      </c>
      <c r="I200" s="54">
        <v>24</v>
      </c>
      <c r="J200" s="55"/>
      <c r="K200" s="55" t="s">
        <v>158</v>
      </c>
      <c r="L200" s="56"/>
      <c r="M200" s="47">
        <f t="shared" ref="M200:M215" si="202">INDEX(itemGPerQty, MATCH(K200, itemNames, 0))</f>
        <v>0.34</v>
      </c>
      <c r="N200" s="47">
        <f t="shared" ref="N200:N215" si="203">INDEX(itemMlPerQty, MATCH(K200, itemNames, 0))</f>
        <v>0</v>
      </c>
      <c r="O200" s="47">
        <f t="shared" ref="O200:O215" si="204">IF(J200 = "", I200 * M200, IF(ISNA(CONVERT(I200, J200, "kg")), CONVERT(I200, J200, "l") * IF(N200 &lt;&gt; 0, M200 / N200, 0), CONVERT(I200, J200, "kg")))</f>
        <v>8.16</v>
      </c>
      <c r="P200" s="47">
        <f t="shared" ref="P200:P215" si="205">IF(J200 = "", I200 * N200, IF(ISNA(CONVERT(I200, J200, "l")), CONVERT(I200, J200, "kg") * IF(M200 &lt;&gt; 0, N200 / M200, 0), CONVERT(I200, J200, "l")))</f>
        <v>0</v>
      </c>
      <c r="Q200" s="47">
        <f>MROUND(IF(AND(J200 = "", L200 = ""), I200 * recipe05DayScale, IF(ISNA(CONVERT(O200, "kg", L200)), CONVERT(P200 * recipe05DayScale, "l", L200), CONVERT(O200 * recipe05DayScale, "kg", L200))), roundTo)</f>
        <v>16</v>
      </c>
      <c r="R200" s="47">
        <f>recipe05TotScale * IF(L200 = "", Q200 * M200, IF(ISNA(CONVERT(Q200, L200, "kg")), CONVERT(Q200, L200, "l") * IF(N200 &lt;&gt; 0, M200 / N200, 0), CONVERT(Q200, L200, "kg")))</f>
        <v>5.44</v>
      </c>
      <c r="S200" s="47">
        <f>recipe05TotScale * IF(R200 = 0, IF(L200 = "", Q200 * N200, IF(ISNA(CONVERT(Q200, L200, "l")), CONVERT(Q200, L200, "kg") * IF(M200 &lt;&gt; 0, N200 / M200, 0), CONVERT(Q200, L200, "l"))), 0)</f>
        <v>0</v>
      </c>
      <c r="T200" s="47">
        <f>recipe05TotScale * IF(AND(R200 = 0, S200 = 0, J200 = "", L200 = ""), Q200, 0)</f>
        <v>0</v>
      </c>
      <c r="V200" s="44" t="b">
        <f>INDEX(itemPrepMethods, MATCH(K200, itemNames, 0))="chop"</f>
        <v>1</v>
      </c>
      <c r="W200" s="57">
        <f>IF(V200, Q200, "")</f>
        <v>16</v>
      </c>
      <c r="X200" s="58" t="str">
        <f>IF(V200, IF(L200 = "", "", L200), "")</f>
        <v/>
      </c>
      <c r="Y200" s="58" t="str">
        <f>IF(V200, K200, "")</f>
        <v>chopped kumara</v>
      </c>
      <c r="Z200" s="59"/>
      <c r="AA200" s="44" t="b">
        <f>INDEX(itemPrepMethods, MATCH(K200, itemNames, 0))="soak"</f>
        <v>0</v>
      </c>
      <c r="AB200" s="58" t="str">
        <f>IF(AA200, Q200, "")</f>
        <v/>
      </c>
      <c r="AC200" s="58" t="str">
        <f>IF(AA200, IF(L200 = "", "", L200), "")</f>
        <v/>
      </c>
      <c r="AD200" s="58" t="str">
        <f>IF(AA200, K200, "")</f>
        <v/>
      </c>
    </row>
    <row r="201" spans="1:30" x14ac:dyDescent="0.25">
      <c r="A201" s="40" t="s">
        <v>21</v>
      </c>
      <c r="B201" s="52">
        <f t="shared" si="200"/>
        <v>8</v>
      </c>
      <c r="C201" s="39" t="str">
        <f t="shared" si="201"/>
        <v/>
      </c>
      <c r="D201" s="40" t="str">
        <f>_xlfn.CONCAT(K201, U201)</f>
        <v>chopped carrots</v>
      </c>
      <c r="I201" s="54">
        <v>12</v>
      </c>
      <c r="J201" s="55"/>
      <c r="K201" s="55" t="s">
        <v>5</v>
      </c>
      <c r="L201" s="56"/>
      <c r="M201" s="47">
        <f t="shared" si="202"/>
        <v>0.14833333333333334</v>
      </c>
      <c r="N201" s="47">
        <f t="shared" si="203"/>
        <v>0.19999999999999998</v>
      </c>
      <c r="O201" s="47">
        <f t="shared" si="204"/>
        <v>1.7800000000000002</v>
      </c>
      <c r="P201" s="47">
        <f t="shared" si="205"/>
        <v>2.4</v>
      </c>
      <c r="Q201" s="47">
        <f>MROUND(IF(AND(J201 = "", L201 = ""), I201 * recipe05DayScale, IF(ISNA(CONVERT(O201, "kg", L201)), CONVERT(P201 * recipe05DayScale, "l", L201), CONVERT(O201 * recipe05DayScale, "kg", L201))), roundTo)</f>
        <v>8</v>
      </c>
      <c r="R201" s="47">
        <f>recipe05TotScale * IF(L201 = "", Q201 * M201, IF(ISNA(CONVERT(Q201, L201, "kg")), CONVERT(Q201, L201, "l") * IF(N201 &lt;&gt; 0, M201 / N201, 0), CONVERT(Q201, L201, "kg")))</f>
        <v>1.1866666666666668</v>
      </c>
      <c r="S201" s="47">
        <f>recipe05TotScale * IF(R201 = 0, IF(L201 = "", Q201 * N201, IF(ISNA(CONVERT(Q201, L201, "l")), CONVERT(Q201, L201, "kg") * IF(M201 &lt;&gt; 0, N201 / M201, 0), CONVERT(Q201, L201, "l"))), 0)</f>
        <v>0</v>
      </c>
      <c r="T201" s="47">
        <f>recipe05TotScale * IF(AND(R201 = 0, S201 = 0, J201 = "", L201 = ""), Q201, 0)</f>
        <v>0</v>
      </c>
      <c r="V201" s="44" t="b">
        <f>INDEX(itemPrepMethods, MATCH(K201, itemNames, 0))="chop"</f>
        <v>1</v>
      </c>
      <c r="W201" s="57">
        <f>IF(V201, Q201, "")</f>
        <v>8</v>
      </c>
      <c r="X201" s="58" t="str">
        <f>IF(V201, IF(L201 = "", "", L201), "")</f>
        <v/>
      </c>
      <c r="Y201" s="58" t="str">
        <f>IF(V201, K201, "")</f>
        <v>chopped carrots</v>
      </c>
      <c r="Z201" s="59"/>
      <c r="AA201" s="44" t="b">
        <f>INDEX(itemPrepMethods, MATCH(K201, itemNames, 0))="soak"</f>
        <v>0</v>
      </c>
      <c r="AB201" s="58" t="str">
        <f>IF(AA201, Q201, "")</f>
        <v/>
      </c>
      <c r="AC201" s="58" t="str">
        <f>IF(AA201, IF(L201 = "", "", L201), "")</f>
        <v/>
      </c>
      <c r="AD201" s="58" t="str">
        <f>IF(AA201, K201, "")</f>
        <v/>
      </c>
    </row>
    <row r="202" spans="1:30" x14ac:dyDescent="0.25">
      <c r="A202" s="40" t="s">
        <v>21</v>
      </c>
      <c r="B202" s="52"/>
      <c r="C202" s="39" t="str">
        <f>IF(L202="","",L202)</f>
        <v/>
      </c>
      <c r="D202" s="40" t="str">
        <f>_xlfn.CONCAT(K202, U202)</f>
        <v>water, ONLY IF REQUIRED to completely cover vegetables</v>
      </c>
      <c r="I202" s="47"/>
      <c r="K202" s="55" t="s">
        <v>48</v>
      </c>
      <c r="L202" s="44"/>
      <c r="M202" s="44"/>
      <c r="N202" s="44"/>
      <c r="O202" s="44"/>
      <c r="P202" s="44"/>
      <c r="U202" s="44" t="s">
        <v>261</v>
      </c>
      <c r="V202" s="44" t="b">
        <f>INDEX(itemPrepMethods, MATCH(K202, itemNames, 0))="chop"</f>
        <v>0</v>
      </c>
      <c r="W202" s="57" t="str">
        <f>IF(V202, Q202, "")</f>
        <v/>
      </c>
      <c r="X202" s="58" t="str">
        <f>IF(V202, IF(L202 = "", "", L202), "")</f>
        <v/>
      </c>
      <c r="Y202" s="58" t="str">
        <f>IF(V202, K202, "")</f>
        <v/>
      </c>
      <c r="Z202" s="59"/>
      <c r="AA202" s="44" t="b">
        <f>INDEX(itemPrepMethods, MATCH(K202, itemNames, 0))="soak"</f>
        <v>0</v>
      </c>
      <c r="AB202" s="58" t="str">
        <f>IF(AA202, Q202, "")</f>
        <v/>
      </c>
      <c r="AC202" s="58" t="str">
        <f>IF(AA202, IF(L202 = "", "", L202), "")</f>
        <v/>
      </c>
      <c r="AD202" s="58" t="str">
        <f>IF(AA202, K202, "")</f>
        <v/>
      </c>
    </row>
    <row r="203" spans="1:30" ht="15.75" x14ac:dyDescent="0.25">
      <c r="A203" s="109"/>
      <c r="B203" s="109"/>
      <c r="C203" s="109"/>
      <c r="D203" s="109"/>
      <c r="E203" s="42"/>
      <c r="F203" s="42"/>
      <c r="G203" s="47"/>
      <c r="H203" s="47"/>
      <c r="I203" s="63"/>
      <c r="J203" s="42"/>
      <c r="K203" s="42"/>
      <c r="L203" s="64"/>
      <c r="M203" s="63"/>
      <c r="N203" s="63"/>
      <c r="O203" s="63"/>
      <c r="P203" s="63"/>
      <c r="Q203" s="42"/>
      <c r="R203" s="63"/>
      <c r="S203" s="63"/>
      <c r="T203" s="63"/>
      <c r="U203" s="42"/>
      <c r="W203" s="74"/>
      <c r="X203" s="74"/>
      <c r="Y203" s="74"/>
      <c r="Z203" s="74"/>
      <c r="AA203" s="67"/>
      <c r="AB203" s="74"/>
      <c r="AC203" s="74"/>
      <c r="AD203" s="74"/>
    </row>
    <row r="204" spans="1:30" x14ac:dyDescent="0.25">
      <c r="A204" s="107" t="s">
        <v>262</v>
      </c>
      <c r="B204" s="107"/>
      <c r="C204" s="107"/>
      <c r="D204" s="107"/>
      <c r="E204" s="42"/>
      <c r="F204" s="42"/>
      <c r="G204" s="47"/>
      <c r="H204" s="47"/>
      <c r="I204" s="63"/>
      <c r="J204" s="42"/>
      <c r="K204" s="42"/>
      <c r="L204" s="64"/>
      <c r="M204" s="63"/>
      <c r="N204" s="63"/>
      <c r="O204" s="63"/>
      <c r="P204" s="63"/>
      <c r="Q204" s="42"/>
      <c r="R204" s="63"/>
      <c r="S204" s="63"/>
      <c r="T204" s="63"/>
      <c r="U204" s="42"/>
      <c r="W204" s="74"/>
      <c r="X204" s="74"/>
      <c r="Y204" s="74"/>
      <c r="Z204" s="74"/>
      <c r="AA204" s="67"/>
      <c r="AB204" s="74"/>
      <c r="AC204" s="74"/>
      <c r="AD204" s="74"/>
    </row>
    <row r="205" spans="1:30" ht="15.75" x14ac:dyDescent="0.25">
      <c r="A205" s="109"/>
      <c r="B205" s="109"/>
      <c r="C205" s="109"/>
      <c r="D205" s="109"/>
      <c r="E205" s="42"/>
      <c r="F205" s="42"/>
      <c r="G205" s="47"/>
      <c r="H205" s="47"/>
      <c r="I205" s="63"/>
      <c r="J205" s="42"/>
      <c r="K205" s="42"/>
      <c r="L205" s="64"/>
      <c r="M205" s="63"/>
      <c r="N205" s="63"/>
      <c r="O205" s="63"/>
      <c r="P205" s="63"/>
      <c r="Q205" s="42"/>
      <c r="R205" s="63"/>
      <c r="S205" s="63"/>
      <c r="T205" s="63"/>
      <c r="U205" s="42"/>
      <c r="W205" s="74"/>
      <c r="X205" s="74"/>
      <c r="Y205" s="74"/>
      <c r="Z205" s="74"/>
      <c r="AA205" s="67"/>
      <c r="AB205" s="74"/>
      <c r="AC205" s="74"/>
      <c r="AD205" s="74"/>
    </row>
    <row r="206" spans="1:30" x14ac:dyDescent="0.25">
      <c r="A206" s="107" t="s">
        <v>269</v>
      </c>
      <c r="B206" s="107"/>
      <c r="C206" s="107"/>
      <c r="D206" s="107"/>
      <c r="E206" s="42"/>
      <c r="F206" s="42"/>
      <c r="G206" s="47"/>
      <c r="H206" s="47"/>
      <c r="I206" s="63"/>
      <c r="J206" s="42"/>
      <c r="K206" s="42"/>
      <c r="L206" s="64"/>
      <c r="M206" s="63"/>
      <c r="N206" s="63"/>
      <c r="O206" s="63"/>
      <c r="P206" s="63"/>
      <c r="Q206" s="42"/>
      <c r="R206" s="63"/>
      <c r="S206" s="63"/>
      <c r="T206" s="63"/>
      <c r="U206" s="42"/>
      <c r="W206" s="74"/>
      <c r="X206" s="74"/>
      <c r="Y206" s="74"/>
      <c r="Z206" s="74"/>
      <c r="AA206" s="67"/>
      <c r="AB206" s="74"/>
      <c r="AC206" s="74"/>
      <c r="AD206" s="74"/>
    </row>
    <row r="207" spans="1:30" ht="15.75" x14ac:dyDescent="0.25">
      <c r="A207" s="109"/>
      <c r="B207" s="109"/>
      <c r="C207" s="109"/>
      <c r="D207" s="109"/>
      <c r="E207" s="42"/>
      <c r="F207" s="42"/>
      <c r="G207" s="47"/>
      <c r="H207" s="47"/>
      <c r="I207" s="63"/>
      <c r="J207" s="42"/>
      <c r="K207" s="42"/>
      <c r="L207" s="64"/>
      <c r="M207" s="63"/>
      <c r="N207" s="63"/>
      <c r="O207" s="63"/>
      <c r="P207" s="63"/>
      <c r="Q207" s="42"/>
      <c r="R207" s="63"/>
      <c r="S207" s="63"/>
      <c r="T207" s="63"/>
      <c r="U207" s="42"/>
      <c r="W207" s="74"/>
      <c r="X207" s="74"/>
      <c r="Y207" s="74"/>
      <c r="Z207" s="74"/>
      <c r="AA207" s="67"/>
      <c r="AB207" s="74"/>
      <c r="AC207" s="74"/>
      <c r="AD207" s="74"/>
    </row>
    <row r="208" spans="1:30" x14ac:dyDescent="0.25">
      <c r="A208" s="107" t="s">
        <v>263</v>
      </c>
      <c r="B208" s="107"/>
      <c r="C208" s="107"/>
      <c r="D208" s="107"/>
      <c r="E208" s="42"/>
      <c r="F208" s="42"/>
      <c r="G208" s="47"/>
      <c r="H208" s="47"/>
      <c r="I208" s="63"/>
      <c r="J208" s="42"/>
      <c r="K208" s="42"/>
      <c r="L208" s="64"/>
      <c r="M208" s="63"/>
      <c r="N208" s="63"/>
      <c r="O208" s="63"/>
      <c r="P208" s="63"/>
      <c r="Q208" s="42"/>
      <c r="R208" s="63"/>
      <c r="S208" s="63"/>
      <c r="T208" s="63"/>
      <c r="U208" s="42"/>
      <c r="W208" s="74"/>
      <c r="X208" s="74"/>
      <c r="Y208" s="74"/>
      <c r="Z208" s="74"/>
      <c r="AA208" s="67"/>
      <c r="AB208" s="74"/>
      <c r="AC208" s="74"/>
      <c r="AD208" s="74"/>
    </row>
    <row r="209" spans="1:30" x14ac:dyDescent="0.25">
      <c r="A209" s="40" t="s">
        <v>21</v>
      </c>
      <c r="B209" s="52">
        <f t="shared" si="200"/>
        <v>2</v>
      </c>
      <c r="C209" s="39" t="str">
        <f t="shared" si="201"/>
        <v/>
      </c>
      <c r="D209" s="40" t="str">
        <f>_xlfn.CONCAT(K209, U209)</f>
        <v>tins creamed corn</v>
      </c>
      <c r="I209" s="54">
        <v>3</v>
      </c>
      <c r="J209" s="55"/>
      <c r="K209" s="55" t="s">
        <v>74</v>
      </c>
      <c r="L209" s="56"/>
      <c r="M209" s="47">
        <f t="shared" si="202"/>
        <v>0</v>
      </c>
      <c r="N209" s="47">
        <f t="shared" si="203"/>
        <v>0</v>
      </c>
      <c r="O209" s="47">
        <f t="shared" si="204"/>
        <v>0</v>
      </c>
      <c r="P209" s="47">
        <f t="shared" si="205"/>
        <v>0</v>
      </c>
      <c r="Q209" s="47">
        <f>MROUND(IF(AND(J209 = "", L209 = ""), I209 * recipe05DayScale, IF(ISNA(CONVERT(O209, "kg", L209)), CONVERT(P209 * recipe05DayScale, "l", L209), CONVERT(O209 * recipe05DayScale, "kg", L209))), roundTo)</f>
        <v>2</v>
      </c>
      <c r="R209" s="47">
        <f>recipe05TotScale * IF(L209 = "", Q209 * M209, IF(ISNA(CONVERT(Q209, L209, "kg")), CONVERT(Q209, L209, "l") * IF(N209 &lt;&gt; 0, M209 / N209, 0), CONVERT(Q209, L209, "kg")))</f>
        <v>0</v>
      </c>
      <c r="S209" s="47">
        <f>recipe05TotScale * IF(R209 = 0, IF(L209 = "", Q209 * N209, IF(ISNA(CONVERT(Q209, L209, "l")), CONVERT(Q209, L209, "kg") * IF(M209 &lt;&gt; 0, N209 / M209, 0), CONVERT(Q209, L209, "l"))), 0)</f>
        <v>0</v>
      </c>
      <c r="T209" s="47">
        <f>recipe05TotScale * IF(AND(R209 = 0, S209 = 0, J209 = "", L209 = ""), Q209, 0)</f>
        <v>2</v>
      </c>
      <c r="V209" s="44" t="b">
        <f>INDEX(itemPrepMethods, MATCH(K209, itemNames, 0))="chop"</f>
        <v>0</v>
      </c>
      <c r="W209" s="57" t="str">
        <f>IF(V209, Q209, "")</f>
        <v/>
      </c>
      <c r="X209" s="58" t="str">
        <f>IF(V209, IF(L209 = "", "", L209), "")</f>
        <v/>
      </c>
      <c r="Y209" s="58" t="str">
        <f>IF(V209, K209, "")</f>
        <v/>
      </c>
      <c r="Z209" s="59"/>
      <c r="AA209" s="44" t="b">
        <f>INDEX(itemPrepMethods, MATCH(K209, itemNames, 0))="soak"</f>
        <v>0</v>
      </c>
      <c r="AB209" s="58" t="str">
        <f>IF(AA209, Q209, "")</f>
        <v/>
      </c>
      <c r="AC209" s="58" t="str">
        <f>IF(AA209, IF(L209 = "", "", L209), "")</f>
        <v/>
      </c>
      <c r="AD209" s="58" t="str">
        <f>IF(AA209, K209, "")</f>
        <v/>
      </c>
    </row>
    <row r="210" spans="1:30" x14ac:dyDescent="0.25">
      <c r="A210" s="40" t="s">
        <v>21</v>
      </c>
      <c r="B210" s="52">
        <f t="shared" si="200"/>
        <v>5.25</v>
      </c>
      <c r="C210" s="39" t="str">
        <f t="shared" si="201"/>
        <v>tbs</v>
      </c>
      <c r="D210" s="40" t="str">
        <f>_xlfn.CONCAT(K210, U210)</f>
        <v>dijon mustard</v>
      </c>
      <c r="I210" s="54">
        <v>8</v>
      </c>
      <c r="J210" s="55" t="s">
        <v>15</v>
      </c>
      <c r="K210" s="55" t="s">
        <v>75</v>
      </c>
      <c r="L210" s="56" t="s">
        <v>15</v>
      </c>
      <c r="M210" s="47">
        <f t="shared" si="202"/>
        <v>0</v>
      </c>
      <c r="N210" s="47">
        <f t="shared" si="203"/>
        <v>0</v>
      </c>
      <c r="O210" s="47">
        <f t="shared" si="204"/>
        <v>0</v>
      </c>
      <c r="P210" s="47">
        <f t="shared" si="205"/>
        <v>0.11829411825</v>
      </c>
      <c r="Q210" s="47">
        <f>MROUND(IF(AND(J210 = "", L210 = ""), I210 * recipe05DayScale, IF(ISNA(CONVERT(O210, "kg", L210)), CONVERT(P210 * recipe05DayScale, "l", L210), CONVERT(O210 * recipe05DayScale, "kg", L210))), roundTo)</f>
        <v>5.25</v>
      </c>
      <c r="R210" s="47">
        <f>recipe05TotScale * IF(L210 = "", Q210 * M210, IF(ISNA(CONVERT(Q210, L210, "kg")), CONVERT(Q210, L210, "l") * IF(N210 &lt;&gt; 0, M210 / N210, 0), CONVERT(Q210, L210, "kg")))</f>
        <v>0</v>
      </c>
      <c r="S210" s="47">
        <f>recipe05TotScale * IF(R210 = 0, IF(L210 = "", Q210 * N210, IF(ISNA(CONVERT(Q210, L210, "l")), CONVERT(Q210, L210, "kg") * IF(M210 &lt;&gt; 0, N210 / M210, 0), CONVERT(Q210, L210, "l"))), 0)</f>
        <v>7.7630515101562492E-2</v>
      </c>
      <c r="T210" s="47">
        <f>recipe05TotScale * IF(AND(R210 = 0, S210 = 0, J210 = "", L210 = ""), Q210, 0)</f>
        <v>0</v>
      </c>
      <c r="V210" s="44" t="b">
        <f>INDEX(itemPrepMethods, MATCH(K210, itemNames, 0))="chop"</f>
        <v>0</v>
      </c>
      <c r="W210" s="57" t="str">
        <f>IF(V210, Q210, "")</f>
        <v/>
      </c>
      <c r="X210" s="58" t="str">
        <f>IF(V210, IF(L210 = "", "", L210), "")</f>
        <v/>
      </c>
      <c r="Y210" s="58" t="str">
        <f>IF(V210, K210, "")</f>
        <v/>
      </c>
      <c r="Z210" s="59"/>
      <c r="AA210" s="44" t="b">
        <f>INDEX(itemPrepMethods, MATCH(K210, itemNames, 0))="soak"</f>
        <v>0</v>
      </c>
      <c r="AB210" s="58" t="str">
        <f>IF(AA210, Q210, "")</f>
        <v/>
      </c>
      <c r="AC210" s="58" t="str">
        <f>IF(AA210, IF(L210 = "", "", L210), "")</f>
        <v/>
      </c>
      <c r="AD210" s="58" t="str">
        <f>IF(AA210, K210, "")</f>
        <v/>
      </c>
    </row>
    <row r="211" spans="1:30" x14ac:dyDescent="0.25">
      <c r="A211" s="40" t="s">
        <v>21</v>
      </c>
      <c r="B211" s="52">
        <f>Q211</f>
        <v>0.25</v>
      </c>
      <c r="C211" s="39" t="str">
        <f>IF(L211="","",L211)</f>
        <v>cup</v>
      </c>
      <c r="D211" s="40" t="str">
        <f>_xlfn.CONCAT(K211, U211)</f>
        <v>olive oil</v>
      </c>
      <c r="I211" s="54">
        <v>0.33</v>
      </c>
      <c r="J211" s="55" t="s">
        <v>16</v>
      </c>
      <c r="K211" s="55" t="s">
        <v>77</v>
      </c>
      <c r="L211" s="56" t="s">
        <v>16</v>
      </c>
      <c r="M211" s="47">
        <f>INDEX(itemGPerQty, MATCH(K211, itemNames, 0))</f>
        <v>0</v>
      </c>
      <c r="N211" s="47">
        <f>INDEX(itemMlPerQty, MATCH(K211, itemNames, 0))</f>
        <v>0</v>
      </c>
      <c r="O211" s="47">
        <f>IF(J211 = "", I211 * M211, IF(ISNA(CONVERT(I211, J211, "kg")), CONVERT(I211, J211, "l") * IF(N211 &lt;&gt; 0, M211 / N211, 0), CONVERT(I211, J211, "kg")))</f>
        <v>0</v>
      </c>
      <c r="P211" s="47">
        <f>IF(J211 = "", I211 * N211, IF(ISNA(CONVERT(I211, J211, "l")), CONVERT(I211, J211, "kg") * IF(M211 &lt;&gt; 0, N211 / M211, 0), CONVERT(I211, J211, "l")))</f>
        <v>7.8074118045000002E-2</v>
      </c>
      <c r="Q211" s="47">
        <f>MROUND(IF(AND(J211 = "", L211 = ""), I211 * recipe05DayScale, IF(ISNA(CONVERT(O211, "kg", L211)), CONVERT(P211 * recipe05DayScale, "l", L211), CONVERT(O211 * recipe05DayScale, "kg", L211))), roundTo)</f>
        <v>0.25</v>
      </c>
      <c r="R211" s="47">
        <f>recipe05TotScale * IF(L211 = "", Q211 * M211, IF(ISNA(CONVERT(Q211, L211, "kg")), CONVERT(Q211, L211, "l") * IF(N211 &lt;&gt; 0, M211 / N211, 0), CONVERT(Q211, L211, "kg")))</f>
        <v>0</v>
      </c>
      <c r="S211" s="47">
        <f>recipe05TotScale * IF(R211 = 0, IF(L211 = "", Q211 * N211, IF(ISNA(CONVERT(Q211, L211, "l")), CONVERT(Q211, L211, "kg") * IF(M211 &lt;&gt; 0, N211 / M211, 0), CONVERT(Q211, L211, "l"))), 0)</f>
        <v>5.9147059124999998E-2</v>
      </c>
      <c r="T211" s="47">
        <f>recipe05TotScale * IF(AND(R211 = 0, S211 = 0, J211 = "", L211 = ""), Q211, 0)</f>
        <v>0</v>
      </c>
      <c r="V211" s="44" t="b">
        <f>INDEX(itemPrepMethods, MATCH(K211, itemNames, 0))="chop"</f>
        <v>0</v>
      </c>
      <c r="W211" s="57" t="str">
        <f>IF(V211, Q211, "")</f>
        <v/>
      </c>
      <c r="X211" s="58" t="str">
        <f>IF(V211, IF(L211 = "", "", L211), "")</f>
        <v/>
      </c>
      <c r="Y211" s="58" t="str">
        <f>IF(V211, K211, "")</f>
        <v/>
      </c>
      <c r="Z211" s="59"/>
      <c r="AA211" s="44" t="b">
        <f>INDEX(itemPrepMethods, MATCH(K211, itemNames, 0))="soak"</f>
        <v>0</v>
      </c>
      <c r="AB211" s="58" t="str">
        <f>IF(AA211, Q211, "")</f>
        <v/>
      </c>
      <c r="AC211" s="58" t="str">
        <f>IF(AA211, IF(L211 = "", "", L211), "")</f>
        <v/>
      </c>
      <c r="AD211" s="58" t="str">
        <f>IF(AA211, K211, "")</f>
        <v/>
      </c>
    </row>
    <row r="212" spans="1:30" ht="15.75" x14ac:dyDescent="0.25">
      <c r="A212" s="109"/>
      <c r="B212" s="109"/>
      <c r="C212" s="109"/>
      <c r="D212" s="109"/>
      <c r="E212" s="42"/>
      <c r="F212" s="42"/>
      <c r="G212" s="47"/>
      <c r="H212" s="47"/>
      <c r="I212" s="63"/>
      <c r="J212" s="42"/>
      <c r="K212" s="42"/>
      <c r="L212" s="64"/>
      <c r="M212" s="63"/>
      <c r="N212" s="63"/>
      <c r="O212" s="63"/>
      <c r="P212" s="63"/>
      <c r="Q212" s="42"/>
      <c r="R212" s="63"/>
      <c r="S212" s="63"/>
      <c r="T212" s="63"/>
      <c r="U212" s="42"/>
      <c r="W212" s="74"/>
      <c r="X212" s="74"/>
      <c r="Y212" s="74"/>
      <c r="Z212" s="74"/>
      <c r="AA212" s="67"/>
      <c r="AB212" s="74"/>
      <c r="AC212" s="74"/>
      <c r="AD212" s="74"/>
    </row>
    <row r="213" spans="1:30" x14ac:dyDescent="0.25">
      <c r="A213" s="107" t="s">
        <v>264</v>
      </c>
      <c r="B213" s="107"/>
      <c r="C213" s="107"/>
      <c r="D213" s="107"/>
      <c r="E213" s="42"/>
      <c r="F213" s="42"/>
      <c r="G213" s="47"/>
      <c r="H213" s="47"/>
      <c r="I213" s="63"/>
      <c r="J213" s="42"/>
      <c r="K213" s="42"/>
      <c r="L213" s="64"/>
      <c r="M213" s="63"/>
      <c r="N213" s="63"/>
      <c r="O213" s="63"/>
      <c r="P213" s="63"/>
      <c r="Q213" s="42"/>
      <c r="R213" s="63"/>
      <c r="S213" s="63"/>
      <c r="T213" s="63"/>
      <c r="U213" s="42"/>
      <c r="W213" s="74"/>
      <c r="X213" s="74"/>
      <c r="Y213" s="74"/>
      <c r="Z213" s="74"/>
      <c r="AA213" s="67"/>
      <c r="AB213" s="74"/>
      <c r="AC213" s="74"/>
      <c r="AD213" s="74"/>
    </row>
    <row r="214" spans="1:30" x14ac:dyDescent="0.25">
      <c r="A214" s="40" t="s">
        <v>21</v>
      </c>
      <c r="B214" s="52">
        <f>Q214</f>
        <v>4</v>
      </c>
      <c r="C214" s="39" t="str">
        <f>IF(L214="","",L214)</f>
        <v>tsp</v>
      </c>
      <c r="D214" s="40" t="str">
        <f>_xlfn.CONCAT(K214, U214)</f>
        <v>ground cumin</v>
      </c>
      <c r="I214" s="54">
        <v>6</v>
      </c>
      <c r="J214" s="55" t="s">
        <v>13</v>
      </c>
      <c r="K214" s="55" t="s">
        <v>14</v>
      </c>
      <c r="L214" s="56" t="s">
        <v>13</v>
      </c>
      <c r="M214" s="47">
        <f>INDEX(itemGPerQty, MATCH(K214, itemNames, 0))</f>
        <v>1.0999999999999999E-2</v>
      </c>
      <c r="N214" s="47">
        <f>INDEX(itemMlPerQty, MATCH(K214, itemNames, 0))</f>
        <v>2.2180100000000001E-2</v>
      </c>
      <c r="O214" s="47">
        <f>IF(J214 = "", I214 * M214, IF(ISNA(CONVERT(I214, J214, "kg")), CONVERT(I214, J214, "l") * IF(N214 &lt;&gt; 0, M214 / N214, 0), CONVERT(I214, J214, "kg")))</f>
        <v>1.4666697859229668E-2</v>
      </c>
      <c r="P214" s="47">
        <f>IF(J214 = "", I214 * N214, IF(ISNA(CONVERT(I214, J214, "l")), CONVERT(I214, J214, "kg") * IF(M214 &lt;&gt; 0, N214 / M214, 0), CONVERT(I214, J214, "l")))</f>
        <v>2.9573529562499999E-2</v>
      </c>
      <c r="Q214" s="47">
        <f>MROUND(IF(AND(J214 = "", L214 = ""), I214 * recipe05DayScale, IF(ISNA(CONVERT(O214, "kg", L214)), CONVERT(P214 * recipe05DayScale, "l", L214), CONVERT(O214 * recipe05DayScale, "kg", L214))), roundTo)</f>
        <v>4</v>
      </c>
      <c r="R214" s="47">
        <f>recipe05TotScale * IF(L214 = "", Q214 * M214, IF(ISNA(CONVERT(Q214, L214, "kg")), CONVERT(Q214, L214, "l") * IF(N214 &lt;&gt; 0, M214 / N214, 0), CONVERT(Q214, L214, "kg")))</f>
        <v>9.7777985728197785E-3</v>
      </c>
      <c r="S214" s="47">
        <f>recipe05TotScale * IF(R214 = 0, IF(L214 = "", Q214 * N214, IF(ISNA(CONVERT(Q214, L214, "l")), CONVERT(Q214, L214, "kg") * IF(M214 &lt;&gt; 0, N214 / M214, 0), CONVERT(Q214, L214, "l"))), 0)</f>
        <v>0</v>
      </c>
      <c r="T214" s="47">
        <f>recipe05TotScale * IF(AND(R214 = 0, S214 = 0, J214 = "", L214 = ""), Q214, 0)</f>
        <v>0</v>
      </c>
      <c r="V214" s="44" t="b">
        <f>INDEX(itemPrepMethods, MATCH(K214, itemNames, 0))="chop"</f>
        <v>0</v>
      </c>
      <c r="W214" s="57" t="str">
        <f>IF(V214, Q214, "")</f>
        <v/>
      </c>
      <c r="X214" s="58" t="str">
        <f>IF(V214, IF(L214 = "", "", L214), "")</f>
        <v/>
      </c>
      <c r="Y214" s="58" t="str">
        <f>IF(V214, K214, "")</f>
        <v/>
      </c>
      <c r="Z214" s="59"/>
      <c r="AA214" s="44" t="b">
        <f>INDEX(itemPrepMethods, MATCH(K214, itemNames, 0))="soak"</f>
        <v>0</v>
      </c>
      <c r="AB214" s="58" t="str">
        <f>IF(AA214, Q214, "")</f>
        <v/>
      </c>
      <c r="AC214" s="58" t="str">
        <f>IF(AA214, IF(L214 = "", "", L214), "")</f>
        <v/>
      </c>
      <c r="AD214" s="58" t="str">
        <f>IF(AA214, K214, "")</f>
        <v/>
      </c>
    </row>
    <row r="215" spans="1:30" x14ac:dyDescent="0.25">
      <c r="A215" s="40" t="s">
        <v>21</v>
      </c>
      <c r="B215" s="52">
        <f t="shared" si="200"/>
        <v>4</v>
      </c>
      <c r="C215" s="39" t="str">
        <f t="shared" si="201"/>
        <v>tbs</v>
      </c>
      <c r="D215" s="40" t="str">
        <f>_xlfn.CONCAT(K215, U215)</f>
        <v>nutritional yeast</v>
      </c>
      <c r="I215" s="54">
        <v>6</v>
      </c>
      <c r="J215" s="55" t="s">
        <v>15</v>
      </c>
      <c r="K215" s="55" t="s">
        <v>76</v>
      </c>
      <c r="L215" s="56" t="s">
        <v>15</v>
      </c>
      <c r="M215" s="47">
        <f t="shared" si="202"/>
        <v>0</v>
      </c>
      <c r="N215" s="47">
        <f t="shared" si="203"/>
        <v>0</v>
      </c>
      <c r="O215" s="47">
        <f t="shared" si="204"/>
        <v>0</v>
      </c>
      <c r="P215" s="47">
        <f t="shared" si="205"/>
        <v>8.872058868749999E-2</v>
      </c>
      <c r="Q215" s="47">
        <f>MROUND(IF(AND(J215 = "", L215 = ""), I215 * recipe05DayScale, IF(ISNA(CONVERT(O215, "kg", L215)), CONVERT(P215 * recipe05DayScale, "l", L215), CONVERT(O215 * recipe05DayScale, "kg", L215))), roundTo)</f>
        <v>4</v>
      </c>
      <c r="R215" s="47">
        <f>recipe05TotScale * IF(L215 = "", Q215 * M215, IF(ISNA(CONVERT(Q215, L215, "kg")), CONVERT(Q215, L215, "l") * IF(N215 &lt;&gt; 0, M215 / N215, 0), CONVERT(Q215, L215, "kg")))</f>
        <v>0</v>
      </c>
      <c r="S215" s="47">
        <f>recipe05TotScale * IF(R215 = 0, IF(L215 = "", Q215 * N215, IF(ISNA(CONVERT(Q215, L215, "l")), CONVERT(Q215, L215, "kg") * IF(M215 &lt;&gt; 0, N215 / M215, 0), CONVERT(Q215, L215, "l"))), 0)</f>
        <v>5.9147059124999998E-2</v>
      </c>
      <c r="T215" s="47">
        <f>recipe05TotScale * IF(AND(R215 = 0, S215 = 0, J215 = "", L215 = ""), Q215, 0)</f>
        <v>0</v>
      </c>
      <c r="V215" s="44" t="b">
        <f>INDEX(itemPrepMethods, MATCH(K215, itemNames, 0))="chop"</f>
        <v>0</v>
      </c>
      <c r="W215" s="57" t="str">
        <f>IF(V215, Q215, "")</f>
        <v/>
      </c>
      <c r="X215" s="58" t="str">
        <f>IF(V215, IF(L215 = "", "", L215), "")</f>
        <v/>
      </c>
      <c r="Y215" s="58" t="str">
        <f>IF(V215, K215, "")</f>
        <v/>
      </c>
      <c r="Z215" s="59"/>
      <c r="AA215" s="44" t="b">
        <f>INDEX(itemPrepMethods, MATCH(K215, itemNames, 0))="soak"</f>
        <v>0</v>
      </c>
      <c r="AB215" s="58" t="str">
        <f>IF(AA215, Q215, "")</f>
        <v/>
      </c>
      <c r="AC215" s="58" t="str">
        <f>IF(AA215, IF(L215 = "", "", L215), "")</f>
        <v/>
      </c>
      <c r="AD215" s="58" t="str">
        <f>IF(AA215, K215, "")</f>
        <v/>
      </c>
    </row>
    <row r="216" spans="1:30" x14ac:dyDescent="0.25">
      <c r="B216" s="52"/>
      <c r="I216" s="44"/>
      <c r="L216" s="44"/>
      <c r="W216" s="74"/>
      <c r="X216" s="74"/>
      <c r="Y216" s="74"/>
      <c r="Z216" s="74"/>
      <c r="AA216" s="67"/>
      <c r="AB216" s="74"/>
      <c r="AC216" s="74"/>
      <c r="AD216" s="74"/>
    </row>
    <row r="217" spans="1:30" x14ac:dyDescent="0.25">
      <c r="A217" s="107" t="s">
        <v>265</v>
      </c>
      <c r="B217" s="107"/>
      <c r="C217" s="107"/>
      <c r="D217" s="107"/>
      <c r="I217" s="44"/>
      <c r="L217" s="44"/>
      <c r="W217" s="74"/>
      <c r="X217" s="74"/>
      <c r="Y217" s="74"/>
      <c r="Z217" s="74"/>
      <c r="AA217" s="67"/>
      <c r="AB217" s="74"/>
      <c r="AC217" s="74"/>
      <c r="AD217" s="74"/>
    </row>
    <row r="218" spans="1:30" x14ac:dyDescent="0.25">
      <c r="B218" s="52"/>
      <c r="I218" s="44"/>
      <c r="L218" s="44"/>
      <c r="W218" s="74"/>
      <c r="X218" s="74"/>
      <c r="Y218" s="74"/>
      <c r="Z218" s="74"/>
      <c r="AA218" s="67"/>
      <c r="AB218" s="74"/>
      <c r="AC218" s="74"/>
      <c r="AD218" s="74"/>
    </row>
    <row r="219" spans="1:30" x14ac:dyDescent="0.25">
      <c r="A219" s="107" t="s">
        <v>267</v>
      </c>
      <c r="B219" s="107"/>
      <c r="C219" s="107"/>
      <c r="D219" s="107"/>
      <c r="I219" s="44"/>
      <c r="L219" s="44"/>
      <c r="W219" s="74"/>
      <c r="X219" s="74"/>
      <c r="Y219" s="74"/>
      <c r="Z219" s="74"/>
      <c r="AA219" s="67"/>
      <c r="AB219" s="74"/>
      <c r="AC219" s="74"/>
      <c r="AD219" s="74"/>
    </row>
    <row r="220" spans="1:30" x14ac:dyDescent="0.25">
      <c r="A220" s="40" t="s">
        <v>21</v>
      </c>
      <c r="B220" s="52"/>
      <c r="C220" s="39" t="str">
        <f t="shared" ref="C220" si="206">IF(L220="","",L220)</f>
        <v/>
      </c>
      <c r="D220" s="40" t="str">
        <f>_xlfn.CONCAT(K220, U220)</f>
        <v>salt, to taste</v>
      </c>
      <c r="I220" s="47"/>
      <c r="K220" s="55" t="s">
        <v>11</v>
      </c>
      <c r="L220" s="44"/>
      <c r="M220" s="44"/>
      <c r="N220" s="44"/>
      <c r="O220" s="44"/>
      <c r="P220" s="44"/>
      <c r="U220" s="44" t="s">
        <v>216</v>
      </c>
      <c r="V220" s="44" t="b">
        <f>INDEX(itemPrepMethods, MATCH(K220, itemNames, 0))="chop"</f>
        <v>0</v>
      </c>
      <c r="W220" s="57" t="str">
        <f>IF(V220, Q220, "")</f>
        <v/>
      </c>
      <c r="X220" s="58" t="str">
        <f>IF(V220, IF(L220 = "", "", L220), "")</f>
        <v/>
      </c>
      <c r="Y220" s="58" t="str">
        <f>IF(V220, K220, "")</f>
        <v/>
      </c>
      <c r="Z220" s="59"/>
      <c r="AA220" s="44" t="b">
        <f>INDEX(itemPrepMethods, MATCH(K220, itemNames, 0))="soak"</f>
        <v>0</v>
      </c>
      <c r="AB220" s="58" t="str">
        <f>IF(AA220, Q220, "")</f>
        <v/>
      </c>
      <c r="AC220" s="58" t="str">
        <f>IF(AA220, IF(L220 = "", "", L220), "")</f>
        <v/>
      </c>
      <c r="AD220" s="58" t="str">
        <f>IF(AA220, K220, "")</f>
        <v/>
      </c>
    </row>
    <row r="221" spans="1:30" x14ac:dyDescent="0.25">
      <c r="A221" s="40" t="s">
        <v>21</v>
      </c>
      <c r="B221" s="52"/>
      <c r="C221" s="39" t="str">
        <f t="shared" si="201"/>
        <v/>
      </c>
      <c r="D221" s="40" t="str">
        <f>_xlfn.CONCAT(K221, U221)</f>
        <v>ground black pepper, to taste</v>
      </c>
      <c r="I221" s="47"/>
      <c r="K221" s="55" t="s">
        <v>80</v>
      </c>
      <c r="L221" s="44"/>
      <c r="M221" s="44"/>
      <c r="N221" s="44"/>
      <c r="O221" s="44"/>
      <c r="P221" s="44"/>
      <c r="U221" s="44" t="s">
        <v>216</v>
      </c>
      <c r="V221" s="44" t="b">
        <f>INDEX(itemPrepMethods, MATCH(K221, itemNames, 0))="chop"</f>
        <v>0</v>
      </c>
      <c r="W221" s="57" t="str">
        <f>IF(V221, Q221, "")</f>
        <v/>
      </c>
      <c r="X221" s="58" t="str">
        <f>IF(V221, IF(L221 = "", "", L221), "")</f>
        <v/>
      </c>
      <c r="Y221" s="58" t="str">
        <f>IF(V221, K221, "")</f>
        <v/>
      </c>
      <c r="Z221" s="59"/>
      <c r="AA221" s="44" t="b">
        <f>INDEX(itemPrepMethods, MATCH(K221, itemNames, 0))="soak"</f>
        <v>0</v>
      </c>
      <c r="AB221" s="58" t="str">
        <f>IF(AA221, Q221, "")</f>
        <v/>
      </c>
      <c r="AC221" s="58" t="str">
        <f>IF(AA221, IF(L221 = "", "", L221), "")</f>
        <v/>
      </c>
      <c r="AD221" s="58" t="str">
        <f>IF(AA221, K221, "")</f>
        <v/>
      </c>
    </row>
    <row r="222" spans="1:30" x14ac:dyDescent="0.25">
      <c r="B222" s="52"/>
      <c r="I222" s="44"/>
      <c r="L222" s="44"/>
      <c r="W222" s="74"/>
      <c r="X222" s="74"/>
      <c r="Y222" s="74"/>
      <c r="Z222" s="74"/>
      <c r="AA222" s="67"/>
      <c r="AB222" s="74"/>
      <c r="AC222" s="74"/>
      <c r="AD222" s="74"/>
    </row>
    <row r="223" spans="1:30" x14ac:dyDescent="0.25">
      <c r="A223" s="107" t="s">
        <v>268</v>
      </c>
      <c r="B223" s="107"/>
      <c r="C223" s="107"/>
      <c r="D223" s="107"/>
      <c r="I223" s="44"/>
      <c r="L223" s="44"/>
      <c r="W223" s="74"/>
      <c r="X223" s="74"/>
      <c r="Y223" s="74"/>
      <c r="Z223" s="74"/>
      <c r="AA223" s="67"/>
      <c r="AB223" s="74"/>
      <c r="AC223" s="74"/>
      <c r="AD223" s="74"/>
    </row>
    <row r="224" spans="1:30" x14ac:dyDescent="0.25">
      <c r="A224" s="40" t="s">
        <v>21</v>
      </c>
      <c r="B224" s="52"/>
      <c r="C224" s="39" t="str">
        <f t="shared" si="201"/>
        <v/>
      </c>
      <c r="D224" s="40" t="str">
        <f>_xlfn.CONCAT(K224, U224)</f>
        <v>chopped fresh chives, if available</v>
      </c>
      <c r="I224" s="47"/>
      <c r="K224" s="55" t="s">
        <v>83</v>
      </c>
      <c r="L224" s="44"/>
      <c r="M224" s="44"/>
      <c r="N224" s="44"/>
      <c r="O224" s="44"/>
      <c r="P224" s="44"/>
      <c r="U224" s="44" t="s">
        <v>238</v>
      </c>
      <c r="V224" s="44" t="b">
        <f>INDEX(itemPrepMethods, MATCH(K224, itemNames, 0))="chop"</f>
        <v>1</v>
      </c>
      <c r="W224" s="57">
        <f>IF(V224, Q224, "")</f>
        <v>0</v>
      </c>
      <c r="X224" s="58" t="str">
        <f>IF(V224, IF(L224 = "", "", L224), "")</f>
        <v/>
      </c>
      <c r="Y224" s="58" t="str">
        <f>IF(V224, K224, "")</f>
        <v>chopped fresh chives</v>
      </c>
      <c r="Z224" s="59"/>
      <c r="AA224" s="44" t="b">
        <f>INDEX(itemPrepMethods, MATCH(K224, itemNames, 0))="soak"</f>
        <v>0</v>
      </c>
      <c r="AB224" s="58" t="str">
        <f>IF(AA224, Q224, "")</f>
        <v/>
      </c>
      <c r="AC224" s="58" t="str">
        <f>IF(AA224, IF(L224 = "", "", L224), "")</f>
        <v/>
      </c>
      <c r="AD224" s="58" t="str">
        <f>IF(AA224, K224, "")</f>
        <v/>
      </c>
    </row>
    <row r="225" spans="1:30" ht="15.75" x14ac:dyDescent="0.25">
      <c r="A225" s="108" t="s">
        <v>31</v>
      </c>
      <c r="B225" s="108"/>
      <c r="C225" s="108"/>
      <c r="D225" s="108"/>
      <c r="E225" s="43" t="s">
        <v>137</v>
      </c>
      <c r="F225" s="104" t="s">
        <v>97</v>
      </c>
      <c r="G225" s="104"/>
      <c r="H225" s="47"/>
    </row>
    <row r="226" spans="1:30" ht="24" x14ac:dyDescent="0.2">
      <c r="A226" s="108" t="s">
        <v>39</v>
      </c>
      <c r="B226" s="108"/>
      <c r="C226" s="108"/>
      <c r="D226" s="108"/>
      <c r="E226" s="42" t="s">
        <v>56</v>
      </c>
      <c r="F226" s="90">
        <v>14</v>
      </c>
      <c r="G226" s="47"/>
      <c r="H226" s="47"/>
      <c r="I226" s="70" t="s">
        <v>448</v>
      </c>
      <c r="J226" s="71" t="s">
        <v>449</v>
      </c>
      <c r="K226" s="71" t="s">
        <v>17</v>
      </c>
      <c r="L226" s="72" t="s">
        <v>452</v>
      </c>
      <c r="M226" s="70" t="s">
        <v>148</v>
      </c>
      <c r="N226" s="70" t="s">
        <v>149</v>
      </c>
      <c r="O226" s="70" t="s">
        <v>450</v>
      </c>
      <c r="P226" s="70" t="s">
        <v>451</v>
      </c>
      <c r="Q226" s="71" t="s">
        <v>364</v>
      </c>
      <c r="R226" s="70" t="s">
        <v>365</v>
      </c>
      <c r="S226" s="70" t="s">
        <v>366</v>
      </c>
      <c r="T226" s="70" t="s">
        <v>367</v>
      </c>
      <c r="U226" s="71" t="s">
        <v>22</v>
      </c>
      <c r="V226" s="71" t="s">
        <v>212</v>
      </c>
      <c r="W226" s="73" t="s">
        <v>364</v>
      </c>
      <c r="X226" s="71" t="s">
        <v>210</v>
      </c>
      <c r="Y226" s="71" t="s">
        <v>211</v>
      </c>
      <c r="Z226" s="71" t="s">
        <v>313</v>
      </c>
      <c r="AA226" s="71" t="s">
        <v>213</v>
      </c>
      <c r="AB226" s="73" t="s">
        <v>364</v>
      </c>
      <c r="AC226" s="71" t="s">
        <v>214</v>
      </c>
      <c r="AD226" s="71" t="s">
        <v>215</v>
      </c>
    </row>
    <row r="227" spans="1:30" ht="16.5" thickBot="1" x14ac:dyDescent="0.3">
      <c r="A227" s="109"/>
      <c r="B227" s="109"/>
      <c r="C227" s="109"/>
      <c r="D227" s="109"/>
      <c r="E227" s="66" t="s">
        <v>359</v>
      </c>
      <c r="F227" s="90">
        <f>tuLuCount</f>
        <v>10</v>
      </c>
      <c r="G227" s="47"/>
      <c r="H227" s="47"/>
      <c r="I227" s="63"/>
      <c r="J227" s="42"/>
      <c r="K227" s="42"/>
      <c r="L227" s="64"/>
      <c r="M227" s="63"/>
      <c r="N227" s="63"/>
      <c r="O227" s="63"/>
      <c r="P227" s="63"/>
      <c r="Q227" s="42"/>
      <c r="R227" s="63"/>
      <c r="S227" s="63"/>
      <c r="T227" s="63"/>
      <c r="U227" s="42"/>
    </row>
    <row r="228" spans="1:30" ht="15.75" thickBot="1" x14ac:dyDescent="0.3">
      <c r="A228" s="107" t="s">
        <v>123</v>
      </c>
      <c r="B228" s="107"/>
      <c r="C228" s="107"/>
      <c r="D228" s="107"/>
      <c r="E228" s="66" t="s">
        <v>362</v>
      </c>
      <c r="F228" s="50">
        <f>F227/F226</f>
        <v>0.7142857142857143</v>
      </c>
      <c r="G228" s="51" t="s">
        <v>382</v>
      </c>
      <c r="H228" s="53"/>
      <c r="I228" s="47"/>
    </row>
    <row r="229" spans="1:30" x14ac:dyDescent="0.25">
      <c r="A229" s="40" t="s">
        <v>21</v>
      </c>
      <c r="B229" s="52">
        <f t="shared" ref="B229:B230" si="207">Q229</f>
        <v>2.25</v>
      </c>
      <c r="C229" s="39" t="str">
        <f>IF(L229="","",L229)</f>
        <v>cup</v>
      </c>
      <c r="D229" s="40" t="str">
        <f>_xlfn.CONCAT(K229, U229)</f>
        <v>peanut butter</v>
      </c>
      <c r="E229" s="67"/>
      <c r="F229" s="67"/>
      <c r="G229" s="67"/>
      <c r="I229" s="54">
        <v>3</v>
      </c>
      <c r="J229" s="55" t="s">
        <v>16</v>
      </c>
      <c r="K229" s="55" t="s">
        <v>109</v>
      </c>
      <c r="L229" s="56" t="s">
        <v>16</v>
      </c>
      <c r="M229" s="47">
        <f>INDEX(itemGPerQty, MATCH(K229, itemNames, 0))</f>
        <v>0</v>
      </c>
      <c r="N229" s="47">
        <f>INDEX(itemMlPerQty, MATCH(K229, itemNames, 0))</f>
        <v>0</v>
      </c>
      <c r="O229" s="47">
        <f t="shared" ref="O229:O230" si="208">IF(J229 = "", I229 * M229, IF(ISNA(CONVERT(I229, J229, "kg")), CONVERT(I229, J229, "l") * IF(N229 &lt;&gt; 0, M229 / N229, 0), CONVERT(I229, J229, "kg")))</f>
        <v>0</v>
      </c>
      <c r="P229" s="47">
        <f t="shared" ref="P229:P230" si="209">IF(J229 = "", I229 * N229, IF(ISNA(CONVERT(I229, J229, "l")), CONVERT(I229, J229, "kg") * IF(M229 &lt;&gt; 0, N229 / M229, 0), CONVERT(I229, J229, "l")))</f>
        <v>0.70976470949999992</v>
      </c>
      <c r="Q229" s="47">
        <f>MROUND(IF(AND(J229 = "", L229 = ""), I229 * recipe06DayScale, IF(ISNA(CONVERT(O229, "kg", L229)), CONVERT(P229 * recipe06DayScale, "l", L229), CONVERT(O229 * recipe06DayScale, "kg", L229))), roundTo)</f>
        <v>2.25</v>
      </c>
      <c r="R229" s="47">
        <f>recipe06TotScale * IF(L229 = "", Q229 * M229, IF(ISNA(CONVERT(Q229, L229, "kg")), CONVERT(Q229, L229, "l") * IF(N229 &lt;&gt; 0, M229 / N229, 0), CONVERT(Q229, L229, "kg")))</f>
        <v>0</v>
      </c>
      <c r="S229" s="47">
        <f>recipe06TotScale * IF(R229 = 0, IF(L229 = "", Q229 * N229, IF(ISNA(CONVERT(Q229, L229, "l")), CONVERT(Q229, L229, "kg") * IF(M229 &lt;&gt; 0, N229 / M229, 0), CONVERT(Q229, L229, "l"))), 0)</f>
        <v>0.53232353212499994</v>
      </c>
      <c r="T229" s="47">
        <f>recipe06TotScale * IF(AND(R229 = 0, S229 = 0, J229 = "", L229 = ""), Q229, 0)</f>
        <v>0</v>
      </c>
      <c r="V229" s="44" t="b">
        <f>INDEX(itemPrepMethods, MATCH(K229, itemNames, 0))="chop"</f>
        <v>0</v>
      </c>
      <c r="W229" s="57" t="str">
        <f>IF(V229, Q229, "")</f>
        <v/>
      </c>
      <c r="X229" s="58" t="str">
        <f>IF(V229, IF(L229 = "", "", L229), "")</f>
        <v/>
      </c>
      <c r="Y229" s="58" t="str">
        <f>IF(V229, K229, "")</f>
        <v/>
      </c>
      <c r="Z229" s="59"/>
      <c r="AA229" s="44" t="b">
        <f>INDEX(itemPrepMethods, MATCH(K229, itemNames, 0))="soak"</f>
        <v>0</v>
      </c>
      <c r="AB229" s="58" t="str">
        <f>IF(AA229, Q229, "")</f>
        <v/>
      </c>
      <c r="AC229" s="58" t="str">
        <f>IF(AA229, IF(L229 = "", "", L229), "")</f>
        <v/>
      </c>
      <c r="AD229" s="58" t="str">
        <f>IF(AA229, K229, "")</f>
        <v/>
      </c>
    </row>
    <row r="230" spans="1:30" ht="15.75" thickBot="1" x14ac:dyDescent="0.3">
      <c r="A230" s="40" t="s">
        <v>21</v>
      </c>
      <c r="B230" s="52">
        <f t="shared" si="207"/>
        <v>2.75</v>
      </c>
      <c r="C230" s="39" t="str">
        <f>IF(L230="","",L230)</f>
        <v>cup</v>
      </c>
      <c r="D230" s="40" t="str">
        <f>_xlfn.CONCAT(K230, U230)</f>
        <v>hot water</v>
      </c>
      <c r="E230" s="66" t="s">
        <v>338</v>
      </c>
      <c r="F230" s="90">
        <f>tuLuCount</f>
        <v>10</v>
      </c>
      <c r="G230" s="67"/>
      <c r="I230" s="54">
        <v>4</v>
      </c>
      <c r="J230" s="55" t="s">
        <v>16</v>
      </c>
      <c r="K230" s="55" t="s">
        <v>117</v>
      </c>
      <c r="L230" s="56" t="s">
        <v>16</v>
      </c>
      <c r="M230" s="47">
        <f>INDEX(itemGPerQty, MATCH(K230, itemNames, 0))</f>
        <v>1</v>
      </c>
      <c r="N230" s="47">
        <f>INDEX(itemMlPerQty, MATCH(K230, itemNames, 0))</f>
        <v>1</v>
      </c>
      <c r="O230" s="47">
        <f t="shared" si="208"/>
        <v>0.94635294599999997</v>
      </c>
      <c r="P230" s="47">
        <f t="shared" si="209"/>
        <v>0.94635294599999997</v>
      </c>
      <c r="Q230" s="47">
        <f>MROUND(IF(AND(J230 = "", L230 = ""), I230 * recipe06DayScale, IF(ISNA(CONVERT(O230, "kg", L230)), CONVERT(P230 * recipe06DayScale, "l", L230), CONVERT(O230 * recipe06DayScale, "kg", L230))), roundTo)</f>
        <v>2.75</v>
      </c>
      <c r="R230" s="47">
        <f>recipe06TotScale * IF(L230 = "", Q230 * M230, IF(ISNA(CONVERT(Q230, L230, "kg")), CONVERT(Q230, L230, "l") * IF(N230 &lt;&gt; 0, M230 / N230, 0), CONVERT(Q230, L230, "kg")))</f>
        <v>0.65061765037499997</v>
      </c>
      <c r="S230" s="47">
        <f>recipe06TotScale * IF(R230 = 0, IF(L230 = "", Q230 * N230, IF(ISNA(CONVERT(Q230, L230, "l")), CONVERT(Q230, L230, "kg") * IF(M230 &lt;&gt; 0, N230 / M230, 0), CONVERT(Q230, L230, "l"))), 0)</f>
        <v>0</v>
      </c>
      <c r="T230" s="47">
        <f>recipe06TotScale * IF(AND(R230 = 0, S230 = 0, J230 = "", L230 = ""), Q230, 0)</f>
        <v>0</v>
      </c>
      <c r="V230" s="44" t="b">
        <f>INDEX(itemPrepMethods, MATCH(K230, itemNames, 0))="chop"</f>
        <v>0</v>
      </c>
      <c r="W230" s="57" t="str">
        <f>IF(V230, Q230, "")</f>
        <v/>
      </c>
      <c r="X230" s="58" t="str">
        <f>IF(V230, IF(L230 = "", "", L230), "")</f>
        <v/>
      </c>
      <c r="Y230" s="58" t="str">
        <f>IF(V230, K230, "")</f>
        <v/>
      </c>
      <c r="Z230" s="59"/>
      <c r="AA230" s="44" t="b">
        <f>INDEX(itemPrepMethods, MATCH(K230, itemNames, 0))="soak"</f>
        <v>0</v>
      </c>
      <c r="AB230" s="58" t="str">
        <f>IF(AA230, Q230, "")</f>
        <v/>
      </c>
      <c r="AC230" s="58" t="str">
        <f>IF(AA230, IF(L230 = "", "", L230), "")</f>
        <v/>
      </c>
      <c r="AD230" s="58" t="str">
        <f>IF(AA230, K230, "")</f>
        <v/>
      </c>
    </row>
    <row r="231" spans="1:30" ht="15.75" thickBot="1" x14ac:dyDescent="0.3">
      <c r="A231" s="107"/>
      <c r="B231" s="107"/>
      <c r="C231" s="107"/>
      <c r="D231" s="107"/>
      <c r="E231" s="66" t="s">
        <v>363</v>
      </c>
      <c r="F231" s="50">
        <f>F230/F227</f>
        <v>1</v>
      </c>
      <c r="G231" s="51" t="s">
        <v>383</v>
      </c>
      <c r="I231" s="47"/>
      <c r="W231" s="74"/>
      <c r="X231" s="74"/>
      <c r="Y231" s="74"/>
      <c r="Z231" s="74"/>
      <c r="AA231" s="67"/>
      <c r="AB231" s="74"/>
      <c r="AC231" s="74"/>
      <c r="AD231" s="74"/>
    </row>
    <row r="232" spans="1:30" x14ac:dyDescent="0.25">
      <c r="A232" s="107" t="s">
        <v>124</v>
      </c>
      <c r="B232" s="107"/>
      <c r="C232" s="107"/>
      <c r="D232" s="107"/>
      <c r="I232" s="47"/>
      <c r="W232" s="74"/>
      <c r="X232" s="74"/>
      <c r="Y232" s="74"/>
      <c r="Z232" s="74"/>
      <c r="AA232" s="67"/>
      <c r="AB232" s="74"/>
      <c r="AC232" s="74"/>
      <c r="AD232" s="74"/>
    </row>
    <row r="233" spans="1:30" x14ac:dyDescent="0.25">
      <c r="A233" s="40" t="s">
        <v>21</v>
      </c>
      <c r="B233" s="52">
        <f t="shared" ref="B233:B234" si="210">Q233</f>
        <v>0.25</v>
      </c>
      <c r="C233" s="39" t="str">
        <f>IF(L233="","",L233)</f>
        <v>cup</v>
      </c>
      <c r="D233" s="40" t="str">
        <f>_xlfn.CONCAT(K233, U233)</f>
        <v>cider vinegar</v>
      </c>
      <c r="I233" s="54">
        <v>0.5</v>
      </c>
      <c r="J233" s="55" t="s">
        <v>16</v>
      </c>
      <c r="K233" s="55" t="s">
        <v>118</v>
      </c>
      <c r="L233" s="56" t="s">
        <v>16</v>
      </c>
      <c r="M233" s="47">
        <f>INDEX(itemGPerQty, MATCH(K233, itemNames, 0))</f>
        <v>0</v>
      </c>
      <c r="N233" s="47">
        <f>INDEX(itemMlPerQty, MATCH(K233, itemNames, 0))</f>
        <v>0</v>
      </c>
      <c r="O233" s="47">
        <f t="shared" ref="O233:O234" si="211">IF(J233 = "", I233 * M233, IF(ISNA(CONVERT(I233, J233, "kg")), CONVERT(I233, J233, "l") * IF(N233 &lt;&gt; 0, M233 / N233, 0), CONVERT(I233, J233, "kg")))</f>
        <v>0</v>
      </c>
      <c r="P233" s="47">
        <f t="shared" ref="P233:P234" si="212">IF(J233 = "", I233 * N233, IF(ISNA(CONVERT(I233, J233, "l")), CONVERT(I233, J233, "kg") * IF(M233 &lt;&gt; 0, N233 / M233, 0), CONVERT(I233, J233, "l")))</f>
        <v>0.11829411825</v>
      </c>
      <c r="Q233" s="47">
        <f>MROUND(IF(AND(J233 = "", L233 = ""), I233 * recipe06DayScale, IF(ISNA(CONVERT(O233, "kg", L233)), CONVERT(P233 * recipe06DayScale, "l", L233), CONVERT(O233 * recipe06DayScale, "kg", L233))), roundTo)</f>
        <v>0.25</v>
      </c>
      <c r="R233" s="47">
        <f>recipe06TotScale * IF(L233 = "", Q233 * M233, IF(ISNA(CONVERT(Q233, L233, "kg")), CONVERT(Q233, L233, "l") * IF(N233 &lt;&gt; 0, M233 / N233, 0), CONVERT(Q233, L233, "kg")))</f>
        <v>0</v>
      </c>
      <c r="S233" s="47">
        <f>recipe06TotScale * IF(R233 = 0, IF(L233 = "", Q233 * N233, IF(ISNA(CONVERT(Q233, L233, "l")), CONVERT(Q233, L233, "kg") * IF(M233 &lt;&gt; 0, N233 / M233, 0), CONVERT(Q233, L233, "l"))), 0)</f>
        <v>5.9147059124999998E-2</v>
      </c>
      <c r="T233" s="47">
        <f>recipe06TotScale * IF(AND(R233 = 0, S233 = 0, J233 = "", L233 = ""), Q233, 0)</f>
        <v>0</v>
      </c>
      <c r="V233" s="44" t="b">
        <f>INDEX(itemPrepMethods, MATCH(K233, itemNames, 0))="chop"</f>
        <v>0</v>
      </c>
      <c r="W233" s="57" t="str">
        <f>IF(V233, Q233, "")</f>
        <v/>
      </c>
      <c r="X233" s="58" t="str">
        <f>IF(V233, IF(L233 = "", "", L233), "")</f>
        <v/>
      </c>
      <c r="Y233" s="58" t="str">
        <f>IF(V233, K233, "")</f>
        <v/>
      </c>
      <c r="Z233" s="59"/>
      <c r="AA233" s="44" t="b">
        <f>INDEX(itemPrepMethods, MATCH(K233, itemNames, 0))="soak"</f>
        <v>0</v>
      </c>
      <c r="AB233" s="58" t="str">
        <f>IF(AA233, Q233, "")</f>
        <v/>
      </c>
      <c r="AC233" s="58" t="str">
        <f>IF(AA233, IF(L233 = "", "", L233), "")</f>
        <v/>
      </c>
      <c r="AD233" s="58" t="str">
        <f>IF(AA233, K233, "")</f>
        <v/>
      </c>
    </row>
    <row r="234" spans="1:30" x14ac:dyDescent="0.25">
      <c r="A234" s="40" t="s">
        <v>21</v>
      </c>
      <c r="B234" s="52">
        <f t="shared" si="210"/>
        <v>0.25</v>
      </c>
      <c r="C234" s="39" t="str">
        <f>IF(L234="","",L234)</f>
        <v>cup</v>
      </c>
      <c r="D234" s="40" t="str">
        <f>_xlfn.CONCAT(K234, U234)</f>
        <v>soy sauce</v>
      </c>
      <c r="I234" s="54">
        <v>0.5</v>
      </c>
      <c r="J234" s="55" t="s">
        <v>16</v>
      </c>
      <c r="K234" s="55" t="s">
        <v>119</v>
      </c>
      <c r="L234" s="56" t="s">
        <v>16</v>
      </c>
      <c r="M234" s="47">
        <f>INDEX(itemGPerQty, MATCH(K234, itemNames, 0))</f>
        <v>0</v>
      </c>
      <c r="N234" s="47">
        <f>INDEX(itemMlPerQty, MATCH(K234, itemNames, 0))</f>
        <v>0</v>
      </c>
      <c r="O234" s="47">
        <f t="shared" si="211"/>
        <v>0</v>
      </c>
      <c r="P234" s="47">
        <f t="shared" si="212"/>
        <v>0.11829411825</v>
      </c>
      <c r="Q234" s="47">
        <f>MROUND(IF(AND(J234 = "", L234 = ""), I234 * recipe06DayScale, IF(ISNA(CONVERT(O234, "kg", L234)), CONVERT(P234 * recipe06DayScale, "l", L234), CONVERT(O234 * recipe06DayScale, "kg", L234))), roundTo)</f>
        <v>0.25</v>
      </c>
      <c r="R234" s="47">
        <f>recipe06TotScale * IF(L234 = "", Q234 * M234, IF(ISNA(CONVERT(Q234, L234, "kg")), CONVERT(Q234, L234, "l") * IF(N234 &lt;&gt; 0, M234 / N234, 0), CONVERT(Q234, L234, "kg")))</f>
        <v>0</v>
      </c>
      <c r="S234" s="47">
        <f>recipe06TotScale * IF(R234 = 0, IF(L234 = "", Q234 * N234, IF(ISNA(CONVERT(Q234, L234, "l")), CONVERT(Q234, L234, "kg") * IF(M234 &lt;&gt; 0, N234 / M234, 0), CONVERT(Q234, L234, "l"))), 0)</f>
        <v>5.9147059124999998E-2</v>
      </c>
      <c r="T234" s="47">
        <f>recipe06TotScale * IF(AND(R234 = 0, S234 = 0, J234 = "", L234 = ""), Q234, 0)</f>
        <v>0</v>
      </c>
      <c r="V234" s="44" t="b">
        <f>INDEX(itemPrepMethods, MATCH(K234, itemNames, 0))="chop"</f>
        <v>0</v>
      </c>
      <c r="W234" s="57" t="str">
        <f>IF(V234, Q234, "")</f>
        <v/>
      </c>
      <c r="X234" s="58" t="str">
        <f>IF(V234, IF(L234 = "", "", L234), "")</f>
        <v/>
      </c>
      <c r="Y234" s="58" t="str">
        <f>IF(V234, K234, "")</f>
        <v/>
      </c>
      <c r="Z234" s="59"/>
      <c r="AA234" s="44" t="b">
        <f>INDEX(itemPrepMethods, MATCH(K234, itemNames, 0))="soak"</f>
        <v>0</v>
      </c>
      <c r="AB234" s="58" t="str">
        <f>IF(AA234, Q234, "")</f>
        <v/>
      </c>
      <c r="AC234" s="58" t="str">
        <f>IF(AA234, IF(L234 = "", "", L234), "")</f>
        <v/>
      </c>
      <c r="AD234" s="58" t="str">
        <f>IF(AA234, K234, "")</f>
        <v/>
      </c>
    </row>
    <row r="235" spans="1:30" x14ac:dyDescent="0.25">
      <c r="A235" s="107"/>
      <c r="B235" s="107"/>
      <c r="C235" s="107"/>
      <c r="D235" s="107"/>
      <c r="I235" s="47"/>
      <c r="W235" s="74"/>
      <c r="X235" s="74"/>
      <c r="Y235" s="74"/>
      <c r="Z235" s="74"/>
      <c r="AA235" s="67"/>
      <c r="AB235" s="74"/>
      <c r="AC235" s="74"/>
      <c r="AD235" s="74"/>
    </row>
    <row r="236" spans="1:30" x14ac:dyDescent="0.25">
      <c r="A236" s="107" t="s">
        <v>125</v>
      </c>
      <c r="B236" s="107"/>
      <c r="C236" s="107"/>
      <c r="D236" s="107"/>
      <c r="I236" s="47"/>
      <c r="W236" s="74"/>
      <c r="X236" s="74"/>
      <c r="Y236" s="74"/>
      <c r="Z236" s="74"/>
      <c r="AA236" s="67"/>
      <c r="AB236" s="74"/>
      <c r="AC236" s="74"/>
      <c r="AD236" s="74"/>
    </row>
    <row r="237" spans="1:30" ht="36" x14ac:dyDescent="0.25">
      <c r="A237" s="40" t="s">
        <v>21</v>
      </c>
      <c r="B237" s="52">
        <f>Q237</f>
        <v>2.25</v>
      </c>
      <c r="C237" s="39" t="str">
        <f>IF(L237="","",L237)</f>
        <v/>
      </c>
      <c r="D237" s="40" t="str">
        <f>_xlfn.CONCAT(K237, U237)</f>
        <v>blocks tofu, cut into cubes</v>
      </c>
      <c r="I237" s="54">
        <v>3</v>
      </c>
      <c r="J237" s="55"/>
      <c r="K237" s="55" t="s">
        <v>270</v>
      </c>
      <c r="L237" s="56"/>
      <c r="M237" s="47">
        <f>INDEX(itemGPerQty, MATCH(K237, itemNames, 0))</f>
        <v>0</v>
      </c>
      <c r="N237" s="47">
        <f>INDEX(itemMlPerQty, MATCH(K237, itemNames, 0))</f>
        <v>0</v>
      </c>
      <c r="O237" s="47">
        <f>IF(J237 = "", I237 * M237, IF(ISNA(CONVERT(I237, J237, "kg")), CONVERT(I237, J237, "l") * IF(N237 &lt;&gt; 0, M237 / N237, 0), CONVERT(I237, J237, "kg")))</f>
        <v>0</v>
      </c>
      <c r="P237" s="47">
        <f>IF(J237 = "", I237 * N237, IF(ISNA(CONVERT(I237, J237, "l")), CONVERT(I237, J237, "kg") * IF(M237 &lt;&gt; 0, N237 / M237, 0), CONVERT(I237, J237, "l")))</f>
        <v>0</v>
      </c>
      <c r="Q237" s="47">
        <f>MROUND(IF(AND(J237 = "", L237 = ""), I237 * recipe06DayScale, IF(ISNA(CONVERT(O237, "kg", L237)), CONVERT(P237 * recipe06DayScale, "l", L237), CONVERT(O237 * recipe06DayScale, "kg", L237))), roundTo)</f>
        <v>2.25</v>
      </c>
      <c r="R237" s="47">
        <f>recipe06TotScale * IF(L237 = "", Q237 * M237, IF(ISNA(CONVERT(Q237, L237, "kg")), CONVERT(Q237, L237, "l") * IF(N237 &lt;&gt; 0, M237 / N237, 0), CONVERT(Q237, L237, "kg")))</f>
        <v>0</v>
      </c>
      <c r="S237" s="47">
        <f>recipe06TotScale * IF(R237 = 0, IF(L237 = "", Q237 * N237, IF(ISNA(CONVERT(Q237, L237, "l")), CONVERT(Q237, L237, "kg") * IF(M237 &lt;&gt; 0, N237 / M237, 0), CONVERT(Q237, L237, "l"))), 0)</f>
        <v>0</v>
      </c>
      <c r="T237" s="47">
        <f>recipe06TotScale * IF(AND(R237 = 0, S237 = 0, J237 = "", L237 = ""), Q237, 0)</f>
        <v>2.25</v>
      </c>
      <c r="V237" s="44" t="b">
        <f>INDEX(itemPrepMethods, MATCH(K237, itemNames, 0))="chop"</f>
        <v>1</v>
      </c>
      <c r="W237" s="57">
        <f>IF(V237, Q237, "")</f>
        <v>2.25</v>
      </c>
      <c r="X237" s="58" t="str">
        <f>IF(V237, IF(L237 = "", "", L237), "")</f>
        <v/>
      </c>
      <c r="Y237" s="58" t="str">
        <f>IF(V237, K237, "")</f>
        <v>blocks tofu, cut into cubes</v>
      </c>
      <c r="Z237" s="59" t="s">
        <v>272</v>
      </c>
      <c r="AA237" s="44" t="b">
        <f>INDEX(itemPrepMethods, MATCH(K237, itemNames, 0))="soak"</f>
        <v>0</v>
      </c>
      <c r="AB237" s="58" t="str">
        <f>IF(AA237, Q237, "")</f>
        <v/>
      </c>
      <c r="AC237" s="58" t="str">
        <f>IF(AA237, IF(L237 = "", "", L237), "")</f>
        <v/>
      </c>
      <c r="AD237" s="58" t="str">
        <f>IF(AA237, K237, "")</f>
        <v/>
      </c>
    </row>
    <row r="238" spans="1:30" x14ac:dyDescent="0.25">
      <c r="A238" s="107"/>
      <c r="B238" s="107"/>
      <c r="C238" s="107"/>
      <c r="D238" s="107"/>
      <c r="I238" s="47"/>
      <c r="W238" s="74"/>
      <c r="X238" s="74"/>
      <c r="Y238" s="74"/>
      <c r="Z238" s="74"/>
      <c r="AA238" s="67"/>
      <c r="AB238" s="74"/>
      <c r="AC238" s="74"/>
      <c r="AD238" s="74"/>
    </row>
    <row r="239" spans="1:30" x14ac:dyDescent="0.25">
      <c r="A239" s="107" t="s">
        <v>126</v>
      </c>
      <c r="B239" s="107"/>
      <c r="C239" s="107"/>
      <c r="D239" s="107"/>
      <c r="I239" s="47"/>
      <c r="W239" s="74"/>
      <c r="X239" s="74"/>
      <c r="Y239" s="74"/>
      <c r="Z239" s="74"/>
      <c r="AA239" s="67"/>
      <c r="AB239" s="74"/>
      <c r="AC239" s="74"/>
      <c r="AD239" s="74"/>
    </row>
    <row r="240" spans="1:30" x14ac:dyDescent="0.25">
      <c r="A240" s="40" t="s">
        <v>21</v>
      </c>
      <c r="B240" s="52">
        <f>Q240</f>
        <v>3.5</v>
      </c>
      <c r="C240" s="39" t="str">
        <f>IF(L240="","",L240)</f>
        <v/>
      </c>
      <c r="D240" s="40" t="str">
        <f>_xlfn.CONCAT(K240, U240)</f>
        <v>garlic cloves. Remove from oil once cooked</v>
      </c>
      <c r="I240" s="54">
        <v>5</v>
      </c>
      <c r="J240" s="55"/>
      <c r="K240" s="55" t="s">
        <v>8</v>
      </c>
      <c r="L240" s="56"/>
      <c r="M240" s="47">
        <f>INDEX(itemGPerQty, MATCH(K240, itemNames, 0))</f>
        <v>0</v>
      </c>
      <c r="N240" s="47">
        <f>INDEX(itemMlPerQty, MATCH(K240, itemNames, 0))</f>
        <v>0</v>
      </c>
      <c r="O240" s="47">
        <f>IF(J240 = "", I240 * M240, IF(ISNA(CONVERT(I240, J240, "kg")), CONVERT(I240, J240, "l") * IF(N240 &lt;&gt; 0, M240 / N240, 0), CONVERT(I240, J240, "kg")))</f>
        <v>0</v>
      </c>
      <c r="P240" s="47">
        <f>IF(J240 = "", I240 * N240, IF(ISNA(CONVERT(I240, J240, "l")), CONVERT(I240, J240, "kg") * IF(M240 &lt;&gt; 0, N240 / M240, 0), CONVERT(I240, J240, "l")))</f>
        <v>0</v>
      </c>
      <c r="Q240" s="47">
        <f>MROUND(IF(AND(J240 = "", L240 = ""), I240 * recipe06DayScale, IF(ISNA(CONVERT(O240, "kg", L240)), CONVERT(P240 * recipe06DayScale, "l", L240), CONVERT(O240 * recipe06DayScale, "kg", L240))), roundTo)</f>
        <v>3.5</v>
      </c>
      <c r="R240" s="47">
        <f>recipe06TotScale * IF(L240 = "", Q240 * M240, IF(ISNA(CONVERT(Q240, L240, "kg")), CONVERT(Q240, L240, "l") * IF(N240 &lt;&gt; 0, M240 / N240, 0), CONVERT(Q240, L240, "kg")))</f>
        <v>0</v>
      </c>
      <c r="S240" s="47">
        <f>recipe06TotScale * IF(R240 = 0, IF(L240 = "", Q240 * N240, IF(ISNA(CONVERT(Q240, L240, "l")), CONVERT(Q240, L240, "kg") * IF(M240 &lt;&gt; 0, N240 / M240, 0), CONVERT(Q240, L240, "l"))), 0)</f>
        <v>0</v>
      </c>
      <c r="T240" s="47">
        <f>recipe06TotScale * IF(AND(R240 = 0, S240 = 0, J240 = "", L240 = ""), Q240, 0)</f>
        <v>3.5</v>
      </c>
      <c r="U240" s="44" t="s">
        <v>243</v>
      </c>
      <c r="V240" s="44" t="b">
        <f>INDEX(itemPrepMethods, MATCH(K240, itemNames, 0))="chop"</f>
        <v>0</v>
      </c>
      <c r="W240" s="57" t="str">
        <f>IF(V240, Q240, "")</f>
        <v/>
      </c>
      <c r="X240" s="58" t="str">
        <f>IF(V240, IF(L240 = "", "", L240), "")</f>
        <v/>
      </c>
      <c r="Y240" s="58" t="str">
        <f>IF(V240, K240, "")</f>
        <v/>
      </c>
      <c r="Z240" s="59"/>
      <c r="AA240" s="44" t="b">
        <f>INDEX(itemPrepMethods, MATCH(K240, itemNames, 0))="soak"</f>
        <v>0</v>
      </c>
      <c r="AB240" s="58" t="str">
        <f>IF(AA240, Q240, "")</f>
        <v/>
      </c>
      <c r="AC240" s="58" t="str">
        <f>IF(AA240, IF(L240 = "", "", L240), "")</f>
        <v/>
      </c>
      <c r="AD240" s="58" t="str">
        <f>IF(AA240, K240, "")</f>
        <v/>
      </c>
    </row>
    <row r="241" spans="1:30" x14ac:dyDescent="0.25">
      <c r="A241" s="40" t="s">
        <v>21</v>
      </c>
      <c r="B241" s="52">
        <f t="shared" ref="B241:B242" si="213">Q241</f>
        <v>2</v>
      </c>
      <c r="C241" s="39" t="str">
        <f>IF(L241="","",L241)</f>
        <v/>
      </c>
      <c r="D241" s="40" t="str">
        <f>_xlfn.CONCAT(K241, U241)</f>
        <v>chopped onions</v>
      </c>
      <c r="I241" s="54">
        <v>2.75</v>
      </c>
      <c r="J241" s="55"/>
      <c r="K241" s="55" t="s">
        <v>6</v>
      </c>
      <c r="L241" s="56"/>
      <c r="M241" s="47">
        <f>INDEX(itemGPerQty, MATCH(K241, itemNames, 0))</f>
        <v>0.185</v>
      </c>
      <c r="N241" s="47">
        <f>INDEX(itemMlPerQty, MATCH(K241, itemNames, 0))</f>
        <v>0.3</v>
      </c>
      <c r="O241" s="47">
        <f t="shared" ref="O241:O242" si="214">IF(J241 = "", I241 * M241, IF(ISNA(CONVERT(I241, J241, "kg")), CONVERT(I241, J241, "l") * IF(N241 &lt;&gt; 0, M241 / N241, 0), CONVERT(I241, J241, "kg")))</f>
        <v>0.50875000000000004</v>
      </c>
      <c r="P241" s="47">
        <f t="shared" ref="P241:P242" si="215">IF(J241 = "", I241 * N241, IF(ISNA(CONVERT(I241, J241, "l")), CONVERT(I241, J241, "kg") * IF(M241 &lt;&gt; 0, N241 / M241, 0), CONVERT(I241, J241, "l")))</f>
        <v>0.82499999999999996</v>
      </c>
      <c r="Q241" s="47">
        <f>MROUND(IF(AND(J241 = "", L241 = ""), I241 * recipe06DayScale, IF(ISNA(CONVERT(O241, "kg", L241)), CONVERT(P241 * recipe06DayScale, "l", L241), CONVERT(O241 * recipe06DayScale, "kg", L241))), roundTo)</f>
        <v>2</v>
      </c>
      <c r="R241" s="47">
        <f>recipe06TotScale * IF(L241 = "", Q241 * M241, IF(ISNA(CONVERT(Q241, L241, "kg")), CONVERT(Q241, L241, "l") * IF(N241 &lt;&gt; 0, M241 / N241, 0), CONVERT(Q241, L241, "kg")))</f>
        <v>0.37</v>
      </c>
      <c r="S241" s="47">
        <f>recipe06TotScale * IF(R241 = 0, IF(L241 = "", Q241 * N241, IF(ISNA(CONVERT(Q241, L241, "l")), CONVERT(Q241, L241, "kg") * IF(M241 &lt;&gt; 0, N241 / M241, 0), CONVERT(Q241, L241, "l"))), 0)</f>
        <v>0</v>
      </c>
      <c r="T241" s="47">
        <f>recipe06TotScale * IF(AND(R241 = 0, S241 = 0, J241 = "", L241 = ""), Q241, 0)</f>
        <v>0</v>
      </c>
      <c r="V241" s="44" t="b">
        <f>INDEX(itemPrepMethods, MATCH(K241, itemNames, 0))="chop"</f>
        <v>1</v>
      </c>
      <c r="W241" s="57">
        <f>IF(V241, Q241, "")</f>
        <v>2</v>
      </c>
      <c r="X241" s="58" t="str">
        <f>IF(V241, IF(L241 = "", "", L241), "")</f>
        <v/>
      </c>
      <c r="Y241" s="58" t="str">
        <f>IF(V241, K241, "")</f>
        <v>chopped onions</v>
      </c>
      <c r="Z241" s="59"/>
      <c r="AA241" s="44" t="b">
        <f>INDEX(itemPrepMethods, MATCH(K241, itemNames, 0))="soak"</f>
        <v>0</v>
      </c>
      <c r="AB241" s="58" t="str">
        <f>IF(AA241, Q241, "")</f>
        <v/>
      </c>
      <c r="AC241" s="58" t="str">
        <f>IF(AA241, IF(L241 = "", "", L241), "")</f>
        <v/>
      </c>
      <c r="AD241" s="58" t="str">
        <f>IF(AA241, K241, "")</f>
        <v/>
      </c>
    </row>
    <row r="242" spans="1:30" x14ac:dyDescent="0.25">
      <c r="A242" s="40" t="s">
        <v>21</v>
      </c>
      <c r="B242" s="52">
        <f t="shared" si="213"/>
        <v>0.25</v>
      </c>
      <c r="C242" s="39" t="str">
        <f>IF(L242="","",L242)</f>
        <v>cup</v>
      </c>
      <c r="D242" s="40" t="str">
        <f>_xlfn.CONCAT(K242, U242)</f>
        <v>minced fresh ginger</v>
      </c>
      <c r="I242" s="54">
        <v>0.5</v>
      </c>
      <c r="J242" s="55" t="s">
        <v>16</v>
      </c>
      <c r="K242" s="55" t="s">
        <v>231</v>
      </c>
      <c r="L242" s="56" t="s">
        <v>16</v>
      </c>
      <c r="M242" s="47">
        <f>INDEX(itemGPerQty, MATCH(K242, itemNames, 0))</f>
        <v>0</v>
      </c>
      <c r="N242" s="47">
        <f>INDEX(itemMlPerQty, MATCH(K242, itemNames, 0))</f>
        <v>0</v>
      </c>
      <c r="O242" s="47">
        <f t="shared" si="214"/>
        <v>0</v>
      </c>
      <c r="P242" s="47">
        <f t="shared" si="215"/>
        <v>0.11829411825</v>
      </c>
      <c r="Q242" s="47">
        <f>MROUND(IF(AND(J242 = "", L242 = ""), I242 * recipe06DayScale, IF(ISNA(CONVERT(O242, "kg", L242)), CONVERT(P242 * recipe06DayScale, "l", L242), CONVERT(O242 * recipe06DayScale, "kg", L242))), roundTo)</f>
        <v>0.25</v>
      </c>
      <c r="R242" s="47">
        <f>recipe06TotScale * IF(L242 = "", Q242 * M242, IF(ISNA(CONVERT(Q242, L242, "kg")), CONVERT(Q242, L242, "l") * IF(N242 &lt;&gt; 0, M242 / N242, 0), CONVERT(Q242, L242, "kg")))</f>
        <v>0</v>
      </c>
      <c r="S242" s="47">
        <f>recipe06TotScale * IF(R242 = 0, IF(L242 = "", Q242 * N242, IF(ISNA(CONVERT(Q242, L242, "l")), CONVERT(Q242, L242, "kg") * IF(M242 &lt;&gt; 0, N242 / M242, 0), CONVERT(Q242, L242, "l"))), 0)</f>
        <v>5.9147059124999998E-2</v>
      </c>
      <c r="T242" s="47">
        <f>recipe06TotScale * IF(AND(R242 = 0, S242 = 0, J242 = "", L242 = ""), Q242, 0)</f>
        <v>0</v>
      </c>
      <c r="V242" s="44" t="b">
        <f>INDEX(itemPrepMethods, MATCH(K242, itemNames, 0))="chop"</f>
        <v>1</v>
      </c>
      <c r="W242" s="57">
        <f>IF(V242, Q242, "")</f>
        <v>0.25</v>
      </c>
      <c r="X242" s="58" t="str">
        <f>IF(V242, IF(L242 = "", "", L242), "")</f>
        <v>cup</v>
      </c>
      <c r="Y242" s="58" t="str">
        <f>IF(V242, K242, "")</f>
        <v>minced fresh ginger</v>
      </c>
      <c r="Z242" s="59"/>
      <c r="AA242" s="44" t="b">
        <f>INDEX(itemPrepMethods, MATCH(K242, itemNames, 0))="soak"</f>
        <v>0</v>
      </c>
      <c r="AB242" s="58" t="str">
        <f>IF(AA242, Q242, "")</f>
        <v/>
      </c>
      <c r="AC242" s="58" t="str">
        <f>IF(AA242, IF(L242 = "", "", L242), "")</f>
        <v/>
      </c>
      <c r="AD242" s="58" t="str">
        <f>IF(AA242, K242, "")</f>
        <v/>
      </c>
    </row>
    <row r="243" spans="1:30" x14ac:dyDescent="0.25">
      <c r="A243" s="107"/>
      <c r="B243" s="107"/>
      <c r="C243" s="107"/>
      <c r="D243" s="107"/>
      <c r="I243" s="47"/>
      <c r="W243" s="74"/>
      <c r="X243" s="74"/>
      <c r="Y243" s="74"/>
      <c r="Z243" s="74"/>
      <c r="AA243" s="67"/>
      <c r="AB243" s="74"/>
      <c r="AC243" s="74"/>
      <c r="AD243" s="74"/>
    </row>
    <row r="244" spans="1:30" x14ac:dyDescent="0.25">
      <c r="A244" s="107" t="s">
        <v>127</v>
      </c>
      <c r="B244" s="107"/>
      <c r="C244" s="107"/>
      <c r="D244" s="107"/>
      <c r="I244" s="47"/>
      <c r="W244" s="74"/>
      <c r="X244" s="74"/>
      <c r="Y244" s="74"/>
      <c r="Z244" s="74"/>
      <c r="AA244" s="67"/>
      <c r="AB244" s="74"/>
      <c r="AC244" s="74"/>
      <c r="AD244" s="74"/>
    </row>
    <row r="245" spans="1:30" x14ac:dyDescent="0.25">
      <c r="A245" s="40" t="s">
        <v>21</v>
      </c>
      <c r="B245" s="52">
        <f t="shared" ref="B245:B248" si="216">Q245</f>
        <v>2.25</v>
      </c>
      <c r="C245" s="39" t="str">
        <f>IF(L245="","",L245)</f>
        <v/>
      </c>
      <c r="D245" s="40" t="str">
        <f t="shared" ref="D245:D250" si="217">_xlfn.CONCAT(K245, U245)</f>
        <v>chopped broccoli</v>
      </c>
      <c r="I245" s="54">
        <v>3</v>
      </c>
      <c r="J245" s="55"/>
      <c r="K245" s="55" t="s">
        <v>120</v>
      </c>
      <c r="L245" s="56"/>
      <c r="M245" s="47">
        <f>INDEX(itemGPerQty, MATCH(K245, itemNames, 0))</f>
        <v>0.313</v>
      </c>
      <c r="N245" s="47">
        <f>INDEX(itemMlPerQty, MATCH(K245, itemNames, 0))</f>
        <v>0</v>
      </c>
      <c r="O245" s="47">
        <f t="shared" ref="O245:O248" si="218">IF(J245 = "", I245 * M245, IF(ISNA(CONVERT(I245, J245, "kg")), CONVERT(I245, J245, "l") * IF(N245 &lt;&gt; 0, M245 / N245, 0), CONVERT(I245, J245, "kg")))</f>
        <v>0.93900000000000006</v>
      </c>
      <c r="P245" s="47">
        <f t="shared" ref="P245:P248" si="219">IF(J245 = "", I245 * N245, IF(ISNA(CONVERT(I245, J245, "l")), CONVERT(I245, J245, "kg") * IF(M245 &lt;&gt; 0, N245 / M245, 0), CONVERT(I245, J245, "l")))</f>
        <v>0</v>
      </c>
      <c r="Q245" s="47">
        <f>MROUND(IF(AND(J245 = "", L245 = ""), I245 * recipe06DayScale, IF(ISNA(CONVERT(O245, "kg", L245)), CONVERT(P245 * recipe06DayScale, "l", L245), CONVERT(O245 * recipe06DayScale, "kg", L245))), roundTo)</f>
        <v>2.25</v>
      </c>
      <c r="R245" s="47">
        <f>recipe06TotScale * IF(L245 = "", Q245 * M245, IF(ISNA(CONVERT(Q245, L245, "kg")), CONVERT(Q245, L245, "l") * IF(N245 &lt;&gt; 0, M245 / N245, 0), CONVERT(Q245, L245, "kg")))</f>
        <v>0.70425000000000004</v>
      </c>
      <c r="S245" s="47">
        <f>recipe06TotScale * IF(R245 = 0, IF(L245 = "", Q245 * N245, IF(ISNA(CONVERT(Q245, L245, "l")), CONVERT(Q245, L245, "kg") * IF(M245 &lt;&gt; 0, N245 / M245, 0), CONVERT(Q245, L245, "l"))), 0)</f>
        <v>0</v>
      </c>
      <c r="T245" s="47">
        <f>recipe06TotScale * IF(AND(R245 = 0, S245 = 0, J245 = "", L245 = ""), Q245, 0)</f>
        <v>0</v>
      </c>
      <c r="V245" s="44" t="b">
        <f>INDEX(itemPrepMethods, MATCH(K245, itemNames, 0))="chop"</f>
        <v>1</v>
      </c>
      <c r="W245" s="57">
        <f>IF(V245, Q245, "")</f>
        <v>2.25</v>
      </c>
      <c r="X245" s="58" t="str">
        <f>IF(V245, IF(L245 = "", "", L245), "")</f>
        <v/>
      </c>
      <c r="Y245" s="58" t="str">
        <f>IF(V245, K245, "")</f>
        <v>chopped broccoli</v>
      </c>
      <c r="Z245" s="59"/>
      <c r="AA245" s="44" t="b">
        <f>INDEX(itemPrepMethods, MATCH(K245, itemNames, 0))="soak"</f>
        <v>0</v>
      </c>
      <c r="AB245" s="58" t="str">
        <f>IF(AA245, Q245, "")</f>
        <v/>
      </c>
      <c r="AC245" s="58" t="str">
        <f>IF(AA245, IF(L245 = "", "", L245), "")</f>
        <v/>
      </c>
      <c r="AD245" s="58" t="str">
        <f>IF(AA245, K245, "")</f>
        <v/>
      </c>
    </row>
    <row r="246" spans="1:30" x14ac:dyDescent="0.25">
      <c r="A246" s="40" t="s">
        <v>21</v>
      </c>
      <c r="B246" s="52">
        <f t="shared" si="216"/>
        <v>1.5</v>
      </c>
      <c r="C246" s="39" t="str">
        <f>IF(L246="","",L246)</f>
        <v/>
      </c>
      <c r="D246" s="40" t="str">
        <f t="shared" si="217"/>
        <v>chopped cauliflowers</v>
      </c>
      <c r="I246" s="54">
        <v>2</v>
      </c>
      <c r="J246" s="55"/>
      <c r="K246" s="55" t="s">
        <v>167</v>
      </c>
      <c r="L246" s="56"/>
      <c r="M246" s="47">
        <f>INDEX(itemGPerQty, MATCH(K246, itemNames, 0))</f>
        <v>0</v>
      </c>
      <c r="N246" s="47">
        <f>INDEX(itemMlPerQty, MATCH(K246, itemNames, 0))</f>
        <v>0</v>
      </c>
      <c r="O246" s="47">
        <f t="shared" si="218"/>
        <v>0</v>
      </c>
      <c r="P246" s="47">
        <f t="shared" si="219"/>
        <v>0</v>
      </c>
      <c r="Q246" s="47">
        <f>MROUND(IF(AND(J246 = "", L246 = ""), I246 * recipe06DayScale, IF(ISNA(CONVERT(O246, "kg", L246)), CONVERT(P246 * recipe06DayScale, "l", L246), CONVERT(O246 * recipe06DayScale, "kg", L246))), roundTo)</f>
        <v>1.5</v>
      </c>
      <c r="R246" s="47">
        <f>recipe06TotScale * IF(L246 = "", Q246 * M246, IF(ISNA(CONVERT(Q246, L246, "kg")), CONVERT(Q246, L246, "l") * IF(N246 &lt;&gt; 0, M246 / N246, 0), CONVERT(Q246, L246, "kg")))</f>
        <v>0</v>
      </c>
      <c r="S246" s="47">
        <f>recipe06TotScale * IF(R246 = 0, IF(L246 = "", Q246 * N246, IF(ISNA(CONVERT(Q246, L246, "l")), CONVERT(Q246, L246, "kg") * IF(M246 &lt;&gt; 0, N246 / M246, 0), CONVERT(Q246, L246, "l"))), 0)</f>
        <v>0</v>
      </c>
      <c r="T246" s="47">
        <f>recipe06TotScale * IF(AND(R246 = 0, S246 = 0, J246 = "", L246 = ""), Q246, 0)</f>
        <v>1.5</v>
      </c>
      <c r="V246" s="44" t="b">
        <f>INDEX(itemPrepMethods, MATCH(K246, itemNames, 0))="chop"</f>
        <v>1</v>
      </c>
      <c r="W246" s="57">
        <f>IF(V246, Q246, "")</f>
        <v>1.5</v>
      </c>
      <c r="X246" s="58" t="str">
        <f>IF(V246, IF(L246 = "", "", L246), "")</f>
        <v/>
      </c>
      <c r="Y246" s="58" t="str">
        <f>IF(V246, K246, "")</f>
        <v>chopped cauliflowers</v>
      </c>
      <c r="Z246" s="59"/>
      <c r="AA246" s="44" t="b">
        <f>INDEX(itemPrepMethods, MATCH(K246, itemNames, 0))="soak"</f>
        <v>0</v>
      </c>
      <c r="AB246" s="58" t="str">
        <f>IF(AA246, Q246, "")</f>
        <v/>
      </c>
      <c r="AC246" s="58" t="str">
        <f>IF(AA246, IF(L246 = "", "", L246), "")</f>
        <v/>
      </c>
      <c r="AD246" s="58" t="str">
        <f>IF(AA246, K246, "")</f>
        <v/>
      </c>
    </row>
    <row r="247" spans="1:30" x14ac:dyDescent="0.25">
      <c r="A247" s="40" t="s">
        <v>21</v>
      </c>
      <c r="B247" s="52">
        <f t="shared" si="216"/>
        <v>1</v>
      </c>
      <c r="C247" s="39" t="str">
        <f>IF(L247="","",L247)</f>
        <v>cup</v>
      </c>
      <c r="D247" s="40" t="str">
        <f t="shared" si="217"/>
        <v>peanuts</v>
      </c>
      <c r="I247" s="54">
        <v>1.5</v>
      </c>
      <c r="J247" s="55" t="s">
        <v>16</v>
      </c>
      <c r="K247" s="55" t="s">
        <v>121</v>
      </c>
      <c r="L247" s="56" t="s">
        <v>16</v>
      </c>
      <c r="M247" s="47">
        <f>INDEX(itemGPerQty, MATCH(K247, itemNames, 0))</f>
        <v>0</v>
      </c>
      <c r="N247" s="47">
        <f>INDEX(itemMlPerQty, MATCH(K247, itemNames, 0))</f>
        <v>0</v>
      </c>
      <c r="O247" s="47">
        <f t="shared" si="218"/>
        <v>0</v>
      </c>
      <c r="P247" s="47">
        <f t="shared" si="219"/>
        <v>0.35488235474999996</v>
      </c>
      <c r="Q247" s="47">
        <f>MROUND(IF(AND(J247 = "", L247 = ""), I247 * recipe06DayScale, IF(ISNA(CONVERT(O247, "kg", L247)), CONVERT(P247 * recipe06DayScale, "l", L247), CONVERT(O247 * recipe06DayScale, "kg", L247))), roundTo)</f>
        <v>1</v>
      </c>
      <c r="R247" s="47">
        <f>recipe06TotScale * IF(L247 = "", Q247 * M247, IF(ISNA(CONVERT(Q247, L247, "kg")), CONVERT(Q247, L247, "l") * IF(N247 &lt;&gt; 0, M247 / N247, 0), CONVERT(Q247, L247, "kg")))</f>
        <v>0</v>
      </c>
      <c r="S247" s="47">
        <f>recipe06TotScale * IF(R247 = 0, IF(L247 = "", Q247 * N247, IF(ISNA(CONVERT(Q247, L247, "l")), CONVERT(Q247, L247, "kg") * IF(M247 &lt;&gt; 0, N247 / M247, 0), CONVERT(Q247, L247, "l"))), 0)</f>
        <v>0.23658823649999999</v>
      </c>
      <c r="T247" s="47">
        <f>recipe06TotScale * IF(AND(R247 = 0, S247 = 0, J247 = "", L247 = ""), Q247, 0)</f>
        <v>0</v>
      </c>
      <c r="V247" s="44" t="b">
        <f>INDEX(itemPrepMethods, MATCH(K247, itemNames, 0))="chop"</f>
        <v>0</v>
      </c>
      <c r="W247" s="57" t="str">
        <f>IF(V247, Q247, "")</f>
        <v/>
      </c>
      <c r="X247" s="58" t="str">
        <f>IF(V247, IF(L247 = "", "", L247), "")</f>
        <v/>
      </c>
      <c r="Y247" s="58" t="str">
        <f>IF(V247, K247, "")</f>
        <v/>
      </c>
      <c r="Z247" s="59"/>
      <c r="AA247" s="44" t="b">
        <f>INDEX(itemPrepMethods, MATCH(K247, itemNames, 0))="soak"</f>
        <v>0</v>
      </c>
      <c r="AB247" s="58" t="str">
        <f>IF(AA247, Q247, "")</f>
        <v/>
      </c>
      <c r="AC247" s="58" t="str">
        <f>IF(AA247, IF(L247 = "", "", L247), "")</f>
        <v/>
      </c>
      <c r="AD247" s="58" t="str">
        <f>IF(AA247, K247, "")</f>
        <v/>
      </c>
    </row>
    <row r="248" spans="1:30" x14ac:dyDescent="0.25">
      <c r="A248" s="40" t="s">
        <v>21</v>
      </c>
      <c r="B248" s="52">
        <f t="shared" si="216"/>
        <v>2.25</v>
      </c>
      <c r="C248" s="39" t="str">
        <f>IF(L248="","",L248)</f>
        <v>cup</v>
      </c>
      <c r="D248" s="40" t="str">
        <f t="shared" si="217"/>
        <v>tins coconut milk</v>
      </c>
      <c r="I248" s="54">
        <v>3</v>
      </c>
      <c r="J248" s="55" t="s">
        <v>16</v>
      </c>
      <c r="K248" s="55" t="s">
        <v>122</v>
      </c>
      <c r="L248" s="56" t="s">
        <v>16</v>
      </c>
      <c r="M248" s="47">
        <f>INDEX(itemGPerQty, MATCH(K248, itemNames, 0))</f>
        <v>0</v>
      </c>
      <c r="N248" s="47">
        <f>INDEX(itemMlPerQty, MATCH(K248, itemNames, 0))</f>
        <v>0</v>
      </c>
      <c r="O248" s="47">
        <f t="shared" si="218"/>
        <v>0</v>
      </c>
      <c r="P248" s="47">
        <f t="shared" si="219"/>
        <v>0.70976470949999992</v>
      </c>
      <c r="Q248" s="47">
        <f>MROUND(IF(AND(J248 = "", L248 = ""), I248 * recipe06DayScale, IF(ISNA(CONVERT(O248, "kg", L248)), CONVERT(P248 * recipe06DayScale, "l", L248), CONVERT(O248 * recipe06DayScale, "kg", L248))), roundTo)</f>
        <v>2.25</v>
      </c>
      <c r="R248" s="47">
        <f>recipe06TotScale * IF(L248 = "", Q248 * M248, IF(ISNA(CONVERT(Q248, L248, "kg")), CONVERT(Q248, L248, "l") * IF(N248 &lt;&gt; 0, M248 / N248, 0), CONVERT(Q248, L248, "kg")))</f>
        <v>0</v>
      </c>
      <c r="S248" s="47">
        <f>recipe06TotScale * IF(R248 = 0, IF(L248 = "", Q248 * N248, IF(ISNA(CONVERT(Q248, L248, "l")), CONVERT(Q248, L248, "kg") * IF(M248 &lt;&gt; 0, N248 / M248, 0), CONVERT(Q248, L248, "l"))), 0)</f>
        <v>0.53232353212499994</v>
      </c>
      <c r="T248" s="47">
        <f>recipe06TotScale * IF(AND(R248 = 0, S248 = 0, J248 = "", L248 = ""), Q248, 0)</f>
        <v>0</v>
      </c>
      <c r="V248" s="44" t="b">
        <f>INDEX(itemPrepMethods, MATCH(K248, itemNames, 0))="chop"</f>
        <v>0</v>
      </c>
      <c r="W248" s="57" t="str">
        <f>IF(V248, Q248, "")</f>
        <v/>
      </c>
      <c r="X248" s="58" t="str">
        <f>IF(V248, IF(L248 = "", "", L248), "")</f>
        <v/>
      </c>
      <c r="Y248" s="58" t="str">
        <f>IF(V248, K248, "")</f>
        <v/>
      </c>
      <c r="Z248" s="59"/>
      <c r="AA248" s="44" t="b">
        <f>INDEX(itemPrepMethods, MATCH(K248, itemNames, 0))="soak"</f>
        <v>0</v>
      </c>
      <c r="AB248" s="58" t="str">
        <f>IF(AA248, Q248, "")</f>
        <v/>
      </c>
      <c r="AC248" s="58" t="str">
        <f>IF(AA248, IF(L248 = "", "", L248), "")</f>
        <v/>
      </c>
      <c r="AD248" s="58" t="str">
        <f>IF(AA248, K248, "")</f>
        <v/>
      </c>
    </row>
    <row r="249" spans="1:30" x14ac:dyDescent="0.25">
      <c r="A249" s="40" t="s">
        <v>21</v>
      </c>
      <c r="D249" s="40" t="str">
        <f t="shared" si="217"/>
        <v>grilled tofu</v>
      </c>
      <c r="I249" s="47"/>
      <c r="U249" s="44" t="s">
        <v>128</v>
      </c>
    </row>
    <row r="250" spans="1:30" x14ac:dyDescent="0.25">
      <c r="A250" s="40" t="s">
        <v>21</v>
      </c>
      <c r="D250" s="40" t="str">
        <f t="shared" si="217"/>
        <v>peanut sauce</v>
      </c>
      <c r="I250" s="47"/>
      <c r="U250" s="44" t="s">
        <v>129</v>
      </c>
    </row>
    <row r="251" spans="1:30" ht="15.75" x14ac:dyDescent="0.25">
      <c r="A251" s="108" t="s">
        <v>32</v>
      </c>
      <c r="B251" s="108"/>
      <c r="C251" s="108"/>
      <c r="D251" s="108"/>
      <c r="E251" s="43" t="s">
        <v>138</v>
      </c>
      <c r="F251" s="104" t="s">
        <v>81</v>
      </c>
      <c r="G251" s="104"/>
      <c r="H251" s="47"/>
    </row>
    <row r="252" spans="1:30" ht="24" x14ac:dyDescent="0.2">
      <c r="A252" s="108" t="s">
        <v>40</v>
      </c>
      <c r="B252" s="108"/>
      <c r="C252" s="108"/>
      <c r="D252" s="108"/>
      <c r="E252" s="42" t="s">
        <v>56</v>
      </c>
      <c r="F252" s="90">
        <v>15</v>
      </c>
      <c r="G252" s="47"/>
      <c r="H252" s="47"/>
      <c r="I252" s="70" t="s">
        <v>448</v>
      </c>
      <c r="J252" s="71" t="s">
        <v>449</v>
      </c>
      <c r="K252" s="71" t="s">
        <v>17</v>
      </c>
      <c r="L252" s="72" t="s">
        <v>452</v>
      </c>
      <c r="M252" s="70" t="s">
        <v>148</v>
      </c>
      <c r="N252" s="70" t="s">
        <v>149</v>
      </c>
      <c r="O252" s="70" t="s">
        <v>450</v>
      </c>
      <c r="P252" s="70" t="s">
        <v>451</v>
      </c>
      <c r="Q252" s="71" t="s">
        <v>364</v>
      </c>
      <c r="R252" s="70" t="s">
        <v>365</v>
      </c>
      <c r="S252" s="70" t="s">
        <v>366</v>
      </c>
      <c r="T252" s="70" t="s">
        <v>367</v>
      </c>
      <c r="U252" s="71" t="s">
        <v>22</v>
      </c>
      <c r="V252" s="71" t="s">
        <v>212</v>
      </c>
      <c r="W252" s="73" t="s">
        <v>364</v>
      </c>
      <c r="X252" s="71" t="s">
        <v>210</v>
      </c>
      <c r="Y252" s="71" t="s">
        <v>211</v>
      </c>
      <c r="Z252" s="71" t="s">
        <v>313</v>
      </c>
      <c r="AA252" s="71" t="s">
        <v>213</v>
      </c>
      <c r="AB252" s="73" t="s">
        <v>364</v>
      </c>
      <c r="AC252" s="71" t="s">
        <v>214</v>
      </c>
      <c r="AD252" s="71" t="s">
        <v>215</v>
      </c>
    </row>
    <row r="253" spans="1:30" ht="15.75" thickBot="1" x14ac:dyDescent="0.3">
      <c r="A253" s="107"/>
      <c r="B253" s="107"/>
      <c r="C253" s="107"/>
      <c r="D253" s="107"/>
      <c r="E253" s="66" t="s">
        <v>359</v>
      </c>
      <c r="F253" s="90">
        <f>tuDiCount</f>
        <v>10</v>
      </c>
      <c r="G253" s="47"/>
      <c r="H253" s="53"/>
    </row>
    <row r="254" spans="1:30" ht="15.75" thickBot="1" x14ac:dyDescent="0.3">
      <c r="A254" s="107" t="s">
        <v>274</v>
      </c>
      <c r="B254" s="107"/>
      <c r="C254" s="107"/>
      <c r="D254" s="107"/>
      <c r="E254" s="66" t="s">
        <v>362</v>
      </c>
      <c r="F254" s="50">
        <f>F253/F252</f>
        <v>0.66666666666666663</v>
      </c>
      <c r="G254" s="51" t="s">
        <v>384</v>
      </c>
      <c r="I254" s="47"/>
      <c r="W254" s="57"/>
      <c r="X254" s="58"/>
      <c r="Y254" s="58"/>
      <c r="Z254" s="59"/>
      <c r="AB254" s="58"/>
      <c r="AC254" s="58"/>
      <c r="AD254" s="58"/>
    </row>
    <row r="255" spans="1:30" x14ac:dyDescent="0.25">
      <c r="A255" s="40" t="s">
        <v>21</v>
      </c>
      <c r="B255" s="52">
        <f t="shared" ref="B255:B272" si="220">Q255</f>
        <v>3.25</v>
      </c>
      <c r="C255" s="39" t="str">
        <f t="shared" ref="C255:C272" si="221">IF(L255="","",L255)</f>
        <v>tbs</v>
      </c>
      <c r="D255" s="40" t="str">
        <f>_xlfn.CONCAT(K255, U255)</f>
        <v>minced fresh ginger</v>
      </c>
      <c r="E255" s="67"/>
      <c r="F255" s="67"/>
      <c r="G255" s="67"/>
      <c r="I255" s="54">
        <v>5</v>
      </c>
      <c r="J255" s="55" t="s">
        <v>15</v>
      </c>
      <c r="K255" s="55" t="s">
        <v>231</v>
      </c>
      <c r="L255" s="56" t="s">
        <v>15</v>
      </c>
      <c r="M255" s="47">
        <f t="shared" ref="M255:M272" si="222">INDEX(itemGPerQty, MATCH(K255, itemNames, 0))</f>
        <v>0</v>
      </c>
      <c r="N255" s="47">
        <f t="shared" ref="N255:N272" si="223">INDEX(itemMlPerQty, MATCH(K255, itemNames, 0))</f>
        <v>0</v>
      </c>
      <c r="O255" s="47">
        <f t="shared" ref="O255:O272" si="224">IF(J255 = "", I255 * M255, IF(ISNA(CONVERT(I255, J255, "kg")), CONVERT(I255, J255, "l") * IF(N255 &lt;&gt; 0, M255 / N255, 0), CONVERT(I255, J255, "kg")))</f>
        <v>0</v>
      </c>
      <c r="P255" s="47">
        <f t="shared" ref="P255:P272" si="225">IF(J255 = "", I255 * N255, IF(ISNA(CONVERT(I255, J255, "l")), CONVERT(I255, J255, "kg") * IF(M255 &lt;&gt; 0, N255 / M255, 0), CONVERT(I255, J255, "l")))</f>
        <v>7.3933823906250001E-2</v>
      </c>
      <c r="Q255" s="47">
        <f>MROUND(IF(AND(J255 = "", L255 = ""), I255 * recipe07DayScale, IF(ISNA(CONVERT(O255, "kg", L255)), CONVERT(P255 * recipe07DayScale, "l", L255), CONVERT(O255 * recipe07DayScale, "kg", L255))), roundTo)</f>
        <v>3.25</v>
      </c>
      <c r="R255" s="47">
        <f>recipe07TotScale * IF(L255 = "", Q255 * M255, IF(ISNA(CONVERT(Q255, L255, "kg")), CONVERT(Q255, L255, "l") * IF(N255 &lt;&gt; 0, M255 / N255, 0), CONVERT(Q255, L255, "kg")))</f>
        <v>0</v>
      </c>
      <c r="S255" s="47">
        <f>recipe07TotScale * IF(R255 = 0, IF(L255 = "", Q255 * N255, IF(ISNA(CONVERT(Q255, L255, "l")), CONVERT(Q255, L255, "kg") * IF(M255 &lt;&gt; 0, N255 / M255, 0), CONVERT(Q255, L255, "l"))), 0)</f>
        <v>4.8056985539062499E-2</v>
      </c>
      <c r="T255" s="47">
        <f>recipe07TotScale * IF(AND(R255 = 0, S255 = 0, J255 = "", L255 = ""), Q255, 0)</f>
        <v>0</v>
      </c>
      <c r="V255" s="44" t="b">
        <f>INDEX(itemPrepMethods, MATCH(K255, itemNames, 0))="chop"</f>
        <v>1</v>
      </c>
      <c r="W255" s="57">
        <f>IF(V255, Q255, "")</f>
        <v>3.25</v>
      </c>
      <c r="X255" s="58" t="str">
        <f>IF(V255, IF(L255 = "", "", L255), "")</f>
        <v>tbs</v>
      </c>
      <c r="Y255" s="58" t="str">
        <f>IF(V255, K255, "")</f>
        <v>minced fresh ginger</v>
      </c>
      <c r="Z255" s="59"/>
      <c r="AA255" s="44" t="b">
        <f>INDEX(itemPrepMethods, MATCH(K255, itemNames, 0))="soak"</f>
        <v>0</v>
      </c>
      <c r="AB255" s="58" t="str">
        <f>IF(AA255, Q255, "")</f>
        <v/>
      </c>
      <c r="AC255" s="58" t="str">
        <f>IF(AA255, IF(L255 = "", "", L255), "")</f>
        <v/>
      </c>
      <c r="AD255" s="58" t="str">
        <f>IF(AA255, K255, "")</f>
        <v/>
      </c>
    </row>
    <row r="256" spans="1:30" ht="15.75" thickBot="1" x14ac:dyDescent="0.3">
      <c r="A256" s="40" t="s">
        <v>21</v>
      </c>
      <c r="B256" s="52">
        <f t="shared" si="220"/>
        <v>6.75</v>
      </c>
      <c r="C256" s="39" t="str">
        <f t="shared" si="221"/>
        <v/>
      </c>
      <c r="D256" s="40" t="str">
        <f>_xlfn.CONCAT(K256, U256)</f>
        <v>thinly sliced carrots</v>
      </c>
      <c r="E256" s="66" t="s">
        <v>338</v>
      </c>
      <c r="F256" s="90">
        <f>tuDiCount</f>
        <v>10</v>
      </c>
      <c r="G256" s="67"/>
      <c r="I256" s="54">
        <v>10</v>
      </c>
      <c r="J256" s="55"/>
      <c r="K256" s="55" t="s">
        <v>61</v>
      </c>
      <c r="L256" s="56"/>
      <c r="M256" s="47">
        <f t="shared" si="222"/>
        <v>0</v>
      </c>
      <c r="N256" s="47">
        <f t="shared" si="223"/>
        <v>0</v>
      </c>
      <c r="O256" s="47">
        <f t="shared" si="224"/>
        <v>0</v>
      </c>
      <c r="P256" s="47">
        <f t="shared" si="225"/>
        <v>0</v>
      </c>
      <c r="Q256" s="47">
        <f>MROUND(IF(AND(J256 = "", L256 = ""), I256 * recipe07DayScale, IF(ISNA(CONVERT(O256, "kg", L256)), CONVERT(P256 * recipe07DayScale, "l", L256), CONVERT(O256 * recipe07DayScale, "kg", L256))), roundTo)</f>
        <v>6.75</v>
      </c>
      <c r="R256" s="47">
        <f>recipe07TotScale * IF(L256 = "", Q256 * M256, IF(ISNA(CONVERT(Q256, L256, "kg")), CONVERT(Q256, L256, "l") * IF(N256 &lt;&gt; 0, M256 / N256, 0), CONVERT(Q256, L256, "kg")))</f>
        <v>0</v>
      </c>
      <c r="S256" s="47">
        <f>recipe07TotScale * IF(R256 = 0, IF(L256 = "", Q256 * N256, IF(ISNA(CONVERT(Q256, L256, "l")), CONVERT(Q256, L256, "kg") * IF(M256 &lt;&gt; 0, N256 / M256, 0), CONVERT(Q256, L256, "l"))), 0)</f>
        <v>0</v>
      </c>
      <c r="T256" s="47">
        <f>recipe07TotScale * IF(AND(R256 = 0, S256 = 0, J256 = "", L256 = ""), Q256, 0)</f>
        <v>6.75</v>
      </c>
      <c r="V256" s="44" t="b">
        <f>INDEX(itemPrepMethods, MATCH(K256, itemNames, 0))="chop"</f>
        <v>1</v>
      </c>
      <c r="W256" s="57">
        <f>IF(V256, Q256, "")</f>
        <v>6.75</v>
      </c>
      <c r="X256" s="58" t="str">
        <f>IF(V256, IF(L256 = "", "", L256), "")</f>
        <v/>
      </c>
      <c r="Y256" s="58" t="str">
        <f>IF(V256, K256, "")</f>
        <v>thinly sliced carrots</v>
      </c>
      <c r="Z256" s="59"/>
      <c r="AA256" s="44" t="b">
        <f>INDEX(itemPrepMethods, MATCH(K256, itemNames, 0))="soak"</f>
        <v>0</v>
      </c>
      <c r="AB256" s="58" t="str">
        <f>IF(AA256, Q256, "")</f>
        <v/>
      </c>
      <c r="AC256" s="58" t="str">
        <f>IF(AA256, IF(L256 = "", "", L256), "")</f>
        <v/>
      </c>
      <c r="AD256" s="58" t="str">
        <f>IF(AA256, K256, "")</f>
        <v/>
      </c>
    </row>
    <row r="257" spans="1:30" ht="15.75" thickBot="1" x14ac:dyDescent="0.3">
      <c r="A257" s="40" t="s">
        <v>21</v>
      </c>
      <c r="B257" s="52">
        <f t="shared" si="220"/>
        <v>3.25</v>
      </c>
      <c r="C257" s="39" t="str">
        <f t="shared" si="221"/>
        <v/>
      </c>
      <c r="D257" s="40" t="str">
        <f>_xlfn.CONCAT(K257, U257)</f>
        <v>thinly sliced celery stalks</v>
      </c>
      <c r="E257" s="66" t="s">
        <v>363</v>
      </c>
      <c r="F257" s="50">
        <f>F256/F253</f>
        <v>1</v>
      </c>
      <c r="G257" s="51" t="s">
        <v>385</v>
      </c>
      <c r="I257" s="54">
        <v>5</v>
      </c>
      <c r="J257" s="55"/>
      <c r="K257" s="55" t="s">
        <v>62</v>
      </c>
      <c r="L257" s="56"/>
      <c r="M257" s="47">
        <f t="shared" si="222"/>
        <v>0</v>
      </c>
      <c r="N257" s="47">
        <f t="shared" si="223"/>
        <v>0</v>
      </c>
      <c r="O257" s="47">
        <f t="shared" si="224"/>
        <v>0</v>
      </c>
      <c r="P257" s="47">
        <f t="shared" si="225"/>
        <v>0</v>
      </c>
      <c r="Q257" s="47">
        <f>MROUND(IF(AND(J257 = "", L257 = ""), I257 * recipe07DayScale, IF(ISNA(CONVERT(O257, "kg", L257)), CONVERT(P257 * recipe07DayScale, "l", L257), CONVERT(O257 * recipe07DayScale, "kg", L257))), roundTo)</f>
        <v>3.25</v>
      </c>
      <c r="R257" s="47">
        <f>recipe07TotScale * IF(L257 = "", Q257 * M257, IF(ISNA(CONVERT(Q257, L257, "kg")), CONVERT(Q257, L257, "l") * IF(N257 &lt;&gt; 0, M257 / N257, 0), CONVERT(Q257, L257, "kg")))</f>
        <v>0</v>
      </c>
      <c r="S257" s="47">
        <f>recipe07TotScale * IF(R257 = 0, IF(L257 = "", Q257 * N257, IF(ISNA(CONVERT(Q257, L257, "l")), CONVERT(Q257, L257, "kg") * IF(M257 &lt;&gt; 0, N257 / M257, 0), CONVERT(Q257, L257, "l"))), 0)</f>
        <v>0</v>
      </c>
      <c r="T257" s="47">
        <f>recipe07TotScale * IF(AND(R257 = 0, S257 = 0, J257 = "", L257 = ""), Q257, 0)</f>
        <v>3.25</v>
      </c>
      <c r="V257" s="44" t="b">
        <f>INDEX(itemPrepMethods, MATCH(K257, itemNames, 0))="chop"</f>
        <v>1</v>
      </c>
      <c r="W257" s="57">
        <f>IF(V257, Q257, "")</f>
        <v>3.25</v>
      </c>
      <c r="X257" s="58" t="str">
        <f>IF(V257, IF(L257 = "", "", L257), "")</f>
        <v/>
      </c>
      <c r="Y257" s="58" t="str">
        <f>IF(V257, K257, "")</f>
        <v>thinly sliced celery stalks</v>
      </c>
      <c r="Z257" s="59"/>
      <c r="AA257" s="44" t="b">
        <f>INDEX(itemPrepMethods, MATCH(K257, itemNames, 0))="soak"</f>
        <v>0</v>
      </c>
      <c r="AB257" s="58" t="str">
        <f>IF(AA257, Q257, "")</f>
        <v/>
      </c>
      <c r="AC257" s="58" t="str">
        <f>IF(AA257, IF(L257 = "", "", L257), "")</f>
        <v/>
      </c>
      <c r="AD257" s="58" t="str">
        <f>IF(AA257, K257, "")</f>
        <v/>
      </c>
    </row>
    <row r="258" spans="1:30" x14ac:dyDescent="0.25">
      <c r="A258" s="40" t="s">
        <v>21</v>
      </c>
      <c r="B258" s="52">
        <f t="shared" si="220"/>
        <v>13.25</v>
      </c>
      <c r="C258" s="39" t="str">
        <f t="shared" si="221"/>
        <v/>
      </c>
      <c r="D258" s="40" t="str">
        <f>_xlfn.CONCAT(K258, U258)</f>
        <v>thinly sliced white cabbage leaves</v>
      </c>
      <c r="I258" s="54">
        <v>20</v>
      </c>
      <c r="J258" s="55"/>
      <c r="K258" s="55" t="s">
        <v>103</v>
      </c>
      <c r="L258" s="56"/>
      <c r="M258" s="47">
        <f t="shared" si="222"/>
        <v>0</v>
      </c>
      <c r="N258" s="47">
        <f t="shared" si="223"/>
        <v>0</v>
      </c>
      <c r="O258" s="47">
        <f t="shared" si="224"/>
        <v>0</v>
      </c>
      <c r="P258" s="47">
        <f t="shared" si="225"/>
        <v>0</v>
      </c>
      <c r="Q258" s="47">
        <f>MROUND(IF(AND(J258 = "", L258 = ""), I258 * recipe07DayScale, IF(ISNA(CONVERT(O258, "kg", L258)), CONVERT(P258 * recipe07DayScale, "l", L258), CONVERT(O258 * recipe07DayScale, "kg", L258))), roundTo)</f>
        <v>13.25</v>
      </c>
      <c r="R258" s="47">
        <f>recipe07TotScale * IF(L258 = "", Q258 * M258, IF(ISNA(CONVERT(Q258, L258, "kg")), CONVERT(Q258, L258, "l") * IF(N258 &lt;&gt; 0, M258 / N258, 0), CONVERT(Q258, L258, "kg")))</f>
        <v>0</v>
      </c>
      <c r="S258" s="47">
        <f>recipe07TotScale * IF(R258 = 0, IF(L258 = "", Q258 * N258, IF(ISNA(CONVERT(Q258, L258, "l")), CONVERT(Q258, L258, "kg") * IF(M258 &lt;&gt; 0, N258 / M258, 0), CONVERT(Q258, L258, "l"))), 0)</f>
        <v>0</v>
      </c>
      <c r="T258" s="47">
        <f>recipe07TotScale * IF(AND(R258 = 0, S258 = 0, J258 = "", L258 = ""), Q258, 0)</f>
        <v>13.25</v>
      </c>
      <c r="V258" s="44" t="b">
        <f>INDEX(itemPrepMethods, MATCH(K258, itemNames, 0))="chop"</f>
        <v>1</v>
      </c>
      <c r="W258" s="57">
        <f>IF(V258, Q258, "")</f>
        <v>13.25</v>
      </c>
      <c r="X258" s="58" t="str">
        <f>IF(V258, IF(L258 = "", "", L258), "")</f>
        <v/>
      </c>
      <c r="Y258" s="58" t="str">
        <f>IF(V258, K258, "")</f>
        <v>thinly sliced white cabbage leaves</v>
      </c>
      <c r="Z258" s="59"/>
      <c r="AA258" s="44" t="b">
        <f>INDEX(itemPrepMethods, MATCH(K258, itemNames, 0))="soak"</f>
        <v>0</v>
      </c>
      <c r="AB258" s="58" t="str">
        <f>IF(AA258, Q258, "")</f>
        <v/>
      </c>
      <c r="AC258" s="58" t="str">
        <f>IF(AA258, IF(L258 = "", "", L258), "")</f>
        <v/>
      </c>
      <c r="AD258" s="58" t="str">
        <f>IF(AA258, K258, "")</f>
        <v/>
      </c>
    </row>
    <row r="259" spans="1:30" x14ac:dyDescent="0.25">
      <c r="A259" s="107"/>
      <c r="B259" s="107"/>
      <c r="C259" s="107"/>
      <c r="D259" s="107"/>
      <c r="I259" s="47"/>
      <c r="W259" s="74"/>
      <c r="X259" s="74"/>
      <c r="Y259" s="74"/>
      <c r="Z259" s="74"/>
      <c r="AB259" s="74"/>
      <c r="AC259" s="74"/>
      <c r="AD259" s="74"/>
    </row>
    <row r="260" spans="1:30" x14ac:dyDescent="0.25">
      <c r="A260" s="107" t="s">
        <v>275</v>
      </c>
      <c r="B260" s="107"/>
      <c r="C260" s="107"/>
      <c r="D260" s="107"/>
      <c r="I260" s="47"/>
      <c r="W260" s="74"/>
      <c r="X260" s="74"/>
      <c r="Y260" s="74"/>
      <c r="Z260" s="74"/>
      <c r="AB260" s="74"/>
      <c r="AC260" s="74"/>
      <c r="AD260" s="74"/>
    </row>
    <row r="261" spans="1:30" x14ac:dyDescent="0.25">
      <c r="A261" s="40" t="s">
        <v>21</v>
      </c>
      <c r="B261" s="52">
        <f t="shared" si="220"/>
        <v>10</v>
      </c>
      <c r="C261" s="39" t="str">
        <f t="shared" si="221"/>
        <v>cup</v>
      </c>
      <c r="D261" s="40" t="str">
        <f>_xlfn.CONCAT(K261, U261)</f>
        <v>vegetable stock</v>
      </c>
      <c r="I261" s="54">
        <v>3.55</v>
      </c>
      <c r="J261" s="55" t="s">
        <v>57</v>
      </c>
      <c r="K261" s="55" t="s">
        <v>58</v>
      </c>
      <c r="L261" s="56" t="s">
        <v>16</v>
      </c>
      <c r="M261" s="47">
        <f t="shared" si="222"/>
        <v>0</v>
      </c>
      <c r="N261" s="47">
        <f t="shared" si="223"/>
        <v>0</v>
      </c>
      <c r="O261" s="47">
        <f t="shared" si="224"/>
        <v>0</v>
      </c>
      <c r="P261" s="47">
        <f t="shared" si="225"/>
        <v>3.55</v>
      </c>
      <c r="Q261" s="47">
        <f>MROUND(IF(AND(J261 = "", L261 = ""), I261 * recipe07DayScale, IF(ISNA(CONVERT(O261, "kg", L261)), CONVERT(P261 * recipe07DayScale, "l", L261), CONVERT(O261 * recipe07DayScale, "kg", L261))), roundTo)</f>
        <v>10</v>
      </c>
      <c r="R261" s="47">
        <f>recipe07TotScale * IF(L261 = "", Q261 * M261, IF(ISNA(CONVERT(Q261, L261, "kg")), CONVERT(Q261, L261, "l") * IF(N261 &lt;&gt; 0, M261 / N261, 0), CONVERT(Q261, L261, "kg")))</f>
        <v>0</v>
      </c>
      <c r="S261" s="47">
        <f>recipe07TotScale * IF(R261 = 0, IF(L261 = "", Q261 * N261, IF(ISNA(CONVERT(Q261, L261, "l")), CONVERT(Q261, L261, "kg") * IF(M261 &lt;&gt; 0, N261 / M261, 0), CONVERT(Q261, L261, "l"))), 0)</f>
        <v>2.365882365</v>
      </c>
      <c r="T261" s="47">
        <f>recipe07TotScale * IF(AND(R261 = 0, S261 = 0, J261 = "", L261 = ""), Q261, 0)</f>
        <v>0</v>
      </c>
      <c r="V261" s="44" t="b">
        <f>INDEX(itemPrepMethods, MATCH(K261, itemNames, 0))="chop"</f>
        <v>0</v>
      </c>
      <c r="W261" s="57" t="str">
        <f>IF(V261, Q261, "")</f>
        <v/>
      </c>
      <c r="X261" s="58" t="str">
        <f>IF(V261, IF(L261 = "", "", L261), "")</f>
        <v/>
      </c>
      <c r="Y261" s="58" t="str">
        <f>IF(V261, K261, "")</f>
        <v/>
      </c>
      <c r="Z261" s="59"/>
      <c r="AA261" s="44" t="b">
        <f>INDEX(itemPrepMethods, MATCH(K261, itemNames, 0))="soak"</f>
        <v>0</v>
      </c>
      <c r="AB261" s="58" t="str">
        <f>IF(AA261, Q261, "")</f>
        <v/>
      </c>
      <c r="AC261" s="58" t="str">
        <f>IF(AA261, IF(L261 = "", "", L261), "")</f>
        <v/>
      </c>
      <c r="AD261" s="58" t="str">
        <f>IF(AA261, K261, "")</f>
        <v/>
      </c>
    </row>
    <row r="262" spans="1:30" x14ac:dyDescent="0.25">
      <c r="A262" s="107"/>
      <c r="B262" s="107"/>
      <c r="C262" s="107"/>
      <c r="D262" s="107"/>
      <c r="I262" s="47"/>
      <c r="W262" s="74"/>
      <c r="X262" s="74"/>
      <c r="Y262" s="74"/>
      <c r="Z262" s="74"/>
      <c r="AB262" s="74"/>
      <c r="AC262" s="74"/>
      <c r="AD262" s="74"/>
    </row>
    <row r="263" spans="1:30" x14ac:dyDescent="0.25">
      <c r="A263" s="107" t="s">
        <v>276</v>
      </c>
      <c r="B263" s="107"/>
      <c r="C263" s="107"/>
      <c r="D263" s="107"/>
      <c r="I263" s="47"/>
      <c r="W263" s="74"/>
      <c r="X263" s="74"/>
      <c r="Y263" s="74"/>
      <c r="Z263" s="74"/>
      <c r="AB263" s="74"/>
      <c r="AC263" s="74"/>
      <c r="AD263" s="74"/>
    </row>
    <row r="264" spans="1:30" x14ac:dyDescent="0.25">
      <c r="A264" s="107"/>
      <c r="B264" s="107"/>
      <c r="C264" s="107"/>
      <c r="D264" s="107"/>
      <c r="I264" s="47"/>
      <c r="W264" s="74"/>
      <c r="X264" s="74"/>
      <c r="Y264" s="74"/>
      <c r="Z264" s="74"/>
      <c r="AB264" s="74"/>
      <c r="AC264" s="74"/>
      <c r="AD264" s="74"/>
    </row>
    <row r="265" spans="1:30" x14ac:dyDescent="0.25">
      <c r="A265" s="107" t="s">
        <v>277</v>
      </c>
      <c r="B265" s="107"/>
      <c r="C265" s="107"/>
      <c r="D265" s="107"/>
      <c r="I265" s="47"/>
      <c r="W265" s="74"/>
      <c r="X265" s="74"/>
      <c r="Y265" s="74"/>
      <c r="Z265" s="74"/>
      <c r="AB265" s="74"/>
      <c r="AC265" s="74"/>
      <c r="AD265" s="74"/>
    </row>
    <row r="266" spans="1:30" x14ac:dyDescent="0.25">
      <c r="A266" s="40" t="s">
        <v>21</v>
      </c>
      <c r="B266" s="52">
        <f t="shared" si="220"/>
        <v>0.75</v>
      </c>
      <c r="C266" s="39" t="str">
        <f t="shared" si="221"/>
        <v>kg</v>
      </c>
      <c r="D266" s="40" t="str">
        <f>_xlfn.CONCAT(K266, U266)</f>
        <v>blocks tofu, cut into small cubes</v>
      </c>
      <c r="I266" s="54">
        <v>1</v>
      </c>
      <c r="J266" s="55" t="s">
        <v>12</v>
      </c>
      <c r="K266" s="55" t="s">
        <v>271</v>
      </c>
      <c r="L266" s="56" t="s">
        <v>12</v>
      </c>
      <c r="M266" s="47">
        <f t="shared" si="222"/>
        <v>0</v>
      </c>
      <c r="N266" s="47">
        <f t="shared" si="223"/>
        <v>0</v>
      </c>
      <c r="O266" s="47">
        <f t="shared" si="224"/>
        <v>1</v>
      </c>
      <c r="P266" s="47">
        <f t="shared" si="225"/>
        <v>0</v>
      </c>
      <c r="Q266" s="47">
        <f>MROUND(IF(AND(J266 = "", L266 = ""), I266 * recipe07DayScale, IF(ISNA(CONVERT(O266, "kg", L266)), CONVERT(P266 * recipe07DayScale, "l", L266), CONVERT(O266 * recipe07DayScale, "kg", L266))), roundTo)</f>
        <v>0.75</v>
      </c>
      <c r="R266" s="47">
        <f>recipe07TotScale * IF(L266 = "", Q266 * M266, IF(ISNA(CONVERT(Q266, L266, "kg")), CONVERT(Q266, L266, "l") * IF(N266 &lt;&gt; 0, M266 / N266, 0), CONVERT(Q266, L266, "kg")))</f>
        <v>0.75</v>
      </c>
      <c r="S266" s="47">
        <f>recipe07TotScale * IF(R266 = 0, IF(L266 = "", Q266 * N266, IF(ISNA(CONVERT(Q266, L266, "l")), CONVERT(Q266, L266, "kg") * IF(M266 &lt;&gt; 0, N266 / M266, 0), CONVERT(Q266, L266, "l"))), 0)</f>
        <v>0</v>
      </c>
      <c r="T266" s="47">
        <f>recipe07TotScale * IF(AND(R266 = 0, S266 = 0, J266 = "", L266 = ""), Q266, 0)</f>
        <v>0</v>
      </c>
      <c r="V266" s="44" t="b">
        <f>INDEX(itemPrepMethods, MATCH(K266, itemNames, 0))="chop"</f>
        <v>1</v>
      </c>
      <c r="W266" s="57">
        <f>IF(V266, Q266, "")</f>
        <v>0.75</v>
      </c>
      <c r="X266" s="58" t="str">
        <f>IF(V266, IF(L266 = "", "", L266), "")</f>
        <v>kg</v>
      </c>
      <c r="Y266" s="58" t="str">
        <f>IF(V266, K266, "")</f>
        <v>blocks tofu, cut into small cubes</v>
      </c>
      <c r="Z266" s="59"/>
      <c r="AA266" s="44" t="b">
        <f>INDEX(itemPrepMethods, MATCH(K266, itemNames, 0))="soak"</f>
        <v>0</v>
      </c>
      <c r="AB266" s="58" t="str">
        <f>IF(AA266, Q266, "")</f>
        <v/>
      </c>
      <c r="AC266" s="58" t="str">
        <f>IF(AA266, IF(L266 = "", "", L266), "")</f>
        <v/>
      </c>
      <c r="AD266" s="58" t="str">
        <f>IF(AA266, K266, "")</f>
        <v/>
      </c>
    </row>
    <row r="267" spans="1:30" x14ac:dyDescent="0.25">
      <c r="B267" s="52"/>
      <c r="I267" s="54"/>
      <c r="J267" s="55"/>
      <c r="K267" s="55"/>
      <c r="L267" s="56"/>
      <c r="W267" s="74"/>
      <c r="X267" s="74"/>
      <c r="Y267" s="74"/>
      <c r="Z267" s="74"/>
      <c r="AB267" s="74"/>
      <c r="AC267" s="74"/>
      <c r="AD267" s="74"/>
    </row>
    <row r="268" spans="1:30" x14ac:dyDescent="0.25">
      <c r="A268" s="107" t="s">
        <v>278</v>
      </c>
      <c r="B268" s="107"/>
      <c r="C268" s="107"/>
      <c r="D268" s="107"/>
      <c r="I268" s="54"/>
      <c r="J268" s="55"/>
      <c r="K268" s="55"/>
      <c r="L268" s="56"/>
      <c r="W268" s="74"/>
      <c r="X268" s="74"/>
      <c r="Y268" s="74"/>
      <c r="Z268" s="74"/>
      <c r="AB268" s="74"/>
      <c r="AC268" s="74"/>
      <c r="AD268" s="74"/>
    </row>
    <row r="269" spans="1:30" x14ac:dyDescent="0.25">
      <c r="A269" s="40" t="s">
        <v>21</v>
      </c>
      <c r="B269" s="61">
        <f t="shared" si="220"/>
        <v>46.75</v>
      </c>
      <c r="C269" s="91" t="str">
        <f t="shared" si="221"/>
        <v>g</v>
      </c>
      <c r="D269" s="103" t="str">
        <f>_xlfn.CONCAT(K269, U269)</f>
        <v>wakame, then drain and set aside</v>
      </c>
      <c r="I269" s="54">
        <v>70</v>
      </c>
      <c r="J269" s="55" t="s">
        <v>0</v>
      </c>
      <c r="K269" s="55" t="s">
        <v>59</v>
      </c>
      <c r="L269" s="56" t="s">
        <v>0</v>
      </c>
      <c r="M269" s="47">
        <f t="shared" si="222"/>
        <v>0</v>
      </c>
      <c r="N269" s="47">
        <f t="shared" si="223"/>
        <v>0</v>
      </c>
      <c r="O269" s="47">
        <f t="shared" si="224"/>
        <v>7.0000000000000007E-2</v>
      </c>
      <c r="P269" s="47">
        <f t="shared" si="225"/>
        <v>0</v>
      </c>
      <c r="Q269" s="47">
        <f>MROUND(IF(AND(J269 = "", L269 = ""), I269 * recipe07DayScale, IF(ISNA(CONVERT(O269, "kg", L269)), CONVERT(P269 * recipe07DayScale, "l", L269), CONVERT(O269 * recipe07DayScale, "kg", L269))), roundTo)</f>
        <v>46.75</v>
      </c>
      <c r="R269" s="47">
        <f>recipe07TotScale * IF(L269 = "", Q269 * M269, IF(ISNA(CONVERT(Q269, L269, "kg")), CONVERT(Q269, L269, "l") * IF(N269 &lt;&gt; 0, M269 / N269, 0), CONVERT(Q269, L269, "kg")))</f>
        <v>4.675E-2</v>
      </c>
      <c r="S269" s="47">
        <f>recipe07TotScale * IF(R269 = 0, IF(L269 = "", Q269 * N269, IF(ISNA(CONVERT(Q269, L269, "l")), CONVERT(Q269, L269, "kg") * IF(M269 &lt;&gt; 0, N269 / M269, 0), CONVERT(Q269, L269, "l"))), 0)</f>
        <v>0</v>
      </c>
      <c r="T269" s="47">
        <f>recipe07TotScale * IF(AND(R269 = 0, S269 = 0, J269 = "", L269 = ""), Q269, 0)</f>
        <v>0</v>
      </c>
      <c r="U269" s="44" t="s">
        <v>279</v>
      </c>
      <c r="V269" s="44" t="b">
        <f>INDEX(itemPrepMethods, MATCH(K269, itemNames, 0))="chop"</f>
        <v>0</v>
      </c>
      <c r="W269" s="57" t="str">
        <f>IF(V269, Q269, "")</f>
        <v/>
      </c>
      <c r="X269" s="58" t="str">
        <f>IF(V269, IF(L269 = "", "", L269), "")</f>
        <v/>
      </c>
      <c r="Y269" s="58" t="str">
        <f>IF(V269, K269, "")</f>
        <v/>
      </c>
      <c r="Z269" s="59"/>
      <c r="AA269" s="44" t="b">
        <f>INDEX(itemPrepMethods, MATCH(K269, itemNames, 0))="soak"</f>
        <v>0</v>
      </c>
      <c r="AB269" s="58" t="str">
        <f>IF(AA269, Q269, "")</f>
        <v/>
      </c>
      <c r="AC269" s="58" t="str">
        <f>IF(AA269, IF(L269 = "", "", L269), "")</f>
        <v/>
      </c>
      <c r="AD269" s="58" t="str">
        <f>IF(AA269, K269, "")</f>
        <v/>
      </c>
    </row>
    <row r="270" spans="1:30" x14ac:dyDescent="0.25">
      <c r="A270" s="107"/>
      <c r="B270" s="107"/>
      <c r="C270" s="107"/>
      <c r="D270" s="107"/>
      <c r="I270" s="47"/>
      <c r="W270" s="74"/>
      <c r="X270" s="74"/>
      <c r="Y270" s="74"/>
      <c r="Z270" s="74"/>
      <c r="AB270" s="74"/>
      <c r="AC270" s="74"/>
      <c r="AD270" s="74"/>
    </row>
    <row r="271" spans="1:30" x14ac:dyDescent="0.25">
      <c r="A271" s="107" t="s">
        <v>280</v>
      </c>
      <c r="B271" s="107"/>
      <c r="C271" s="107"/>
      <c r="D271" s="107"/>
      <c r="I271" s="47"/>
      <c r="W271" s="74"/>
      <c r="X271" s="74"/>
      <c r="Y271" s="74"/>
      <c r="Z271" s="74"/>
      <c r="AB271" s="74"/>
      <c r="AC271" s="74"/>
      <c r="AD271" s="74"/>
    </row>
    <row r="272" spans="1:30" x14ac:dyDescent="0.25">
      <c r="A272" s="40" t="s">
        <v>21</v>
      </c>
      <c r="B272" s="52">
        <f t="shared" si="220"/>
        <v>3.25</v>
      </c>
      <c r="C272" s="39" t="str">
        <f t="shared" si="221"/>
        <v>tbs</v>
      </c>
      <c r="D272" s="40" t="str">
        <f>_xlfn.CONCAT(K272, U272)</f>
        <v>miso</v>
      </c>
      <c r="I272" s="54">
        <v>5</v>
      </c>
      <c r="J272" s="55" t="s">
        <v>15</v>
      </c>
      <c r="K272" s="55" t="s">
        <v>60</v>
      </c>
      <c r="L272" s="56" t="s">
        <v>15</v>
      </c>
      <c r="M272" s="47">
        <f t="shared" si="222"/>
        <v>0</v>
      </c>
      <c r="N272" s="47">
        <f t="shared" si="223"/>
        <v>0</v>
      </c>
      <c r="O272" s="47">
        <f t="shared" si="224"/>
        <v>0</v>
      </c>
      <c r="P272" s="47">
        <f t="shared" si="225"/>
        <v>7.3933823906250001E-2</v>
      </c>
      <c r="Q272" s="47">
        <f>MROUND(IF(AND(J272 = "", L272 = ""), I272 * recipe07DayScale, IF(ISNA(CONVERT(O272, "kg", L272)), CONVERT(P272 * recipe07DayScale, "l", L272), CONVERT(O272 * recipe07DayScale, "kg", L272))), roundTo)</f>
        <v>3.25</v>
      </c>
      <c r="R272" s="47">
        <f>recipe07TotScale * IF(L272 = "", Q272 * M272, IF(ISNA(CONVERT(Q272, L272, "kg")), CONVERT(Q272, L272, "l") * IF(N272 &lt;&gt; 0, M272 / N272, 0), CONVERT(Q272, L272, "kg")))</f>
        <v>0</v>
      </c>
      <c r="S272" s="47">
        <f>recipe07TotScale * IF(R272 = 0, IF(L272 = "", Q272 * N272, IF(ISNA(CONVERT(Q272, L272, "l")), CONVERT(Q272, L272, "kg") * IF(M272 &lt;&gt; 0, N272 / M272, 0), CONVERT(Q272, L272, "l"))), 0)</f>
        <v>4.8056985539062499E-2</v>
      </c>
      <c r="T272" s="47">
        <f>recipe07TotScale * IF(AND(R272 = 0, S272 = 0, J272 = "", L272 = ""), Q272, 0)</f>
        <v>0</v>
      </c>
      <c r="V272" s="44" t="b">
        <f>INDEX(itemPrepMethods, MATCH(K272, itemNames, 0))="chop"</f>
        <v>0</v>
      </c>
      <c r="W272" s="57" t="str">
        <f>IF(V272, Q272, "")</f>
        <v/>
      </c>
      <c r="X272" s="58" t="str">
        <f>IF(V272, IF(L272 = "", "", L272), "")</f>
        <v/>
      </c>
      <c r="Y272" s="58" t="str">
        <f>IF(V272, K272, "")</f>
        <v/>
      </c>
      <c r="Z272" s="59"/>
      <c r="AA272" s="44" t="b">
        <f>INDEX(itemPrepMethods, MATCH(K272, itemNames, 0))="soak"</f>
        <v>0</v>
      </c>
      <c r="AB272" s="58" t="str">
        <f>IF(AA272, Q272, "")</f>
        <v/>
      </c>
      <c r="AC272" s="58" t="str">
        <f>IF(AA272, IF(L272 = "", "", L272), "")</f>
        <v/>
      </c>
      <c r="AD272" s="58" t="str">
        <f>IF(AA272, K272, "")</f>
        <v/>
      </c>
    </row>
    <row r="273" spans="1:30" x14ac:dyDescent="0.25">
      <c r="A273" s="107"/>
      <c r="B273" s="107"/>
      <c r="C273" s="107"/>
      <c r="D273" s="107"/>
      <c r="I273" s="47"/>
      <c r="W273" s="67"/>
      <c r="X273" s="67"/>
      <c r="Y273" s="67"/>
      <c r="Z273" s="67"/>
      <c r="AA273" s="67"/>
      <c r="AB273" s="67"/>
      <c r="AC273" s="67"/>
      <c r="AD273" s="67"/>
    </row>
    <row r="274" spans="1:30" x14ac:dyDescent="0.25">
      <c r="A274" s="107" t="s">
        <v>283</v>
      </c>
      <c r="B274" s="107"/>
      <c r="C274" s="107"/>
      <c r="D274" s="107"/>
      <c r="I274" s="47"/>
      <c r="W274" s="67"/>
      <c r="X274" s="67"/>
      <c r="Y274" s="67"/>
      <c r="Z274" s="67"/>
      <c r="AA274" s="67"/>
      <c r="AB274" s="67"/>
      <c r="AC274" s="67"/>
      <c r="AD274" s="67"/>
    </row>
    <row r="275" spans="1:30" x14ac:dyDescent="0.25">
      <c r="A275" s="40" t="s">
        <v>21</v>
      </c>
      <c r="D275" s="40" t="str">
        <f>_xlfn.CONCAT(K275, U275)</f>
        <v>miso broth</v>
      </c>
      <c r="I275" s="47"/>
      <c r="U275" s="46" t="s">
        <v>281</v>
      </c>
      <c r="V275" s="67"/>
      <c r="W275" s="67"/>
      <c r="X275" s="67"/>
      <c r="Y275" s="67"/>
      <c r="Z275" s="67"/>
      <c r="AA275" s="67"/>
      <c r="AB275" s="67"/>
      <c r="AC275" s="67"/>
      <c r="AD275" s="67"/>
    </row>
    <row r="276" spans="1:30" x14ac:dyDescent="0.25">
      <c r="A276" s="40" t="s">
        <v>21</v>
      </c>
      <c r="D276" s="40" t="str">
        <f>_xlfn.CONCAT(K276, U276)</f>
        <v>soaked wakame</v>
      </c>
      <c r="I276" s="47"/>
      <c r="U276" s="46" t="s">
        <v>282</v>
      </c>
      <c r="V276" s="67"/>
      <c r="W276" s="67"/>
      <c r="X276" s="67"/>
      <c r="Y276" s="67"/>
      <c r="Z276" s="67"/>
      <c r="AA276" s="67"/>
      <c r="AB276" s="67"/>
      <c r="AC276" s="67"/>
      <c r="AD276" s="67"/>
    </row>
    <row r="277" spans="1:30" ht="15.75" x14ac:dyDescent="0.25">
      <c r="A277" s="108" t="s">
        <v>33</v>
      </c>
      <c r="B277" s="108"/>
      <c r="C277" s="108"/>
      <c r="D277" s="108"/>
      <c r="E277" s="42" t="s">
        <v>143</v>
      </c>
      <c r="F277" s="106"/>
      <c r="G277" s="106"/>
      <c r="H277" s="47"/>
    </row>
    <row r="278" spans="1:30" ht="24" x14ac:dyDescent="0.2">
      <c r="A278" s="108" t="s">
        <v>285</v>
      </c>
      <c r="B278" s="108"/>
      <c r="C278" s="108"/>
      <c r="D278" s="108"/>
      <c r="E278" s="42" t="s">
        <v>56</v>
      </c>
      <c r="F278" s="90">
        <v>10</v>
      </c>
      <c r="G278" s="47"/>
      <c r="H278" s="47"/>
      <c r="I278" s="70" t="s">
        <v>448</v>
      </c>
      <c r="J278" s="71" t="s">
        <v>449</v>
      </c>
      <c r="K278" s="71" t="s">
        <v>17</v>
      </c>
      <c r="L278" s="72" t="s">
        <v>452</v>
      </c>
      <c r="M278" s="70" t="s">
        <v>148</v>
      </c>
      <c r="N278" s="70" t="s">
        <v>149</v>
      </c>
      <c r="O278" s="70" t="s">
        <v>450</v>
      </c>
      <c r="P278" s="70" t="s">
        <v>451</v>
      </c>
      <c r="Q278" s="71" t="s">
        <v>364</v>
      </c>
      <c r="R278" s="70" t="s">
        <v>365</v>
      </c>
      <c r="S278" s="70" t="s">
        <v>366</v>
      </c>
      <c r="T278" s="70" t="s">
        <v>367</v>
      </c>
      <c r="U278" s="71" t="s">
        <v>22</v>
      </c>
      <c r="V278" s="71" t="s">
        <v>212</v>
      </c>
      <c r="W278" s="73" t="s">
        <v>364</v>
      </c>
      <c r="X278" s="71" t="s">
        <v>210</v>
      </c>
      <c r="Y278" s="71" t="s">
        <v>211</v>
      </c>
      <c r="Z278" s="71" t="s">
        <v>313</v>
      </c>
      <c r="AA278" s="71" t="s">
        <v>213</v>
      </c>
      <c r="AB278" s="73" t="s">
        <v>364</v>
      </c>
      <c r="AC278" s="71" t="s">
        <v>214</v>
      </c>
      <c r="AD278" s="71" t="s">
        <v>215</v>
      </c>
    </row>
    <row r="279" spans="1:30" ht="15.75" thickBot="1" x14ac:dyDescent="0.3">
      <c r="A279" s="107"/>
      <c r="B279" s="107"/>
      <c r="C279" s="107"/>
      <c r="D279" s="107"/>
      <c r="E279" s="66" t="s">
        <v>359</v>
      </c>
      <c r="F279" s="90">
        <f>weLuCount</f>
        <v>10</v>
      </c>
      <c r="G279" s="47"/>
      <c r="H279" s="47"/>
    </row>
    <row r="280" spans="1:30" ht="15.75" thickBot="1" x14ac:dyDescent="0.3">
      <c r="A280" s="113" t="s">
        <v>286</v>
      </c>
      <c r="B280" s="113"/>
      <c r="C280" s="113"/>
      <c r="D280" s="113"/>
      <c r="E280" s="66" t="s">
        <v>362</v>
      </c>
      <c r="F280" s="50">
        <f>F279/F278</f>
        <v>1</v>
      </c>
      <c r="G280" s="51" t="s">
        <v>386</v>
      </c>
      <c r="H280" s="47"/>
    </row>
    <row r="281" spans="1:30" x14ac:dyDescent="0.25">
      <c r="A281" s="107"/>
      <c r="B281" s="107"/>
      <c r="C281" s="107"/>
      <c r="D281" s="107"/>
      <c r="E281" s="67"/>
      <c r="F281" s="67"/>
      <c r="G281" s="67"/>
      <c r="I281" s="47"/>
      <c r="W281" s="67"/>
      <c r="X281" s="67"/>
      <c r="Y281" s="67"/>
      <c r="Z281" s="67"/>
      <c r="AA281" s="67"/>
      <c r="AB281" s="67"/>
      <c r="AC281" s="67"/>
      <c r="AD281" s="67"/>
    </row>
    <row r="282" spans="1:30" ht="15.75" thickBot="1" x14ac:dyDescent="0.3">
      <c r="A282" s="107" t="s">
        <v>305</v>
      </c>
      <c r="B282" s="107"/>
      <c r="C282" s="107"/>
      <c r="D282" s="107"/>
      <c r="E282" s="66" t="s">
        <v>338</v>
      </c>
      <c r="F282" s="90">
        <f>weLuCount</f>
        <v>10</v>
      </c>
      <c r="G282" s="67"/>
      <c r="H282" s="47"/>
      <c r="W282" s="67"/>
      <c r="X282" s="67"/>
      <c r="Y282" s="67"/>
      <c r="Z282" s="67"/>
      <c r="AA282" s="67"/>
      <c r="AB282" s="67"/>
      <c r="AC282" s="67"/>
      <c r="AD282" s="67"/>
    </row>
    <row r="283" spans="1:30" ht="15.75" thickBot="1" x14ac:dyDescent="0.3">
      <c r="A283" s="40" t="s">
        <v>21</v>
      </c>
      <c r="B283" s="52">
        <f t="shared" ref="B283" si="226">Q283</f>
        <v>2</v>
      </c>
      <c r="C283" s="39" t="str">
        <f t="shared" ref="C283" si="227">IF(L283="","",L283)</f>
        <v>cup</v>
      </c>
      <c r="D283" s="40" t="str">
        <f>_xlfn.CONCAT(K283, U283)</f>
        <v>dried brown lentils</v>
      </c>
      <c r="E283" s="66" t="s">
        <v>363</v>
      </c>
      <c r="F283" s="50">
        <f>F282/F279</f>
        <v>1</v>
      </c>
      <c r="G283" s="51" t="s">
        <v>387</v>
      </c>
      <c r="I283" s="54">
        <v>2</v>
      </c>
      <c r="J283" s="55" t="s">
        <v>16</v>
      </c>
      <c r="K283" s="55" t="s">
        <v>287</v>
      </c>
      <c r="L283" s="56" t="s">
        <v>16</v>
      </c>
      <c r="M283" s="47">
        <f t="shared" ref="M283" si="228">INDEX(itemGPerQty, MATCH(K283, itemNames, 0))</f>
        <v>0</v>
      </c>
      <c r="N283" s="47">
        <f t="shared" ref="N283" si="229">INDEX(itemMlPerQty, MATCH(K283, itemNames, 0))</f>
        <v>0</v>
      </c>
      <c r="O283" s="47">
        <f t="shared" ref="O283" si="230">IF(J283 = "", I283 * M283, IF(ISNA(CONVERT(I283, J283, "kg")), CONVERT(I283, J283, "l") * IF(N283 &lt;&gt; 0, M283 / N283, 0), CONVERT(I283, J283, "kg")))</f>
        <v>0</v>
      </c>
      <c r="P283" s="47">
        <f t="shared" ref="P283" si="231">IF(J283 = "", I283 * N283, IF(ISNA(CONVERT(I283, J283, "l")), CONVERT(I283, J283, "kg") * IF(M283 &lt;&gt; 0, N283 / M283, 0), CONVERT(I283, J283, "l")))</f>
        <v>0.47317647299999999</v>
      </c>
      <c r="Q283" s="47">
        <f>MROUND(IF(AND(J283 = "", L283 = ""), I283 * recipe12DayScale, IF(ISNA(CONVERT(O283, "kg", L283)), CONVERT(P283 * recipe12DayScale, "l", L283), CONVERT(O283 * recipe12DayScale, "kg", L283))), roundTo)</f>
        <v>2</v>
      </c>
      <c r="R283" s="47">
        <f>recipe12TotScale * IF(L283 = "", Q283 * M283, IF(ISNA(CONVERT(Q283, L283, "kg")), CONVERT(Q283, L283, "l") * IF(N283 &lt;&gt; 0, M283 / N283, 0), CONVERT(Q283, L283, "kg")))</f>
        <v>0</v>
      </c>
      <c r="S283" s="47">
        <f>recipe12TotScale * IF(R283 = 0, IF(L283 = "", Q283 * N283, IF(ISNA(CONVERT(Q283, L283, "l")), CONVERT(Q283, L283, "kg") * IF(M283 &lt;&gt; 0, N283 / M283, 0), CONVERT(Q283, L283, "l"))), 0)</f>
        <v>0.47317647299999999</v>
      </c>
      <c r="T283" s="47">
        <f>recipe12TotScale * IF(AND(R283 = 0, S283 = 0, J283 = "", L283 = ""), Q283, 0)</f>
        <v>0</v>
      </c>
      <c r="V283" s="44" t="b">
        <f>INDEX(itemPrepMethods, MATCH(K283, itemNames, 0))="chop"</f>
        <v>0</v>
      </c>
      <c r="W283" s="57" t="str">
        <f>IF(V283, Q283, "")</f>
        <v/>
      </c>
      <c r="X283" s="58" t="str">
        <f>IF(V283, IF(L283 = "", "", L283), "")</f>
        <v/>
      </c>
      <c r="Y283" s="58" t="str">
        <f>IF(V283, K283, "")</f>
        <v/>
      </c>
      <c r="Z283" s="59"/>
      <c r="AA283" s="44" t="b">
        <f>INDEX(itemPrepMethods, MATCH(K283, itemNames, 0))="soak"</f>
        <v>0</v>
      </c>
      <c r="AB283" s="58" t="str">
        <f>IF(AA283, Q283, "")</f>
        <v/>
      </c>
      <c r="AC283" s="58" t="str">
        <f>IF(AA283, IF(L283 = "", "", L283), "")</f>
        <v/>
      </c>
      <c r="AD283" s="58" t="str">
        <f>IF(AA283, K283, "")</f>
        <v/>
      </c>
    </row>
    <row r="284" spans="1:30" x14ac:dyDescent="0.25">
      <c r="A284" s="40" t="s">
        <v>21</v>
      </c>
      <c r="B284" s="52">
        <f t="shared" ref="B284" si="232">Q284</f>
        <v>8</v>
      </c>
      <c r="C284" s="39" t="str">
        <f t="shared" ref="C284" si="233">IF(L284="","",L284)</f>
        <v/>
      </c>
      <c r="D284" s="40" t="str">
        <f>_xlfn.CONCAT(K284, U284)</f>
        <v>chopped potatoes</v>
      </c>
      <c r="I284" s="54">
        <v>8</v>
      </c>
      <c r="J284" s="55"/>
      <c r="K284" s="55" t="s">
        <v>4</v>
      </c>
      <c r="L284" s="56"/>
      <c r="M284" s="47">
        <f t="shared" ref="M284" si="234">INDEX(itemGPerQty, MATCH(K284, itemNames, 0))</f>
        <v>0.22500000000000001</v>
      </c>
      <c r="N284" s="47">
        <f t="shared" ref="N284" si="235">INDEX(itemMlPerQty, MATCH(K284, itemNames, 0))</f>
        <v>0.33750000000000002</v>
      </c>
      <c r="O284" s="47">
        <f t="shared" ref="O284" si="236">IF(J284 = "", I284 * M284, IF(ISNA(CONVERT(I284, J284, "kg")), CONVERT(I284, J284, "l") * IF(N284 &lt;&gt; 0, M284 / N284, 0), CONVERT(I284, J284, "kg")))</f>
        <v>1.8</v>
      </c>
      <c r="P284" s="47">
        <f t="shared" ref="P284" si="237">IF(J284 = "", I284 * N284, IF(ISNA(CONVERT(I284, J284, "l")), CONVERT(I284, J284, "kg") * IF(M284 &lt;&gt; 0, N284 / M284, 0), CONVERT(I284, J284, "l")))</f>
        <v>2.7</v>
      </c>
      <c r="Q284" s="47">
        <f>MROUND(IF(AND(J284 = "", L284 = ""), I284 * recipe12DayScale, IF(ISNA(CONVERT(O284, "kg", L284)), CONVERT(P284 * recipe12DayScale, "l", L284), CONVERT(O284 * recipe12DayScale, "kg", L284))), roundTo)</f>
        <v>8</v>
      </c>
      <c r="R284" s="47">
        <f>recipe12TotScale * IF(L284 = "", Q284 * M284, IF(ISNA(CONVERT(Q284, L284, "kg")), CONVERT(Q284, L284, "l") * IF(N284 &lt;&gt; 0, M284 / N284, 0), CONVERT(Q284, L284, "kg")))</f>
        <v>1.8</v>
      </c>
      <c r="S284" s="47">
        <f>recipe12TotScale * IF(R284 = 0, IF(L284 = "", Q284 * N284, IF(ISNA(CONVERT(Q284, L284, "l")), CONVERT(Q284, L284, "kg") * IF(M284 &lt;&gt; 0, N284 / M284, 0), CONVERT(Q284, L284, "l"))), 0)</f>
        <v>0</v>
      </c>
      <c r="T284" s="47">
        <f>recipe12TotScale * IF(AND(R284 = 0, S284 = 0, J284 = "", L284 = ""), Q284, 0)</f>
        <v>0</v>
      </c>
      <c r="V284" s="44" t="b">
        <f>INDEX(itemPrepMethods, MATCH(K284, itemNames, 0))="chop"</f>
        <v>1</v>
      </c>
      <c r="W284" s="57">
        <f>IF(V284, Q284, "")</f>
        <v>8</v>
      </c>
      <c r="X284" s="58" t="str">
        <f>IF(V284, IF(L284 = "", "", L284), "")</f>
        <v/>
      </c>
      <c r="Y284" s="58" t="str">
        <f>IF(V284, K284, "")</f>
        <v>chopped potatoes</v>
      </c>
      <c r="Z284" s="59"/>
      <c r="AA284" s="44" t="b">
        <f>INDEX(itemPrepMethods, MATCH(K284, itemNames, 0))="soak"</f>
        <v>0</v>
      </c>
      <c r="AB284" s="58" t="str">
        <f>IF(AA284, Q284, "")</f>
        <v/>
      </c>
      <c r="AC284" s="58" t="str">
        <f>IF(AA284, IF(L284 = "", "", L284), "")</f>
        <v/>
      </c>
      <c r="AD284" s="58" t="str">
        <f>IF(AA284, K284, "")</f>
        <v/>
      </c>
    </row>
    <row r="285" spans="1:30" x14ac:dyDescent="0.25">
      <c r="A285" s="107"/>
      <c r="B285" s="107"/>
      <c r="C285" s="107"/>
      <c r="D285" s="107"/>
      <c r="I285" s="47"/>
      <c r="W285" s="74"/>
      <c r="X285" s="75"/>
      <c r="Y285" s="75"/>
      <c r="Z285" s="76"/>
      <c r="AA285" s="67"/>
      <c r="AB285" s="74"/>
      <c r="AC285" s="74"/>
      <c r="AD285" s="74"/>
    </row>
    <row r="286" spans="1:30" x14ac:dyDescent="0.25">
      <c r="A286" s="107" t="s">
        <v>288</v>
      </c>
      <c r="B286" s="107"/>
      <c r="C286" s="107"/>
      <c r="D286" s="107"/>
      <c r="E286" s="43"/>
      <c r="F286" s="60"/>
      <c r="G286" s="60"/>
      <c r="H286" s="47"/>
      <c r="W286" s="74"/>
      <c r="X286" s="75"/>
      <c r="Y286" s="75"/>
      <c r="Z286" s="76"/>
      <c r="AA286" s="67"/>
      <c r="AB286" s="74"/>
      <c r="AC286" s="74"/>
      <c r="AD286" s="74"/>
    </row>
    <row r="287" spans="1:30" x14ac:dyDescent="0.25">
      <c r="A287" s="40" t="s">
        <v>21</v>
      </c>
      <c r="B287" s="52">
        <f t="shared" ref="B287:B288" si="238">Q287</f>
        <v>4</v>
      </c>
      <c r="C287" s="39" t="str">
        <f t="shared" ref="C287:C288" si="239">IF(L287="","",L287)</f>
        <v/>
      </c>
      <c r="D287" s="40" t="str">
        <f>_xlfn.CONCAT(K287, U287)</f>
        <v>diced carrots</v>
      </c>
      <c r="I287" s="54">
        <v>4</v>
      </c>
      <c r="J287" s="55"/>
      <c r="K287" s="55" t="s">
        <v>101</v>
      </c>
      <c r="L287" s="56"/>
      <c r="M287" s="47">
        <f t="shared" ref="M287:M288" si="240">INDEX(itemGPerQty, MATCH(K287, itemNames, 0))</f>
        <v>0</v>
      </c>
      <c r="N287" s="47">
        <f t="shared" ref="N287:N288" si="241">INDEX(itemMlPerQty, MATCH(K287, itemNames, 0))</f>
        <v>0</v>
      </c>
      <c r="O287" s="47">
        <f t="shared" ref="O287:O288" si="242">IF(J287 = "", I287 * M287, IF(ISNA(CONVERT(I287, J287, "kg")), CONVERT(I287, J287, "l") * IF(N287 &lt;&gt; 0, M287 / N287, 0), CONVERT(I287, J287, "kg")))</f>
        <v>0</v>
      </c>
      <c r="P287" s="47">
        <f t="shared" ref="P287:P288" si="243">IF(J287 = "", I287 * N287, IF(ISNA(CONVERT(I287, J287, "l")), CONVERT(I287, J287, "kg") * IF(M287 &lt;&gt; 0, N287 / M287, 0), CONVERT(I287, J287, "l")))</f>
        <v>0</v>
      </c>
      <c r="Q287" s="47">
        <f>MROUND(IF(AND(J287 = "", L287 = ""), I287 * recipe12DayScale, IF(ISNA(CONVERT(O287, "kg", L287)), CONVERT(P287 * recipe12DayScale, "l", L287), CONVERT(O287 * recipe12DayScale, "kg", L287))), roundTo)</f>
        <v>4</v>
      </c>
      <c r="R287" s="47">
        <f>recipe12TotScale * IF(L287 = "", Q287 * M287, IF(ISNA(CONVERT(Q287, L287, "kg")), CONVERT(Q287, L287, "l") * IF(N287 &lt;&gt; 0, M287 / N287, 0), CONVERT(Q287, L287, "kg")))</f>
        <v>0</v>
      </c>
      <c r="S287" s="47">
        <f>recipe12TotScale * IF(R287 = 0, IF(L287 = "", Q287 * N287, IF(ISNA(CONVERT(Q287, L287, "l")), CONVERT(Q287, L287, "kg") * IF(M287 &lt;&gt; 0, N287 / M287, 0), CONVERT(Q287, L287, "l"))), 0)</f>
        <v>0</v>
      </c>
      <c r="T287" s="47">
        <f>recipe12TotScale * IF(AND(R287 = 0, S287 = 0, J287 = "", L287 = ""), Q287, 0)</f>
        <v>4</v>
      </c>
      <c r="V287" s="44" t="b">
        <f>INDEX(itemPrepMethods, MATCH(K287, itemNames, 0))="chop"</f>
        <v>1</v>
      </c>
      <c r="W287" s="57">
        <f>IF(V287, Q287, "")</f>
        <v>4</v>
      </c>
      <c r="X287" s="58" t="str">
        <f>IF(V287, IF(L287 = "", "", L287), "")</f>
        <v/>
      </c>
      <c r="Y287" s="58" t="str">
        <f>IF(V287, K287, "")</f>
        <v>diced carrots</v>
      </c>
      <c r="Z287" s="59"/>
      <c r="AA287" s="44" t="b">
        <f>INDEX(itemPrepMethods, MATCH(K287, itemNames, 0))="soak"</f>
        <v>0</v>
      </c>
      <c r="AB287" s="58" t="str">
        <f>IF(AA287, Q287, "")</f>
        <v/>
      </c>
      <c r="AC287" s="58" t="str">
        <f>IF(AA287, IF(L287 = "", "", L287), "")</f>
        <v/>
      </c>
      <c r="AD287" s="58" t="str">
        <f>IF(AA287, K287, "")</f>
        <v/>
      </c>
    </row>
    <row r="288" spans="1:30" x14ac:dyDescent="0.25">
      <c r="A288" s="40" t="s">
        <v>21</v>
      </c>
      <c r="B288" s="52">
        <f t="shared" si="238"/>
        <v>4</v>
      </c>
      <c r="C288" s="39" t="str">
        <f t="shared" si="239"/>
        <v/>
      </c>
      <c r="D288" s="40" t="str">
        <f>_xlfn.CONCAT(K288, U288)</f>
        <v>diced celery stalks</v>
      </c>
      <c r="I288" s="54">
        <v>4</v>
      </c>
      <c r="J288" s="55"/>
      <c r="K288" s="55" t="s">
        <v>102</v>
      </c>
      <c r="L288" s="56"/>
      <c r="M288" s="47">
        <f t="shared" si="240"/>
        <v>0</v>
      </c>
      <c r="N288" s="47">
        <f t="shared" si="241"/>
        <v>0</v>
      </c>
      <c r="O288" s="47">
        <f t="shared" si="242"/>
        <v>0</v>
      </c>
      <c r="P288" s="47">
        <f t="shared" si="243"/>
        <v>0</v>
      </c>
      <c r="Q288" s="47">
        <f>MROUND(IF(AND(J288 = "", L288 = ""), I288 * recipe12DayScale, IF(ISNA(CONVERT(O288, "kg", L288)), CONVERT(P288 * recipe12DayScale, "l", L288), CONVERT(O288 * recipe12DayScale, "kg", L288))), roundTo)</f>
        <v>4</v>
      </c>
      <c r="R288" s="47">
        <f>recipe12TotScale * IF(L288 = "", Q288 * M288, IF(ISNA(CONVERT(Q288, L288, "kg")), CONVERT(Q288, L288, "l") * IF(N288 &lt;&gt; 0, M288 / N288, 0), CONVERT(Q288, L288, "kg")))</f>
        <v>0</v>
      </c>
      <c r="S288" s="47">
        <f>recipe12TotScale * IF(R288 = 0, IF(L288 = "", Q288 * N288, IF(ISNA(CONVERT(Q288, L288, "l")), CONVERT(Q288, L288, "kg") * IF(M288 &lt;&gt; 0, N288 / M288, 0), CONVERT(Q288, L288, "l"))), 0)</f>
        <v>0</v>
      </c>
      <c r="T288" s="47">
        <f>recipe12TotScale * IF(AND(R288 = 0, S288 = 0, J288 = "", L288 = ""), Q288, 0)</f>
        <v>4</v>
      </c>
      <c r="V288" s="44" t="b">
        <f>INDEX(itemPrepMethods, MATCH(K288, itemNames, 0))="chop"</f>
        <v>1</v>
      </c>
      <c r="W288" s="57">
        <f>IF(V288, Q288, "")</f>
        <v>4</v>
      </c>
      <c r="X288" s="58" t="str">
        <f>IF(V288, IF(L288 = "", "", L288), "")</f>
        <v/>
      </c>
      <c r="Y288" s="58" t="str">
        <f>IF(V288, K288, "")</f>
        <v>diced celery stalks</v>
      </c>
      <c r="Z288" s="59"/>
      <c r="AA288" s="44" t="b">
        <f>INDEX(itemPrepMethods, MATCH(K288, itemNames, 0))="soak"</f>
        <v>0</v>
      </c>
      <c r="AB288" s="58" t="str">
        <f>IF(AA288, Q288, "")</f>
        <v/>
      </c>
      <c r="AC288" s="58" t="str">
        <f>IF(AA288, IF(L288 = "", "", L288), "")</f>
        <v/>
      </c>
      <c r="AD288" s="58" t="str">
        <f>IF(AA288, K288, "")</f>
        <v/>
      </c>
    </row>
    <row r="289" spans="1:30" x14ac:dyDescent="0.25">
      <c r="A289" s="40" t="s">
        <v>21</v>
      </c>
      <c r="B289" s="52">
        <f t="shared" ref="B289" si="244">Q289</f>
        <v>1</v>
      </c>
      <c r="C289" s="39" t="str">
        <f t="shared" ref="C289" si="245">IF(L289="","",L289)</f>
        <v>tbs</v>
      </c>
      <c r="D289" s="40" t="str">
        <f>_xlfn.CONCAT(K289, U289)</f>
        <v>dried sage</v>
      </c>
      <c r="I289" s="54">
        <v>1</v>
      </c>
      <c r="J289" s="55" t="s">
        <v>15</v>
      </c>
      <c r="K289" s="55" t="s">
        <v>289</v>
      </c>
      <c r="L289" s="56" t="s">
        <v>15</v>
      </c>
      <c r="M289" s="47">
        <f t="shared" ref="M289" si="246">INDEX(itemGPerQty, MATCH(K289, itemNames, 0))</f>
        <v>0</v>
      </c>
      <c r="N289" s="47">
        <f t="shared" ref="N289" si="247">INDEX(itemMlPerQty, MATCH(K289, itemNames, 0))</f>
        <v>0</v>
      </c>
      <c r="O289" s="47">
        <f t="shared" ref="O289" si="248">IF(J289 = "", I289 * M289, IF(ISNA(CONVERT(I289, J289, "kg")), CONVERT(I289, J289, "l") * IF(N289 &lt;&gt; 0, M289 / N289, 0), CONVERT(I289, J289, "kg")))</f>
        <v>0</v>
      </c>
      <c r="P289" s="47">
        <f t="shared" ref="P289" si="249">IF(J289 = "", I289 * N289, IF(ISNA(CONVERT(I289, J289, "l")), CONVERT(I289, J289, "kg") * IF(M289 &lt;&gt; 0, N289 / M289, 0), CONVERT(I289, J289, "l")))</f>
        <v>1.478676478125E-2</v>
      </c>
      <c r="Q289" s="47">
        <f>MROUND(IF(AND(J289 = "", L289 = ""), I289 * recipe12DayScale, IF(ISNA(CONVERT(O289, "kg", L289)), CONVERT(P289 * recipe12DayScale, "l", L289), CONVERT(O289 * recipe12DayScale, "kg", L289))), roundTo)</f>
        <v>1</v>
      </c>
      <c r="R289" s="47">
        <f>recipe12TotScale * IF(L289 = "", Q289 * M289, IF(ISNA(CONVERT(Q289, L289, "kg")), CONVERT(Q289, L289, "l") * IF(N289 &lt;&gt; 0, M289 / N289, 0), CONVERT(Q289, L289, "kg")))</f>
        <v>0</v>
      </c>
      <c r="S289" s="47">
        <f>recipe12TotScale * IF(R289 = 0, IF(L289 = "", Q289 * N289, IF(ISNA(CONVERT(Q289, L289, "l")), CONVERT(Q289, L289, "kg") * IF(M289 &lt;&gt; 0, N289 / M289, 0), CONVERT(Q289, L289, "l"))), 0)</f>
        <v>1.478676478125E-2</v>
      </c>
      <c r="T289" s="47">
        <f>recipe12TotScale * IF(AND(R289 = 0, S289 = 0, J289 = "", L289 = ""), Q289, 0)</f>
        <v>0</v>
      </c>
      <c r="V289" s="44" t="b">
        <f>INDEX(itemPrepMethods, MATCH(K289, itemNames, 0))="chop"</f>
        <v>0</v>
      </c>
      <c r="W289" s="57" t="str">
        <f>IF(V289, Q289, "")</f>
        <v/>
      </c>
      <c r="X289" s="58" t="str">
        <f>IF(V289, IF(L289 = "", "", L289), "")</f>
        <v/>
      </c>
      <c r="Y289" s="58" t="str">
        <f>IF(V289, K289, "")</f>
        <v/>
      </c>
      <c r="Z289" s="59"/>
      <c r="AA289" s="44" t="b">
        <f>INDEX(itemPrepMethods, MATCH(K289, itemNames, 0))="soak"</f>
        <v>0</v>
      </c>
      <c r="AB289" s="58" t="str">
        <f>IF(AA289, Q289, "")</f>
        <v/>
      </c>
      <c r="AC289" s="58" t="str">
        <f>IF(AA289, IF(L289 = "", "", L289), "")</f>
        <v/>
      </c>
      <c r="AD289" s="58" t="str">
        <f>IF(AA289, K289, "")</f>
        <v/>
      </c>
    </row>
    <row r="290" spans="1:30" x14ac:dyDescent="0.25">
      <c r="A290" s="107"/>
      <c r="B290" s="107"/>
      <c r="C290" s="107"/>
      <c r="D290" s="107"/>
      <c r="I290" s="47"/>
      <c r="W290" s="74"/>
      <c r="X290" s="75"/>
      <c r="Y290" s="75"/>
      <c r="Z290" s="76"/>
      <c r="AA290" s="67"/>
      <c r="AB290" s="74"/>
      <c r="AC290" s="74"/>
      <c r="AD290" s="74"/>
    </row>
    <row r="291" spans="1:30" x14ac:dyDescent="0.25">
      <c r="A291" s="107" t="s">
        <v>294</v>
      </c>
      <c r="B291" s="107"/>
      <c r="C291" s="107"/>
      <c r="D291" s="107"/>
      <c r="E291" s="43"/>
      <c r="F291" s="60"/>
      <c r="G291" s="60"/>
      <c r="H291" s="47"/>
      <c r="W291" s="74"/>
      <c r="X291" s="75"/>
      <c r="Y291" s="75"/>
      <c r="Z291" s="76"/>
      <c r="AA291" s="67"/>
      <c r="AB291" s="74"/>
      <c r="AC291" s="74"/>
      <c r="AD291" s="74"/>
    </row>
    <row r="292" spans="1:30" x14ac:dyDescent="0.25">
      <c r="A292" s="40" t="s">
        <v>21</v>
      </c>
      <c r="B292" s="52">
        <f t="shared" ref="B292" si="250">Q292</f>
        <v>4</v>
      </c>
      <c r="C292" s="39" t="str">
        <f t="shared" ref="C292" si="251">IF(L292="","",L292)</f>
        <v>cup</v>
      </c>
      <c r="D292" s="65" t="str">
        <f>_xlfn.CONCAT(K292, U292)</f>
        <v>tins pasta sauce</v>
      </c>
      <c r="I292" s="54">
        <v>4</v>
      </c>
      <c r="J292" s="55" t="s">
        <v>16</v>
      </c>
      <c r="K292" s="55" t="s">
        <v>290</v>
      </c>
      <c r="L292" s="56" t="s">
        <v>16</v>
      </c>
      <c r="M292" s="47">
        <f t="shared" ref="M292" si="252">INDEX(itemGPerQty, MATCH(K292, itemNames, 0))</f>
        <v>0</v>
      </c>
      <c r="N292" s="47">
        <f t="shared" ref="N292" si="253">INDEX(itemMlPerQty, MATCH(K292, itemNames, 0))</f>
        <v>0</v>
      </c>
      <c r="O292" s="47">
        <f t="shared" ref="O292" si="254">IF(J292 = "", I292 * M292, IF(ISNA(CONVERT(I292, J292, "kg")), CONVERT(I292, J292, "l") * IF(N292 &lt;&gt; 0, M292 / N292, 0), CONVERT(I292, J292, "kg")))</f>
        <v>0</v>
      </c>
      <c r="P292" s="47">
        <f t="shared" ref="P292" si="255">IF(J292 = "", I292 * N292, IF(ISNA(CONVERT(I292, J292, "l")), CONVERT(I292, J292, "kg") * IF(M292 &lt;&gt; 0, N292 / M292, 0), CONVERT(I292, J292, "l")))</f>
        <v>0.94635294599999997</v>
      </c>
      <c r="Q292" s="47">
        <f>MROUND(IF(AND(J292 = "", L292 = ""), I292 * recipe12DayScale, IF(ISNA(CONVERT(O292, "kg", L292)), CONVERT(P292 * recipe12DayScale, "l", L292), CONVERT(O292 * recipe12DayScale, "kg", L292))), roundTo)</f>
        <v>4</v>
      </c>
      <c r="R292" s="47">
        <f>recipe12TotScale * IF(L292 = "", Q292 * M292, IF(ISNA(CONVERT(Q292, L292, "kg")), CONVERT(Q292, L292, "l") * IF(N292 &lt;&gt; 0, M292 / N292, 0), CONVERT(Q292, L292, "kg")))</f>
        <v>0</v>
      </c>
      <c r="S292" s="47">
        <f>recipe12TotScale * IF(R292 = 0, IF(L292 = "", Q292 * N292, IF(ISNA(CONVERT(Q292, L292, "l")), CONVERT(Q292, L292, "kg") * IF(M292 &lt;&gt; 0, N292 / M292, 0), CONVERT(Q292, L292, "l"))), 0)</f>
        <v>0.94635294599999997</v>
      </c>
      <c r="T292" s="47">
        <f>recipe12TotScale * IF(AND(R292 = 0, S292 = 0, J292 = "", L292 = ""), Q292, 0)</f>
        <v>0</v>
      </c>
      <c r="V292" s="44" t="b">
        <f>INDEX(itemPrepMethods, MATCH(K292, itemNames, 0))="chop"</f>
        <v>0</v>
      </c>
      <c r="W292" s="57" t="str">
        <f>IF(V292, Q292, "")</f>
        <v/>
      </c>
      <c r="X292" s="58" t="str">
        <f>IF(V292, IF(L292 = "", "", L292), "")</f>
        <v/>
      </c>
      <c r="Y292" s="58" t="str">
        <f>IF(V292, K292, "")</f>
        <v/>
      </c>
      <c r="Z292" s="59"/>
      <c r="AA292" s="44" t="b">
        <f>INDEX(itemPrepMethods, MATCH(K292, itemNames, 0))="soak"</f>
        <v>0</v>
      </c>
      <c r="AB292" s="58" t="str">
        <f>IF(AA292, Q292, "")</f>
        <v/>
      </c>
      <c r="AC292" s="58" t="str">
        <f>IF(AA292, IF(L292 = "", "", L292), "")</f>
        <v/>
      </c>
      <c r="AD292" s="58" t="str">
        <f>IF(AA292, K292, "")</f>
        <v/>
      </c>
    </row>
    <row r="293" spans="1:30" x14ac:dyDescent="0.25">
      <c r="A293" s="107"/>
      <c r="B293" s="107"/>
      <c r="C293" s="107"/>
      <c r="D293" s="107"/>
      <c r="I293" s="47"/>
      <c r="W293" s="74"/>
      <c r="X293" s="75"/>
      <c r="Y293" s="75"/>
      <c r="Z293" s="76"/>
      <c r="AA293" s="67"/>
      <c r="AB293" s="74"/>
      <c r="AC293" s="74"/>
      <c r="AD293" s="74"/>
    </row>
    <row r="294" spans="1:30" x14ac:dyDescent="0.25">
      <c r="A294" s="107" t="s">
        <v>291</v>
      </c>
      <c r="B294" s="107"/>
      <c r="C294" s="107"/>
      <c r="D294" s="107"/>
      <c r="E294" s="43"/>
      <c r="F294" s="60"/>
      <c r="G294" s="60"/>
      <c r="H294" s="47"/>
      <c r="W294" s="74"/>
      <c r="X294" s="75"/>
      <c r="Y294" s="75"/>
      <c r="Z294" s="76"/>
      <c r="AA294" s="67"/>
      <c r="AB294" s="74"/>
      <c r="AC294" s="74"/>
      <c r="AD294" s="74"/>
    </row>
    <row r="295" spans="1:30" x14ac:dyDescent="0.25">
      <c r="A295" s="107"/>
      <c r="B295" s="107"/>
      <c r="C295" s="107"/>
      <c r="D295" s="107"/>
      <c r="I295" s="47"/>
      <c r="W295" s="74"/>
      <c r="X295" s="75"/>
      <c r="Y295" s="75"/>
      <c r="Z295" s="76"/>
      <c r="AA295" s="67"/>
      <c r="AB295" s="74"/>
      <c r="AC295" s="74"/>
      <c r="AD295" s="74"/>
    </row>
    <row r="296" spans="1:30" x14ac:dyDescent="0.25">
      <c r="A296" s="113" t="s">
        <v>292</v>
      </c>
      <c r="B296" s="113"/>
      <c r="C296" s="113"/>
      <c r="D296" s="113"/>
      <c r="E296" s="43"/>
      <c r="F296" s="60"/>
      <c r="G296" s="60"/>
      <c r="H296" s="47"/>
      <c r="W296" s="74"/>
      <c r="X296" s="75"/>
      <c r="Y296" s="75"/>
      <c r="Z296" s="76"/>
      <c r="AA296" s="67"/>
      <c r="AB296" s="74"/>
      <c r="AC296" s="74"/>
      <c r="AD296" s="74"/>
    </row>
    <row r="297" spans="1:30" x14ac:dyDescent="0.25">
      <c r="A297" s="107"/>
      <c r="B297" s="107"/>
      <c r="C297" s="107"/>
      <c r="D297" s="107"/>
      <c r="I297" s="47"/>
      <c r="W297" s="74"/>
      <c r="X297" s="75"/>
      <c r="Y297" s="75"/>
      <c r="Z297" s="76"/>
      <c r="AA297" s="67"/>
      <c r="AB297" s="74"/>
      <c r="AC297" s="74"/>
      <c r="AD297" s="74"/>
    </row>
    <row r="298" spans="1:30" x14ac:dyDescent="0.25">
      <c r="A298" s="107" t="s">
        <v>293</v>
      </c>
      <c r="B298" s="107"/>
      <c r="C298" s="107"/>
      <c r="D298" s="107"/>
      <c r="E298" s="43"/>
      <c r="F298" s="60"/>
      <c r="G298" s="60"/>
      <c r="H298" s="47"/>
      <c r="W298" s="74"/>
      <c r="X298" s="75"/>
      <c r="Y298" s="75"/>
      <c r="Z298" s="76"/>
      <c r="AA298" s="67"/>
      <c r="AB298" s="74"/>
      <c r="AC298" s="74"/>
      <c r="AD298" s="74"/>
    </row>
    <row r="299" spans="1:30" x14ac:dyDescent="0.25">
      <c r="A299" s="107"/>
      <c r="B299" s="107"/>
      <c r="C299" s="107"/>
      <c r="D299" s="107"/>
      <c r="I299" s="47"/>
      <c r="W299" s="74"/>
      <c r="X299" s="75"/>
      <c r="Y299" s="75"/>
      <c r="Z299" s="76"/>
      <c r="AA299" s="67"/>
      <c r="AB299" s="74"/>
      <c r="AC299" s="74"/>
      <c r="AD299" s="74"/>
    </row>
    <row r="300" spans="1:30" x14ac:dyDescent="0.25">
      <c r="A300" s="107" t="s">
        <v>107</v>
      </c>
      <c r="B300" s="107"/>
      <c r="C300" s="107"/>
      <c r="D300" s="107"/>
      <c r="E300" s="43"/>
      <c r="F300" s="60"/>
      <c r="G300" s="60"/>
      <c r="H300" s="47"/>
      <c r="W300" s="74"/>
      <c r="X300" s="75"/>
      <c r="Y300" s="75"/>
      <c r="Z300" s="76"/>
      <c r="AA300" s="67"/>
      <c r="AB300" s="74"/>
      <c r="AC300" s="74"/>
      <c r="AD300" s="74"/>
    </row>
    <row r="301" spans="1:30" x14ac:dyDescent="0.25">
      <c r="A301" s="40" t="s">
        <v>21</v>
      </c>
      <c r="B301" s="52">
        <f t="shared" ref="B301" si="256">Q301</f>
        <v>2</v>
      </c>
      <c r="C301" s="39" t="str">
        <f t="shared" ref="C301" si="257">IF(L301="","",L301)</f>
        <v>tbs</v>
      </c>
      <c r="D301" s="65" t="str">
        <f>_xlfn.CONCAT(K301, U301)</f>
        <v>sweet chili sauce</v>
      </c>
      <c r="I301" s="54">
        <v>2</v>
      </c>
      <c r="J301" s="55" t="s">
        <v>15</v>
      </c>
      <c r="K301" s="55" t="s">
        <v>295</v>
      </c>
      <c r="L301" s="56" t="s">
        <v>15</v>
      </c>
      <c r="M301" s="47">
        <f t="shared" ref="M301" si="258">INDEX(itemGPerQty, MATCH(K301, itemNames, 0))</f>
        <v>0</v>
      </c>
      <c r="N301" s="47">
        <f t="shared" ref="N301" si="259">INDEX(itemMlPerQty, MATCH(K301, itemNames, 0))</f>
        <v>0</v>
      </c>
      <c r="O301" s="47">
        <f t="shared" ref="O301" si="260">IF(J301 = "", I301 * M301, IF(ISNA(CONVERT(I301, J301, "kg")), CONVERT(I301, J301, "l") * IF(N301 &lt;&gt; 0, M301 / N301, 0), CONVERT(I301, J301, "kg")))</f>
        <v>0</v>
      </c>
      <c r="P301" s="47">
        <f t="shared" ref="P301" si="261">IF(J301 = "", I301 * N301, IF(ISNA(CONVERT(I301, J301, "l")), CONVERT(I301, J301, "kg") * IF(M301 &lt;&gt; 0, N301 / M301, 0), CONVERT(I301, J301, "l")))</f>
        <v>2.9573529562499999E-2</v>
      </c>
      <c r="Q301" s="47">
        <f>MROUND(IF(AND(J301 = "", L301 = ""), I301 * recipe12DayScale, IF(ISNA(CONVERT(O301, "kg", L301)), CONVERT(P301 * recipe12DayScale, "l", L301), CONVERT(O301 * recipe12DayScale, "kg", L301))), roundTo)</f>
        <v>2</v>
      </c>
      <c r="R301" s="47">
        <f>recipe12TotScale * IF(L301 = "", Q301 * M301, IF(ISNA(CONVERT(Q301, L301, "kg")), CONVERT(Q301, L301, "l") * IF(N301 &lt;&gt; 0, M301 / N301, 0), CONVERT(Q301, L301, "kg")))</f>
        <v>0</v>
      </c>
      <c r="S301" s="47">
        <f>recipe12TotScale * IF(R301 = 0, IF(L301 = "", Q301 * N301, IF(ISNA(CONVERT(Q301, L301, "l")), CONVERT(Q301, L301, "kg") * IF(M301 &lt;&gt; 0, N301 / M301, 0), CONVERT(Q301, L301, "l"))), 0)</f>
        <v>2.9573529562499999E-2</v>
      </c>
      <c r="T301" s="47">
        <f>recipe12TotScale * IF(AND(R301 = 0, S301 = 0, J301 = "", L301 = ""), Q301, 0)</f>
        <v>0</v>
      </c>
      <c r="V301" s="44" t="b">
        <f>INDEX(itemPrepMethods, MATCH(K301, itemNames, 0))="chop"</f>
        <v>0</v>
      </c>
      <c r="W301" s="57" t="str">
        <f>IF(V301, Q301, "")</f>
        <v/>
      </c>
      <c r="X301" s="58" t="str">
        <f>IF(V301, IF(L301 = "", "", L301), "")</f>
        <v/>
      </c>
      <c r="Y301" s="58" t="str">
        <f>IF(V301, K301, "")</f>
        <v/>
      </c>
      <c r="Z301" s="59"/>
      <c r="AA301" s="44" t="b">
        <f>INDEX(itemPrepMethods, MATCH(K301, itemNames, 0))="soak"</f>
        <v>0</v>
      </c>
      <c r="AB301" s="58" t="str">
        <f>IF(AA301, Q301, "")</f>
        <v/>
      </c>
      <c r="AC301" s="58" t="str">
        <f>IF(AA301, IF(L301 = "", "", L301), "")</f>
        <v/>
      </c>
      <c r="AD301" s="58" t="str">
        <f>IF(AA301, K301, "")</f>
        <v/>
      </c>
    </row>
    <row r="302" spans="1:30" x14ac:dyDescent="0.25">
      <c r="A302" s="40" t="s">
        <v>21</v>
      </c>
      <c r="B302" s="52">
        <f t="shared" ref="B302:B303" si="262">Q302</f>
        <v>2</v>
      </c>
      <c r="C302" s="39" t="str">
        <f t="shared" ref="C302:C303" si="263">IF(L302="","",L302)</f>
        <v>tsp</v>
      </c>
      <c r="D302" s="40" t="str">
        <f>_xlfn.CONCAT(K302, U302)</f>
        <v>dijon mustard</v>
      </c>
      <c r="I302" s="54">
        <v>2</v>
      </c>
      <c r="J302" s="55" t="s">
        <v>13</v>
      </c>
      <c r="K302" s="55" t="s">
        <v>75</v>
      </c>
      <c r="L302" s="56" t="s">
        <v>13</v>
      </c>
      <c r="M302" s="47">
        <f t="shared" ref="M302:M303" si="264">INDEX(itemGPerQty, MATCH(K302, itemNames, 0))</f>
        <v>0</v>
      </c>
      <c r="N302" s="47">
        <f t="shared" ref="N302:N303" si="265">INDEX(itemMlPerQty, MATCH(K302, itemNames, 0))</f>
        <v>0</v>
      </c>
      <c r="O302" s="47">
        <f t="shared" ref="O302:O303" si="266">IF(J302 = "", I302 * M302, IF(ISNA(CONVERT(I302, J302, "kg")), CONVERT(I302, J302, "l") * IF(N302 &lt;&gt; 0, M302 / N302, 0), CONVERT(I302, J302, "kg")))</f>
        <v>0</v>
      </c>
      <c r="P302" s="47">
        <f t="shared" ref="P302:P303" si="267">IF(J302 = "", I302 * N302, IF(ISNA(CONVERT(I302, J302, "l")), CONVERT(I302, J302, "kg") * IF(M302 &lt;&gt; 0, N302 / M302, 0), CONVERT(I302, J302, "l")))</f>
        <v>9.8578431874999997E-3</v>
      </c>
      <c r="Q302" s="47">
        <f>MROUND(IF(AND(J302 = "", L302 = ""), I302 * recipe12DayScale, IF(ISNA(CONVERT(O302, "kg", L302)), CONVERT(P302 * recipe12DayScale, "l", L302), CONVERT(O302 * recipe12DayScale, "kg", L302))), roundTo)</f>
        <v>2</v>
      </c>
      <c r="R302" s="47">
        <f>recipe12TotScale * IF(L302 = "", Q302 * M302, IF(ISNA(CONVERT(Q302, L302, "kg")), CONVERT(Q302, L302, "l") * IF(N302 &lt;&gt; 0, M302 / N302, 0), CONVERT(Q302, L302, "kg")))</f>
        <v>0</v>
      </c>
      <c r="S302" s="47">
        <f>recipe12TotScale * IF(R302 = 0, IF(L302 = "", Q302 * N302, IF(ISNA(CONVERT(Q302, L302, "l")), CONVERT(Q302, L302, "kg") * IF(M302 &lt;&gt; 0, N302 / M302, 0), CONVERT(Q302, L302, "l"))), 0)</f>
        <v>9.8578431874999997E-3</v>
      </c>
      <c r="T302" s="47">
        <f>recipe12TotScale * IF(AND(R302 = 0, S302 = 0, J302 = "", L302 = ""), Q302, 0)</f>
        <v>0</v>
      </c>
      <c r="V302" s="44" t="b">
        <f>INDEX(itemPrepMethods, MATCH(K302, itemNames, 0))="chop"</f>
        <v>0</v>
      </c>
      <c r="W302" s="57" t="str">
        <f>IF(V302, Q302, "")</f>
        <v/>
      </c>
      <c r="X302" s="58" t="str">
        <f>IF(V302, IF(L302 = "", "", L302), "")</f>
        <v/>
      </c>
      <c r="Y302" s="58" t="str">
        <f>IF(V302, K302, "")</f>
        <v/>
      </c>
      <c r="Z302" s="59"/>
      <c r="AA302" s="44" t="b">
        <f>INDEX(itemPrepMethods, MATCH(K302, itemNames, 0))="soak"</f>
        <v>0</v>
      </c>
      <c r="AB302" s="58" t="str">
        <f>IF(AA302, Q302, "")</f>
        <v/>
      </c>
      <c r="AC302" s="58" t="str">
        <f>IF(AA302, IF(L302 = "", "", L302), "")</f>
        <v/>
      </c>
      <c r="AD302" s="58" t="str">
        <f>IF(AA302, K302, "")</f>
        <v/>
      </c>
    </row>
    <row r="303" spans="1:30" x14ac:dyDescent="0.25">
      <c r="A303" s="40" t="s">
        <v>21</v>
      </c>
      <c r="B303" s="52">
        <f t="shared" si="262"/>
        <v>2</v>
      </c>
      <c r="C303" s="39" t="str">
        <f t="shared" si="263"/>
        <v>tsp</v>
      </c>
      <c r="D303" s="40" t="str">
        <f>_xlfn.CONCAT(K303, U303)</f>
        <v>ground turmeric</v>
      </c>
      <c r="I303" s="54">
        <v>2</v>
      </c>
      <c r="J303" s="55" t="s">
        <v>13</v>
      </c>
      <c r="K303" s="55" t="s">
        <v>316</v>
      </c>
      <c r="L303" s="56" t="s">
        <v>13</v>
      </c>
      <c r="M303" s="47">
        <f t="shared" si="264"/>
        <v>1.4E-2</v>
      </c>
      <c r="N303" s="47">
        <f t="shared" si="265"/>
        <v>2.2180100000000001E-2</v>
      </c>
      <c r="O303" s="47">
        <f t="shared" si="266"/>
        <v>6.2222354554307691E-3</v>
      </c>
      <c r="P303" s="47">
        <f t="shared" si="267"/>
        <v>9.8578431874999997E-3</v>
      </c>
      <c r="Q303" s="47">
        <f>MROUND(IF(AND(J303 = "", L303 = ""), I303 * recipe12DayScale, IF(ISNA(CONVERT(O303, "kg", L303)), CONVERT(P303 * recipe12DayScale, "l", L303), CONVERT(O303 * recipe12DayScale, "kg", L303))), roundTo)</f>
        <v>2</v>
      </c>
      <c r="R303" s="47">
        <f>recipe12TotScale * IF(L303 = "", Q303 * M303, IF(ISNA(CONVERT(Q303, L303, "kg")), CONVERT(Q303, L303, "l") * IF(N303 &lt;&gt; 0, M303 / N303, 0), CONVERT(Q303, L303, "kg")))</f>
        <v>6.2222354554307691E-3</v>
      </c>
      <c r="S303" s="47">
        <f>recipe12TotScale * IF(R303 = 0, IF(L303 = "", Q303 * N303, IF(ISNA(CONVERT(Q303, L303, "l")), CONVERT(Q303, L303, "kg") * IF(M303 &lt;&gt; 0, N303 / M303, 0), CONVERT(Q303, L303, "l"))), 0)</f>
        <v>0</v>
      </c>
      <c r="T303" s="47">
        <f>recipe12TotScale * IF(AND(R303 = 0, S303 = 0, J303 = "", L303 = ""), Q303, 0)</f>
        <v>0</v>
      </c>
      <c r="V303" s="44" t="b">
        <f>INDEX(itemPrepMethods, MATCH(K303, itemNames, 0))="chop"</f>
        <v>0</v>
      </c>
      <c r="W303" s="57" t="str">
        <f>IF(V303, Q303, "")</f>
        <v/>
      </c>
      <c r="X303" s="58" t="str">
        <f>IF(V303, IF(L303 = "", "", L303), "")</f>
        <v/>
      </c>
      <c r="Y303" s="58" t="str">
        <f>IF(V303, K303, "")</f>
        <v/>
      </c>
      <c r="Z303" s="59"/>
      <c r="AA303" s="44" t="b">
        <f>INDEX(itemPrepMethods, MATCH(K303, itemNames, 0))="soak"</f>
        <v>0</v>
      </c>
      <c r="AB303" s="58" t="str">
        <f>IF(AA303, Q303, "")</f>
        <v/>
      </c>
      <c r="AC303" s="58" t="str">
        <f>IF(AA303, IF(L303 = "", "", L303), "")</f>
        <v/>
      </c>
      <c r="AD303" s="58" t="str">
        <f>IF(AA303, K303, "")</f>
        <v/>
      </c>
    </row>
    <row r="304" spans="1:30" x14ac:dyDescent="0.25">
      <c r="A304" s="40" t="s">
        <v>21</v>
      </c>
      <c r="B304" s="52">
        <f t="shared" ref="B304" si="268">Q304</f>
        <v>2</v>
      </c>
      <c r="C304" s="39" t="str">
        <f t="shared" ref="C304" si="269">IF(L304="","",L304)</f>
        <v>tsp</v>
      </c>
      <c r="D304" s="40" t="str">
        <f>_xlfn.CONCAT(K304, U304)</f>
        <v>salt</v>
      </c>
      <c r="I304" s="54">
        <v>2</v>
      </c>
      <c r="J304" s="55" t="s">
        <v>13</v>
      </c>
      <c r="K304" s="55" t="s">
        <v>11</v>
      </c>
      <c r="L304" s="56" t="s">
        <v>13</v>
      </c>
      <c r="M304" s="47">
        <f t="shared" ref="M304" si="270">INDEX(itemGPerQty, MATCH(K304, itemNames, 0))</f>
        <v>2.5000000000000001E-2</v>
      </c>
      <c r="N304" s="47">
        <f t="shared" ref="N304" si="271">INDEX(itemMlPerQty, MATCH(K304, itemNames, 0))</f>
        <v>2.2180100000000001E-2</v>
      </c>
      <c r="O304" s="47">
        <f t="shared" ref="O304" si="272">IF(J304 = "", I304 * M304, IF(ISNA(CONVERT(I304, J304, "kg")), CONVERT(I304, J304, "l") * IF(N304 &lt;&gt; 0, M304 / N304, 0), CONVERT(I304, J304, "kg")))</f>
        <v>1.111113474184066E-2</v>
      </c>
      <c r="P304" s="47">
        <f t="shared" ref="P304" si="273">IF(J304 = "", I304 * N304, IF(ISNA(CONVERT(I304, J304, "l")), CONVERT(I304, J304, "kg") * IF(M304 &lt;&gt; 0, N304 / M304, 0), CONVERT(I304, J304, "l")))</f>
        <v>9.8578431874999997E-3</v>
      </c>
      <c r="Q304" s="47">
        <f>MROUND(IF(AND(J304 = "", L304 = ""), I304 * recipe12DayScale, IF(ISNA(CONVERT(O304, "kg", L304)), CONVERT(P304 * recipe12DayScale, "l", L304), CONVERT(O304 * recipe12DayScale, "kg", L304))), roundTo)</f>
        <v>2</v>
      </c>
      <c r="R304" s="47">
        <f>recipe12TotScale * IF(L304 = "", Q304 * M304, IF(ISNA(CONVERT(Q304, L304, "kg")), CONVERT(Q304, L304, "l") * IF(N304 &lt;&gt; 0, M304 / N304, 0), CONVERT(Q304, L304, "kg")))</f>
        <v>1.111113474184066E-2</v>
      </c>
      <c r="S304" s="47">
        <f>recipe12TotScale * IF(R304 = 0, IF(L304 = "", Q304 * N304, IF(ISNA(CONVERT(Q304, L304, "l")), CONVERT(Q304, L304, "kg") * IF(M304 &lt;&gt; 0, N304 / M304, 0), CONVERT(Q304, L304, "l"))), 0)</f>
        <v>0</v>
      </c>
      <c r="T304" s="47">
        <f>recipe12TotScale * IF(AND(R304 = 0, S304 = 0, J304 = "", L304 = ""), Q304, 0)</f>
        <v>0</v>
      </c>
      <c r="V304" s="44" t="b">
        <f>INDEX(itemPrepMethods, MATCH(K304, itemNames, 0))="chop"</f>
        <v>0</v>
      </c>
      <c r="W304" s="57" t="str">
        <f>IF(V304, Q304, "")</f>
        <v/>
      </c>
      <c r="X304" s="58" t="str">
        <f>IF(V304, IF(L304 = "", "", L304), "")</f>
        <v/>
      </c>
      <c r="Y304" s="58" t="str">
        <f>IF(V304, K304, "")</f>
        <v/>
      </c>
      <c r="Z304" s="59"/>
      <c r="AA304" s="44" t="b">
        <f>INDEX(itemPrepMethods, MATCH(K304, itemNames, 0))="soak"</f>
        <v>0</v>
      </c>
      <c r="AB304" s="58" t="str">
        <f>IF(AA304, Q304, "")</f>
        <v/>
      </c>
      <c r="AC304" s="58" t="str">
        <f>IF(AA304, IF(L304 = "", "", L304), "")</f>
        <v/>
      </c>
      <c r="AD304" s="58" t="str">
        <f>IF(AA304, K304, "")</f>
        <v/>
      </c>
    </row>
    <row r="305" spans="1:30" x14ac:dyDescent="0.25">
      <c r="A305" s="40" t="s">
        <v>21</v>
      </c>
      <c r="B305" s="52">
        <f t="shared" ref="B305" si="274">Q305</f>
        <v>2</v>
      </c>
      <c r="C305" s="39" t="str">
        <f t="shared" ref="C305" si="275">IF(L305="","",L305)</f>
        <v>cup</v>
      </c>
      <c r="D305" s="40" t="str">
        <f>_xlfn.CONCAT(K305, U305)</f>
        <v>soymilk</v>
      </c>
      <c r="I305" s="54">
        <v>2</v>
      </c>
      <c r="J305" s="55" t="s">
        <v>16</v>
      </c>
      <c r="K305" s="55" t="s">
        <v>296</v>
      </c>
      <c r="L305" s="56" t="s">
        <v>16</v>
      </c>
      <c r="M305" s="47">
        <f t="shared" ref="M305" si="276">INDEX(itemGPerQty, MATCH(K305, itemNames, 0))</f>
        <v>0</v>
      </c>
      <c r="N305" s="47">
        <f t="shared" ref="N305" si="277">INDEX(itemMlPerQty, MATCH(K305, itemNames, 0))</f>
        <v>0</v>
      </c>
      <c r="O305" s="47">
        <f t="shared" ref="O305" si="278">IF(J305 = "", I305 * M305, IF(ISNA(CONVERT(I305, J305, "kg")), CONVERT(I305, J305, "l") * IF(N305 &lt;&gt; 0, M305 / N305, 0), CONVERT(I305, J305, "kg")))</f>
        <v>0</v>
      </c>
      <c r="P305" s="47">
        <f t="shared" ref="P305" si="279">IF(J305 = "", I305 * N305, IF(ISNA(CONVERT(I305, J305, "l")), CONVERT(I305, J305, "kg") * IF(M305 &lt;&gt; 0, N305 / M305, 0), CONVERT(I305, J305, "l")))</f>
        <v>0.47317647299999999</v>
      </c>
      <c r="Q305" s="47">
        <f>MROUND(IF(AND(J305 = "", L305 = ""), I305 * recipe12DayScale, IF(ISNA(CONVERT(O305, "kg", L305)), CONVERT(P305 * recipe12DayScale, "l", L305), CONVERT(O305 * recipe12DayScale, "kg", L305))), roundTo)</f>
        <v>2</v>
      </c>
      <c r="R305" s="47">
        <f>recipe12TotScale * IF(L305 = "", Q305 * M305, IF(ISNA(CONVERT(Q305, L305, "kg")), CONVERT(Q305, L305, "l") * IF(N305 &lt;&gt; 0, M305 / N305, 0), CONVERT(Q305, L305, "kg")))</f>
        <v>0</v>
      </c>
      <c r="S305" s="47">
        <f>recipe12TotScale * IF(R305 = 0, IF(L305 = "", Q305 * N305, IF(ISNA(CONVERT(Q305, L305, "l")), CONVERT(Q305, L305, "kg") * IF(M305 &lt;&gt; 0, N305 / M305, 0), CONVERT(Q305, L305, "l"))), 0)</f>
        <v>0.47317647299999999</v>
      </c>
      <c r="T305" s="47">
        <f>recipe12TotScale * IF(AND(R305 = 0, S305 = 0, J305 = "", L305 = ""), Q305, 0)</f>
        <v>0</v>
      </c>
      <c r="V305" s="44" t="b">
        <f>INDEX(itemPrepMethods, MATCH(K305, itemNames, 0))="chop"</f>
        <v>0</v>
      </c>
      <c r="W305" s="57" t="str">
        <f>IF(V305, Q305, "")</f>
        <v/>
      </c>
      <c r="X305" s="58" t="str">
        <f>IF(V305, IF(L305 = "", "", L305), "")</f>
        <v/>
      </c>
      <c r="Y305" s="58" t="str">
        <f>IF(V305, K305, "")</f>
        <v/>
      </c>
      <c r="Z305" s="59"/>
      <c r="AA305" s="44" t="b">
        <f>INDEX(itemPrepMethods, MATCH(K305, itemNames, 0))="soak"</f>
        <v>0</v>
      </c>
      <c r="AB305" s="58" t="str">
        <f>IF(AA305, Q305, "")</f>
        <v/>
      </c>
      <c r="AC305" s="58" t="str">
        <f>IF(AA305, IF(L305 = "", "", L305), "")</f>
        <v/>
      </c>
      <c r="AD305" s="58" t="str">
        <f>IF(AA305, K305, "")</f>
        <v/>
      </c>
    </row>
    <row r="306" spans="1:30" x14ac:dyDescent="0.25">
      <c r="A306" s="107"/>
      <c r="B306" s="107"/>
      <c r="C306" s="107"/>
      <c r="D306" s="107"/>
      <c r="I306" s="47"/>
      <c r="W306" s="67"/>
      <c r="X306" s="67"/>
      <c r="Y306" s="67"/>
      <c r="Z306" s="67"/>
      <c r="AA306" s="67"/>
      <c r="AB306" s="67"/>
      <c r="AC306" s="67"/>
      <c r="AD306" s="67"/>
    </row>
    <row r="307" spans="1:30" x14ac:dyDescent="0.25">
      <c r="A307" s="107" t="s">
        <v>297</v>
      </c>
      <c r="B307" s="107"/>
      <c r="C307" s="107"/>
      <c r="D307" s="107"/>
      <c r="E307" s="43"/>
      <c r="F307" s="60"/>
      <c r="G307" s="60"/>
      <c r="H307" s="47"/>
      <c r="W307" s="67"/>
      <c r="X307" s="67"/>
      <c r="Y307" s="67"/>
      <c r="Z307" s="67"/>
      <c r="AA307" s="67"/>
      <c r="AB307" s="67"/>
      <c r="AC307" s="67"/>
      <c r="AD307" s="67"/>
    </row>
    <row r="308" spans="1:30" x14ac:dyDescent="0.25">
      <c r="A308" s="107"/>
      <c r="B308" s="107"/>
      <c r="C308" s="107"/>
      <c r="D308" s="107"/>
      <c r="I308" s="47"/>
      <c r="W308" s="67"/>
      <c r="X308" s="67"/>
      <c r="Y308" s="67"/>
      <c r="Z308" s="67"/>
      <c r="AA308" s="67"/>
      <c r="AB308" s="67"/>
      <c r="AC308" s="67"/>
      <c r="AD308" s="67"/>
    </row>
    <row r="309" spans="1:30" x14ac:dyDescent="0.25">
      <c r="A309" s="107" t="s">
        <v>298</v>
      </c>
      <c r="B309" s="107"/>
      <c r="C309" s="107"/>
      <c r="D309" s="107"/>
      <c r="E309" s="43"/>
      <c r="F309" s="60"/>
      <c r="G309" s="60"/>
      <c r="H309" s="47"/>
    </row>
    <row r="310" spans="1:30" ht="15.75" x14ac:dyDescent="0.25">
      <c r="A310" s="108" t="s">
        <v>34</v>
      </c>
      <c r="B310" s="108"/>
      <c r="C310" s="108"/>
      <c r="D310" s="108"/>
      <c r="E310" s="43" t="s">
        <v>140</v>
      </c>
      <c r="F310" s="104" t="s">
        <v>153</v>
      </c>
      <c r="G310" s="104"/>
    </row>
    <row r="311" spans="1:30" ht="24" x14ac:dyDescent="0.2">
      <c r="A311" s="108" t="s">
        <v>41</v>
      </c>
      <c r="B311" s="108"/>
      <c r="C311" s="108"/>
      <c r="D311" s="108"/>
      <c r="E311" s="42" t="s">
        <v>56</v>
      </c>
      <c r="F311" s="90">
        <v>15</v>
      </c>
      <c r="G311" s="47"/>
      <c r="I311" s="70" t="s">
        <v>448</v>
      </c>
      <c r="J311" s="71" t="s">
        <v>449</v>
      </c>
      <c r="K311" s="71" t="s">
        <v>17</v>
      </c>
      <c r="L311" s="72" t="s">
        <v>452</v>
      </c>
      <c r="M311" s="70" t="s">
        <v>148</v>
      </c>
      <c r="N311" s="70" t="s">
        <v>149</v>
      </c>
      <c r="O311" s="70" t="s">
        <v>450</v>
      </c>
      <c r="P311" s="70" t="s">
        <v>451</v>
      </c>
      <c r="Q311" s="71" t="s">
        <v>364</v>
      </c>
      <c r="R311" s="70" t="s">
        <v>365</v>
      </c>
      <c r="S311" s="70" t="s">
        <v>366</v>
      </c>
      <c r="T311" s="70" t="s">
        <v>367</v>
      </c>
      <c r="U311" s="71" t="s">
        <v>22</v>
      </c>
      <c r="V311" s="71" t="s">
        <v>212</v>
      </c>
      <c r="W311" s="73" t="s">
        <v>364</v>
      </c>
      <c r="X311" s="71" t="s">
        <v>210</v>
      </c>
      <c r="Y311" s="71" t="s">
        <v>211</v>
      </c>
      <c r="Z311" s="71" t="s">
        <v>313</v>
      </c>
      <c r="AA311" s="71" t="s">
        <v>213</v>
      </c>
      <c r="AB311" s="73" t="s">
        <v>364</v>
      </c>
      <c r="AC311" s="71" t="s">
        <v>214</v>
      </c>
      <c r="AD311" s="71" t="s">
        <v>215</v>
      </c>
    </row>
    <row r="312" spans="1:30" ht="16.5" thickBot="1" x14ac:dyDescent="0.3">
      <c r="A312" s="109"/>
      <c r="B312" s="109"/>
      <c r="C312" s="109"/>
      <c r="D312" s="109"/>
      <c r="E312" s="66" t="s">
        <v>359</v>
      </c>
      <c r="F312" s="90">
        <f>weDiCount</f>
        <v>10</v>
      </c>
      <c r="G312" s="47"/>
      <c r="I312" s="63"/>
      <c r="J312" s="42"/>
      <c r="K312" s="42"/>
      <c r="L312" s="64"/>
      <c r="M312" s="63"/>
      <c r="N312" s="63"/>
      <c r="O312" s="63"/>
      <c r="P312" s="63"/>
      <c r="Q312" s="42"/>
      <c r="R312" s="63"/>
      <c r="S312" s="63"/>
      <c r="T312" s="63"/>
      <c r="U312" s="42"/>
    </row>
    <row r="313" spans="1:30" ht="15.75" thickBot="1" x14ac:dyDescent="0.3">
      <c r="A313" s="107" t="s">
        <v>168</v>
      </c>
      <c r="B313" s="107"/>
      <c r="C313" s="107"/>
      <c r="D313" s="107"/>
      <c r="E313" s="66" t="s">
        <v>362</v>
      </c>
      <c r="F313" s="50">
        <f>F312/F311</f>
        <v>0.66666666666666663</v>
      </c>
      <c r="G313" s="51" t="s">
        <v>388</v>
      </c>
      <c r="I313" s="47"/>
    </row>
    <row r="314" spans="1:30" x14ac:dyDescent="0.25">
      <c r="A314" s="107"/>
      <c r="B314" s="107"/>
      <c r="C314" s="107"/>
      <c r="D314" s="107"/>
      <c r="E314" s="67"/>
      <c r="F314" s="67"/>
      <c r="G314" s="67"/>
      <c r="I314" s="47"/>
    </row>
    <row r="315" spans="1:30" ht="15.75" thickBot="1" x14ac:dyDescent="0.3">
      <c r="A315" s="107" t="s">
        <v>299</v>
      </c>
      <c r="B315" s="107"/>
      <c r="C315" s="107"/>
      <c r="D315" s="107"/>
      <c r="E315" s="66" t="s">
        <v>338</v>
      </c>
      <c r="F315" s="90">
        <f>weDiCount</f>
        <v>10</v>
      </c>
      <c r="G315" s="67"/>
      <c r="I315" s="47"/>
    </row>
    <row r="316" spans="1:30" ht="15.75" thickBot="1" x14ac:dyDescent="0.3">
      <c r="A316" s="40" t="s">
        <v>21</v>
      </c>
      <c r="B316" s="52">
        <f>Q316</f>
        <v>6</v>
      </c>
      <c r="C316" s="39" t="str">
        <f>IF(L316="","",L316)</f>
        <v/>
      </c>
      <c r="D316" s="40" t="str">
        <f>_xlfn.CONCAT(K316, U316)</f>
        <v>garlic cloves. Remove from oil once cooked</v>
      </c>
      <c r="E316" s="66" t="s">
        <v>363</v>
      </c>
      <c r="F316" s="50">
        <f>F315/F312</f>
        <v>1</v>
      </c>
      <c r="G316" s="51" t="s">
        <v>389</v>
      </c>
      <c r="I316" s="62">
        <v>9</v>
      </c>
      <c r="J316" s="55"/>
      <c r="K316" s="55" t="s">
        <v>8</v>
      </c>
      <c r="L316" s="56"/>
      <c r="M316" s="47">
        <f>INDEX(itemGPerQty, MATCH(K316, itemNames, 0))</f>
        <v>0</v>
      </c>
      <c r="N316" s="47">
        <f>INDEX(itemMlPerQty, MATCH(K316, itemNames, 0))</f>
        <v>0</v>
      </c>
      <c r="O316" s="47">
        <f>IF(J316 = "", I316 * M316, IF(ISNA(CONVERT(I316, J316, "kg")), CONVERT(I316, J316, "l") * IF(N316 &lt;&gt; 0, M316 / N316, 0), CONVERT(I316, J316, "kg")))</f>
        <v>0</v>
      </c>
      <c r="P316" s="47">
        <f>IF(J316 = "", I316 * N316, IF(ISNA(CONVERT(I316, J316, "l")), CONVERT(I316, J316, "kg") * IF(M316 &lt;&gt; 0, N316 / M316, 0), CONVERT(I316, J316, "l")))</f>
        <v>0</v>
      </c>
      <c r="Q316" s="47">
        <f>MROUND(IF(AND(J316 = "", L316 = ""), I316 * recipe09DayScale, IF(ISNA(CONVERT(O316, "kg", L316)), CONVERT(P316 * recipe09DayScale, "l", L316), CONVERT(O316 * recipe09DayScale, "kg", L316))), roundTo)</f>
        <v>6</v>
      </c>
      <c r="R316" s="47">
        <f>recipe09TotScale * IF(L316 = "", Q316 * M316, IF(ISNA(CONVERT(Q316, L316, "kg")), CONVERT(Q316, L316, "l") * IF(N316 &lt;&gt; 0, M316 / N316, 0), CONVERT(Q316, L316, "kg")))</f>
        <v>0</v>
      </c>
      <c r="S316" s="47">
        <f>recipe09TotScale * IF(R316 = 0, IF(L316 = "", Q316 * N316, IF(ISNA(CONVERT(Q316, L316, "l")), CONVERT(Q316, L316, "kg") * IF(M316 &lt;&gt; 0, N316 / M316, 0), CONVERT(Q316, L316, "l"))), 0)</f>
        <v>0</v>
      </c>
      <c r="T316" s="47">
        <f>recipe09TotScale * IF(AND(R316 = 0, S316 = 0, J316 = "", L316 = ""), Q316, 0)</f>
        <v>6</v>
      </c>
      <c r="U316" s="44" t="s">
        <v>243</v>
      </c>
      <c r="V316" s="44" t="b">
        <f>INDEX(itemPrepMethods, MATCH(K316, itemNames, 0))="chop"</f>
        <v>0</v>
      </c>
      <c r="W316" s="57" t="str">
        <f>IF(V316, Q316, "")</f>
        <v/>
      </c>
      <c r="X316" s="58" t="str">
        <f>IF(V316, IF(L316 = "", "", L316), "")</f>
        <v/>
      </c>
      <c r="Y316" s="58" t="str">
        <f>IF(V316, K316, "")</f>
        <v/>
      </c>
      <c r="Z316" s="59"/>
      <c r="AA316" s="44" t="b">
        <f>INDEX(itemPrepMethods, MATCH(K316, itemNames, 0))="soak"</f>
        <v>0</v>
      </c>
      <c r="AB316" s="58" t="str">
        <f>IF(AA316, Q316, "")</f>
        <v/>
      </c>
      <c r="AC316" s="58" t="str">
        <f>IF(AA316, IF(L316 = "", "", L316), "")</f>
        <v/>
      </c>
      <c r="AD316" s="58" t="str">
        <f>IF(AA316, K316, "")</f>
        <v/>
      </c>
    </row>
    <row r="317" spans="1:30" x14ac:dyDescent="0.25">
      <c r="A317" s="107"/>
      <c r="B317" s="107"/>
      <c r="C317" s="107"/>
      <c r="D317" s="107"/>
      <c r="E317" s="42"/>
      <c r="F317" s="47"/>
      <c r="G317" s="47"/>
      <c r="I317" s="47"/>
      <c r="W317" s="74"/>
      <c r="X317" s="75"/>
      <c r="Y317" s="75"/>
      <c r="Z317" s="76"/>
      <c r="AA317" s="67"/>
      <c r="AB317" s="74"/>
      <c r="AC317" s="74"/>
      <c r="AD317" s="74"/>
    </row>
    <row r="318" spans="1:30" x14ac:dyDescent="0.25">
      <c r="A318" s="107" t="s">
        <v>300</v>
      </c>
      <c r="B318" s="107"/>
      <c r="C318" s="107"/>
      <c r="D318" s="107"/>
      <c r="I318" s="47"/>
      <c r="W318" s="74"/>
      <c r="X318" s="75"/>
      <c r="Y318" s="75"/>
      <c r="Z318" s="76"/>
      <c r="AA318" s="67"/>
      <c r="AB318" s="74"/>
      <c r="AC318" s="74"/>
      <c r="AD318" s="74"/>
    </row>
    <row r="319" spans="1:30" x14ac:dyDescent="0.25">
      <c r="A319" s="40" t="s">
        <v>21</v>
      </c>
      <c r="B319" s="52">
        <f t="shared" ref="B319:B323" si="280">Q319</f>
        <v>5.25</v>
      </c>
      <c r="C319" s="39" t="str">
        <f t="shared" ref="C319:C326" si="281">IF(L319="","",L319)</f>
        <v>tbs</v>
      </c>
      <c r="D319" s="40" t="str">
        <f t="shared" ref="D319:D326" si="282">_xlfn.CONCAT(K319, U319)</f>
        <v>oil</v>
      </c>
      <c r="I319" s="62">
        <v>8</v>
      </c>
      <c r="J319" s="55" t="s">
        <v>15</v>
      </c>
      <c r="K319" s="55" t="s">
        <v>46</v>
      </c>
      <c r="L319" s="56" t="s">
        <v>15</v>
      </c>
      <c r="M319" s="47">
        <f t="shared" ref="M319:M326" si="283">INDEX(itemGPerQty, MATCH(K319, itemNames, 0))</f>
        <v>0</v>
      </c>
      <c r="N319" s="47">
        <f t="shared" ref="N319:N326" si="284">INDEX(itemMlPerQty, MATCH(K319, itemNames, 0))</f>
        <v>0</v>
      </c>
      <c r="O319" s="47">
        <f t="shared" ref="O319:O326" si="285">IF(J319 = "", I319 * M319, IF(ISNA(CONVERT(I319, J319, "kg")), CONVERT(I319, J319, "l") * IF(N319 &lt;&gt; 0, M319 / N319, 0), CONVERT(I319, J319, "kg")))</f>
        <v>0</v>
      </c>
      <c r="P319" s="47">
        <f t="shared" ref="P319:P326" si="286">IF(J319 = "", I319 * N319, IF(ISNA(CONVERT(I319, J319, "l")), CONVERT(I319, J319, "kg") * IF(M319 &lt;&gt; 0, N319 / M319, 0), CONVERT(I319, J319, "l")))</f>
        <v>0.11829411825</v>
      </c>
      <c r="Q319" s="47">
        <f t="shared" ref="Q319:Q326" si="287">MROUND(IF(AND(J319 = "", L319 = ""), I319 * recipe09DayScale, IF(ISNA(CONVERT(O319, "kg", L319)), CONVERT(P319 * recipe09DayScale, "l", L319), CONVERT(O319 * recipe09DayScale, "kg", L319))), roundTo)</f>
        <v>5.25</v>
      </c>
      <c r="R319" s="47">
        <f t="shared" ref="R319:R326" si="288">recipe09TotScale * IF(L319 = "", Q319 * M319, IF(ISNA(CONVERT(Q319, L319, "kg")), CONVERT(Q319, L319, "l") * IF(N319 &lt;&gt; 0, M319 / N319, 0), CONVERT(Q319, L319, "kg")))</f>
        <v>0</v>
      </c>
      <c r="S319" s="47">
        <f t="shared" ref="S319:S326" si="289">recipe09TotScale * IF(R319 = 0, IF(L319 = "", Q319 * N319, IF(ISNA(CONVERT(Q319, L319, "l")), CONVERT(Q319, L319, "kg") * IF(M319 &lt;&gt; 0, N319 / M319, 0), CONVERT(Q319, L319, "l"))), 0)</f>
        <v>7.7630515101562492E-2</v>
      </c>
      <c r="T319" s="47">
        <f t="shared" ref="T319:T326" si="290">recipe09TotScale * IF(AND(R319 = 0, S319 = 0, J319 = "", L319 = ""), Q319, 0)</f>
        <v>0</v>
      </c>
      <c r="V319" s="44" t="b">
        <f t="shared" ref="V319:V326" si="291">INDEX(itemPrepMethods, MATCH(K319, itemNames, 0))="chop"</f>
        <v>0</v>
      </c>
      <c r="W319" s="57" t="str">
        <f t="shared" ref="W319:W326" si="292">IF(V319, Q319, "")</f>
        <v/>
      </c>
      <c r="X319" s="58" t="str">
        <f t="shared" ref="X319:X326" si="293">IF(V319, IF(L319 = "", "", L319), "")</f>
        <v/>
      </c>
      <c r="Y319" s="58" t="str">
        <f t="shared" ref="Y319:Y326" si="294">IF(V319, K319, "")</f>
        <v/>
      </c>
      <c r="Z319" s="59"/>
      <c r="AA319" s="44" t="b">
        <f t="shared" ref="AA319:AA326" si="295">INDEX(itemPrepMethods, MATCH(K319, itemNames, 0))="soak"</f>
        <v>0</v>
      </c>
      <c r="AB319" s="58" t="str">
        <f t="shared" ref="AB319:AB326" si="296">IF(AA319, Q319, "")</f>
        <v/>
      </c>
      <c r="AC319" s="58" t="str">
        <f t="shared" ref="AC319:AC326" si="297">IF(AA319, IF(L319 = "", "", L319), "")</f>
        <v/>
      </c>
      <c r="AD319" s="58" t="str">
        <f t="shared" ref="AD319:AD326" si="298">IF(AA319, K319, "")</f>
        <v/>
      </c>
    </row>
    <row r="320" spans="1:30" x14ac:dyDescent="0.25">
      <c r="A320" s="40" t="s">
        <v>21</v>
      </c>
      <c r="B320" s="52">
        <f t="shared" si="280"/>
        <v>4</v>
      </c>
      <c r="C320" s="39" t="str">
        <f t="shared" si="281"/>
        <v>tbs</v>
      </c>
      <c r="D320" s="40" t="str">
        <f t="shared" si="282"/>
        <v>minced fresh ginger</v>
      </c>
      <c r="I320" s="62">
        <v>6</v>
      </c>
      <c r="J320" s="55" t="s">
        <v>15</v>
      </c>
      <c r="K320" s="55" t="s">
        <v>231</v>
      </c>
      <c r="L320" s="56" t="s">
        <v>15</v>
      </c>
      <c r="M320" s="47">
        <f t="shared" si="283"/>
        <v>0</v>
      </c>
      <c r="N320" s="47">
        <f t="shared" si="284"/>
        <v>0</v>
      </c>
      <c r="O320" s="47">
        <f t="shared" si="285"/>
        <v>0</v>
      </c>
      <c r="P320" s="47">
        <f t="shared" si="286"/>
        <v>8.872058868749999E-2</v>
      </c>
      <c r="Q320" s="47">
        <f t="shared" si="287"/>
        <v>4</v>
      </c>
      <c r="R320" s="47">
        <f t="shared" si="288"/>
        <v>0</v>
      </c>
      <c r="S320" s="47">
        <f t="shared" si="289"/>
        <v>5.9147059124999998E-2</v>
      </c>
      <c r="T320" s="47">
        <f t="shared" si="290"/>
        <v>0</v>
      </c>
      <c r="V320" s="44" t="b">
        <f t="shared" si="291"/>
        <v>1</v>
      </c>
      <c r="W320" s="57">
        <f t="shared" si="292"/>
        <v>4</v>
      </c>
      <c r="X320" s="58" t="str">
        <f t="shared" si="293"/>
        <v>tbs</v>
      </c>
      <c r="Y320" s="58" t="str">
        <f t="shared" si="294"/>
        <v>minced fresh ginger</v>
      </c>
      <c r="Z320" s="59"/>
      <c r="AA320" s="44" t="b">
        <f t="shared" si="295"/>
        <v>0</v>
      </c>
      <c r="AB320" s="58" t="str">
        <f t="shared" si="296"/>
        <v/>
      </c>
      <c r="AC320" s="58" t="str">
        <f t="shared" si="297"/>
        <v/>
      </c>
      <c r="AD320" s="58" t="str">
        <f t="shared" si="298"/>
        <v/>
      </c>
    </row>
    <row r="321" spans="1:30" x14ac:dyDescent="0.25">
      <c r="A321" s="40" t="s">
        <v>21</v>
      </c>
      <c r="B321" s="52">
        <f t="shared" si="280"/>
        <v>7.25</v>
      </c>
      <c r="C321" s="39" t="str">
        <f t="shared" si="281"/>
        <v/>
      </c>
      <c r="D321" s="40" t="str">
        <f t="shared" si="282"/>
        <v>chopped celery stalks</v>
      </c>
      <c r="I321" s="62">
        <v>11</v>
      </c>
      <c r="J321" s="55"/>
      <c r="K321" s="55" t="s">
        <v>155</v>
      </c>
      <c r="L321" s="56"/>
      <c r="M321" s="47">
        <f t="shared" si="283"/>
        <v>0</v>
      </c>
      <c r="N321" s="47">
        <f t="shared" si="284"/>
        <v>0</v>
      </c>
      <c r="O321" s="47">
        <f t="shared" si="285"/>
        <v>0</v>
      </c>
      <c r="P321" s="47">
        <f t="shared" si="286"/>
        <v>0</v>
      </c>
      <c r="Q321" s="47">
        <f t="shared" si="287"/>
        <v>7.25</v>
      </c>
      <c r="R321" s="47">
        <f t="shared" si="288"/>
        <v>0</v>
      </c>
      <c r="S321" s="47">
        <f t="shared" si="289"/>
        <v>0</v>
      </c>
      <c r="T321" s="47">
        <f t="shared" si="290"/>
        <v>7.25</v>
      </c>
      <c r="V321" s="44" t="b">
        <f t="shared" si="291"/>
        <v>1</v>
      </c>
      <c r="W321" s="57">
        <f t="shared" si="292"/>
        <v>7.25</v>
      </c>
      <c r="X321" s="58" t="str">
        <f t="shared" si="293"/>
        <v/>
      </c>
      <c r="Y321" s="58" t="str">
        <f t="shared" si="294"/>
        <v>chopped celery stalks</v>
      </c>
      <c r="Z321" s="59"/>
      <c r="AA321" s="44" t="b">
        <f t="shared" si="295"/>
        <v>0</v>
      </c>
      <c r="AB321" s="58" t="str">
        <f t="shared" si="296"/>
        <v/>
      </c>
      <c r="AC321" s="58" t="str">
        <f t="shared" si="297"/>
        <v/>
      </c>
      <c r="AD321" s="58" t="str">
        <f t="shared" si="298"/>
        <v/>
      </c>
    </row>
    <row r="322" spans="1:30" x14ac:dyDescent="0.25">
      <c r="A322" s="40" t="s">
        <v>21</v>
      </c>
      <c r="B322" s="52">
        <f t="shared" si="280"/>
        <v>0.75</v>
      </c>
      <c r="C322" s="39" t="str">
        <f t="shared" si="281"/>
        <v>tbs</v>
      </c>
      <c r="D322" s="40" t="str">
        <f t="shared" si="282"/>
        <v>curry powder</v>
      </c>
      <c r="I322" s="62">
        <v>1</v>
      </c>
      <c r="J322" s="55" t="s">
        <v>15</v>
      </c>
      <c r="K322" s="55" t="s">
        <v>9</v>
      </c>
      <c r="L322" s="56" t="s">
        <v>15</v>
      </c>
      <c r="M322" s="47">
        <f t="shared" si="283"/>
        <v>1.2E-2</v>
      </c>
      <c r="N322" s="47">
        <f t="shared" si="284"/>
        <v>2.2180100000000001E-2</v>
      </c>
      <c r="O322" s="47">
        <f t="shared" si="285"/>
        <v>8.0000170141252738E-3</v>
      </c>
      <c r="P322" s="47">
        <f t="shared" si="286"/>
        <v>1.478676478125E-2</v>
      </c>
      <c r="Q322" s="47">
        <f t="shared" si="287"/>
        <v>0.75</v>
      </c>
      <c r="R322" s="47">
        <f t="shared" si="288"/>
        <v>6.0000127605939558E-3</v>
      </c>
      <c r="S322" s="47">
        <f t="shared" si="289"/>
        <v>0</v>
      </c>
      <c r="T322" s="47">
        <f t="shared" si="290"/>
        <v>0</v>
      </c>
      <c r="V322" s="44" t="b">
        <f t="shared" si="291"/>
        <v>0</v>
      </c>
      <c r="W322" s="57" t="str">
        <f t="shared" si="292"/>
        <v/>
      </c>
      <c r="X322" s="58" t="str">
        <f t="shared" si="293"/>
        <v/>
      </c>
      <c r="Y322" s="58" t="str">
        <f t="shared" si="294"/>
        <v/>
      </c>
      <c r="Z322" s="59"/>
      <c r="AA322" s="44" t="b">
        <f t="shared" si="295"/>
        <v>0</v>
      </c>
      <c r="AB322" s="58" t="str">
        <f t="shared" si="296"/>
        <v/>
      </c>
      <c r="AC322" s="58" t="str">
        <f t="shared" si="297"/>
        <v/>
      </c>
      <c r="AD322" s="58" t="str">
        <f t="shared" si="298"/>
        <v/>
      </c>
    </row>
    <row r="323" spans="1:30" x14ac:dyDescent="0.25">
      <c r="A323" s="40" t="s">
        <v>21</v>
      </c>
      <c r="B323" s="52">
        <f t="shared" si="280"/>
        <v>1.25</v>
      </c>
      <c r="C323" s="39" t="str">
        <f t="shared" si="281"/>
        <v>tbs</v>
      </c>
      <c r="D323" s="40" t="str">
        <f t="shared" si="282"/>
        <v>ground cumin</v>
      </c>
      <c r="I323" s="62">
        <v>2</v>
      </c>
      <c r="J323" s="55" t="s">
        <v>15</v>
      </c>
      <c r="K323" s="55" t="s">
        <v>14</v>
      </c>
      <c r="L323" s="56" t="s">
        <v>15</v>
      </c>
      <c r="M323" s="47">
        <f t="shared" si="283"/>
        <v>1.0999999999999999E-2</v>
      </c>
      <c r="N323" s="47">
        <f t="shared" si="284"/>
        <v>2.2180100000000001E-2</v>
      </c>
      <c r="O323" s="47">
        <f t="shared" si="285"/>
        <v>1.4666697859229668E-2</v>
      </c>
      <c r="P323" s="47">
        <f t="shared" si="286"/>
        <v>2.9573529562499999E-2</v>
      </c>
      <c r="Q323" s="47">
        <f t="shared" si="287"/>
        <v>1.25</v>
      </c>
      <c r="R323" s="47">
        <f t="shared" si="288"/>
        <v>9.166686162018543E-3</v>
      </c>
      <c r="S323" s="47">
        <f t="shared" si="289"/>
        <v>0</v>
      </c>
      <c r="T323" s="47">
        <f t="shared" si="290"/>
        <v>0</v>
      </c>
      <c r="V323" s="44" t="b">
        <f t="shared" si="291"/>
        <v>0</v>
      </c>
      <c r="W323" s="57" t="str">
        <f t="shared" si="292"/>
        <v/>
      </c>
      <c r="X323" s="58" t="str">
        <f t="shared" si="293"/>
        <v/>
      </c>
      <c r="Y323" s="58" t="str">
        <f t="shared" si="294"/>
        <v/>
      </c>
      <c r="Z323" s="59"/>
      <c r="AA323" s="44" t="b">
        <f t="shared" si="295"/>
        <v>0</v>
      </c>
      <c r="AB323" s="58" t="str">
        <f t="shared" si="296"/>
        <v/>
      </c>
      <c r="AC323" s="58" t="str">
        <f t="shared" si="297"/>
        <v/>
      </c>
      <c r="AD323" s="58" t="str">
        <f t="shared" si="298"/>
        <v/>
      </c>
    </row>
    <row r="324" spans="1:30" x14ac:dyDescent="0.25">
      <c r="A324" s="40" t="s">
        <v>21</v>
      </c>
      <c r="B324" s="52">
        <f t="shared" ref="B324" si="299">Q324</f>
        <v>1.25</v>
      </c>
      <c r="C324" s="39" t="str">
        <f t="shared" si="281"/>
        <v>tbs</v>
      </c>
      <c r="D324" s="40" t="str">
        <f t="shared" si="282"/>
        <v>ground corriander</v>
      </c>
      <c r="I324" s="62">
        <v>2</v>
      </c>
      <c r="J324" s="55" t="s">
        <v>15</v>
      </c>
      <c r="K324" s="55" t="s">
        <v>156</v>
      </c>
      <c r="L324" s="56" t="s">
        <v>15</v>
      </c>
      <c r="M324" s="47">
        <f t="shared" si="283"/>
        <v>0</v>
      </c>
      <c r="N324" s="47">
        <f t="shared" si="284"/>
        <v>0</v>
      </c>
      <c r="O324" s="47">
        <f t="shared" si="285"/>
        <v>0</v>
      </c>
      <c r="P324" s="47">
        <f t="shared" si="286"/>
        <v>2.9573529562499999E-2</v>
      </c>
      <c r="Q324" s="47">
        <f t="shared" si="287"/>
        <v>1.25</v>
      </c>
      <c r="R324" s="47">
        <f t="shared" si="288"/>
        <v>0</v>
      </c>
      <c r="S324" s="47">
        <f t="shared" si="289"/>
        <v>1.84834559765625E-2</v>
      </c>
      <c r="T324" s="47">
        <f t="shared" si="290"/>
        <v>0</v>
      </c>
      <c r="V324" s="44" t="b">
        <f t="shared" si="291"/>
        <v>0</v>
      </c>
      <c r="W324" s="57" t="str">
        <f t="shared" si="292"/>
        <v/>
      </c>
      <c r="X324" s="58" t="str">
        <f t="shared" si="293"/>
        <v/>
      </c>
      <c r="Y324" s="58" t="str">
        <f t="shared" si="294"/>
        <v/>
      </c>
      <c r="Z324" s="59"/>
      <c r="AA324" s="44" t="b">
        <f t="shared" si="295"/>
        <v>0</v>
      </c>
      <c r="AB324" s="58" t="str">
        <f t="shared" si="296"/>
        <v/>
      </c>
      <c r="AC324" s="58" t="str">
        <f t="shared" si="297"/>
        <v/>
      </c>
      <c r="AD324" s="58" t="str">
        <f t="shared" si="298"/>
        <v/>
      </c>
    </row>
    <row r="325" spans="1:30" x14ac:dyDescent="0.25">
      <c r="A325" s="40" t="s">
        <v>21</v>
      </c>
      <c r="B325" s="52">
        <f t="shared" ref="B325:B326" si="300">Q325</f>
        <v>2.75</v>
      </c>
      <c r="C325" s="39" t="str">
        <f t="shared" si="281"/>
        <v>tbs</v>
      </c>
      <c r="D325" s="40" t="str">
        <f t="shared" si="282"/>
        <v>ground turmeric</v>
      </c>
      <c r="I325" s="62">
        <v>4</v>
      </c>
      <c r="J325" s="55" t="s">
        <v>15</v>
      </c>
      <c r="K325" s="55" t="s">
        <v>316</v>
      </c>
      <c r="L325" s="56" t="s">
        <v>15</v>
      </c>
      <c r="M325" s="47">
        <f t="shared" si="283"/>
        <v>1.4E-2</v>
      </c>
      <c r="N325" s="47">
        <f t="shared" si="284"/>
        <v>2.2180100000000001E-2</v>
      </c>
      <c r="O325" s="47">
        <f t="shared" si="285"/>
        <v>3.7333412732584614E-2</v>
      </c>
      <c r="P325" s="47">
        <f t="shared" si="286"/>
        <v>5.9147059124999998E-2</v>
      </c>
      <c r="Q325" s="47">
        <f t="shared" si="287"/>
        <v>2.75</v>
      </c>
      <c r="R325" s="47">
        <f t="shared" si="288"/>
        <v>2.5666721253651922E-2</v>
      </c>
      <c r="S325" s="47">
        <f t="shared" si="289"/>
        <v>0</v>
      </c>
      <c r="T325" s="47">
        <f t="shared" si="290"/>
        <v>0</v>
      </c>
      <c r="V325" s="44" t="b">
        <f t="shared" si="291"/>
        <v>0</v>
      </c>
      <c r="W325" s="57" t="str">
        <f t="shared" si="292"/>
        <v/>
      </c>
      <c r="X325" s="58" t="str">
        <f t="shared" si="293"/>
        <v/>
      </c>
      <c r="Y325" s="58" t="str">
        <f t="shared" si="294"/>
        <v/>
      </c>
      <c r="Z325" s="59"/>
      <c r="AA325" s="44" t="b">
        <f t="shared" si="295"/>
        <v>0</v>
      </c>
      <c r="AB325" s="58" t="str">
        <f t="shared" si="296"/>
        <v/>
      </c>
      <c r="AC325" s="58" t="str">
        <f t="shared" si="297"/>
        <v/>
      </c>
      <c r="AD325" s="58" t="str">
        <f t="shared" si="298"/>
        <v/>
      </c>
    </row>
    <row r="326" spans="1:30" x14ac:dyDescent="0.25">
      <c r="A326" s="40" t="s">
        <v>21</v>
      </c>
      <c r="B326" s="52">
        <f t="shared" si="300"/>
        <v>0.5</v>
      </c>
      <c r="C326" s="39" t="str">
        <f t="shared" si="281"/>
        <v>tbs</v>
      </c>
      <c r="D326" s="40" t="str">
        <f t="shared" si="282"/>
        <v>cinnamon</v>
      </c>
      <c r="I326" s="62">
        <v>0.8</v>
      </c>
      <c r="J326" s="55" t="s">
        <v>15</v>
      </c>
      <c r="K326" s="55" t="s">
        <v>106</v>
      </c>
      <c r="L326" s="56" t="s">
        <v>15</v>
      </c>
      <c r="M326" s="47">
        <f t="shared" si="283"/>
        <v>1.0999999999999999E-2</v>
      </c>
      <c r="N326" s="47">
        <f t="shared" si="284"/>
        <v>2.2180100000000001E-2</v>
      </c>
      <c r="O326" s="47">
        <f t="shared" si="285"/>
        <v>5.8666791436918679E-3</v>
      </c>
      <c r="P326" s="47">
        <f t="shared" si="286"/>
        <v>1.1829411825E-2</v>
      </c>
      <c r="Q326" s="47">
        <f t="shared" si="287"/>
        <v>0.5</v>
      </c>
      <c r="R326" s="47">
        <f t="shared" si="288"/>
        <v>3.6666744648074169E-3</v>
      </c>
      <c r="S326" s="47">
        <f t="shared" si="289"/>
        <v>0</v>
      </c>
      <c r="T326" s="47">
        <f t="shared" si="290"/>
        <v>0</v>
      </c>
      <c r="V326" s="44" t="b">
        <f t="shared" si="291"/>
        <v>0</v>
      </c>
      <c r="W326" s="57" t="str">
        <f t="shared" si="292"/>
        <v/>
      </c>
      <c r="X326" s="58" t="str">
        <f t="shared" si="293"/>
        <v/>
      </c>
      <c r="Y326" s="58" t="str">
        <f t="shared" si="294"/>
        <v/>
      </c>
      <c r="Z326" s="59"/>
      <c r="AA326" s="44" t="b">
        <f t="shared" si="295"/>
        <v>0</v>
      </c>
      <c r="AB326" s="58" t="str">
        <f t="shared" si="296"/>
        <v/>
      </c>
      <c r="AC326" s="58" t="str">
        <f t="shared" si="297"/>
        <v/>
      </c>
      <c r="AD326" s="58" t="str">
        <f t="shared" si="298"/>
        <v/>
      </c>
    </row>
    <row r="327" spans="1:30" x14ac:dyDescent="0.25">
      <c r="A327" s="107"/>
      <c r="B327" s="107"/>
      <c r="C327" s="107"/>
      <c r="D327" s="107"/>
      <c r="I327" s="63"/>
      <c r="J327" s="60"/>
      <c r="K327" s="60"/>
      <c r="L327" s="60"/>
      <c r="M327" s="60"/>
      <c r="N327" s="60"/>
      <c r="O327" s="60"/>
      <c r="P327" s="60"/>
      <c r="W327" s="74"/>
      <c r="X327" s="75"/>
      <c r="Y327" s="75"/>
      <c r="Z327" s="76"/>
      <c r="AA327" s="67"/>
      <c r="AB327" s="74"/>
      <c r="AC327" s="74"/>
      <c r="AD327" s="74"/>
    </row>
    <row r="328" spans="1:30" x14ac:dyDescent="0.25">
      <c r="A328" s="107" t="s">
        <v>157</v>
      </c>
      <c r="B328" s="107"/>
      <c r="C328" s="107"/>
      <c r="D328" s="107"/>
      <c r="I328" s="47"/>
      <c r="L328" s="44"/>
      <c r="M328" s="44"/>
      <c r="N328" s="44"/>
      <c r="W328" s="74"/>
      <c r="X328" s="75"/>
      <c r="Y328" s="75"/>
      <c r="Z328" s="76"/>
      <c r="AA328" s="67"/>
      <c r="AB328" s="74"/>
      <c r="AC328" s="74"/>
      <c r="AD328" s="74"/>
    </row>
    <row r="329" spans="1:30" x14ac:dyDescent="0.25">
      <c r="A329" s="40" t="s">
        <v>21</v>
      </c>
      <c r="B329" s="52">
        <f t="shared" ref="B329:B331" si="301">Q329</f>
        <v>6</v>
      </c>
      <c r="C329" s="39" t="str">
        <f>IF(L329="","",L329)</f>
        <v>cup</v>
      </c>
      <c r="D329" s="40" t="str">
        <f>_xlfn.CONCAT(K329, U329)</f>
        <v>vegetable stock. This soup is thick so DON'T ADD TOO MUCH</v>
      </c>
      <c r="I329" s="62">
        <v>9</v>
      </c>
      <c r="J329" s="55" t="s">
        <v>16</v>
      </c>
      <c r="K329" s="55" t="s">
        <v>58</v>
      </c>
      <c r="L329" s="56" t="s">
        <v>16</v>
      </c>
      <c r="M329" s="47">
        <f>INDEX(itemGPerQty, MATCH(K329, itemNames, 0))</f>
        <v>0</v>
      </c>
      <c r="N329" s="47">
        <f>INDEX(itemMlPerQty, MATCH(K329, itemNames, 0))</f>
        <v>0</v>
      </c>
      <c r="O329" s="47">
        <f t="shared" ref="O329:O332" si="302">IF(J329 = "", I329 * M329, IF(ISNA(CONVERT(I329, J329, "kg")), CONVERT(I329, J329, "l") * IF(N329 &lt;&gt; 0, M329 / N329, 0), CONVERT(I329, J329, "kg")))</f>
        <v>0</v>
      </c>
      <c r="P329" s="47">
        <f t="shared" ref="P329:P332" si="303">IF(J329 = "", I329 * N329, IF(ISNA(CONVERT(I329, J329, "l")), CONVERT(I329, J329, "kg") * IF(M329 &lt;&gt; 0, N329 / M329, 0), CONVERT(I329, J329, "l")))</f>
        <v>2.1292941284999998</v>
      </c>
      <c r="Q329" s="47">
        <f>MROUND(IF(AND(J329 = "", L329 = ""), I329 * recipe09DayScale, IF(ISNA(CONVERT(O329, "kg", L329)), CONVERT(P329 * recipe09DayScale, "l", L329), CONVERT(O329 * recipe09DayScale, "kg", L329))), roundTo)</f>
        <v>6</v>
      </c>
      <c r="R329" s="47">
        <f>recipe09TotScale * IF(L329 = "", Q329 * M329, IF(ISNA(CONVERT(Q329, L329, "kg")), CONVERT(Q329, L329, "l") * IF(N329 &lt;&gt; 0, M329 / N329, 0), CONVERT(Q329, L329, "kg")))</f>
        <v>0</v>
      </c>
      <c r="S329" s="47">
        <f>recipe09TotScale * IF(R329 = 0, IF(L329 = "", Q329 * N329, IF(ISNA(CONVERT(Q329, L329, "l")), CONVERT(Q329, L329, "kg") * IF(M329 &lt;&gt; 0, N329 / M329, 0), CONVERT(Q329, L329, "l"))), 0)</f>
        <v>1.4195294189999998</v>
      </c>
      <c r="T329" s="47">
        <f>recipe09TotScale * IF(AND(R329 = 0, S329 = 0, J329 = "", L329 = ""), Q329, 0)</f>
        <v>0</v>
      </c>
      <c r="U329" s="44" t="s">
        <v>301</v>
      </c>
      <c r="V329" s="44" t="b">
        <f>INDEX(itemPrepMethods, MATCH(K329, itemNames, 0))="chop"</f>
        <v>0</v>
      </c>
      <c r="W329" s="57" t="str">
        <f>IF(V329, Q329, "")</f>
        <v/>
      </c>
      <c r="X329" s="58" t="str">
        <f>IF(V329, IF(L329 = "", "", L329), "")</f>
        <v/>
      </c>
      <c r="Y329" s="58" t="str">
        <f>IF(V329, K329, "")</f>
        <v/>
      </c>
      <c r="Z329" s="59"/>
      <c r="AA329" s="44" t="b">
        <f>INDEX(itemPrepMethods, MATCH(K329, itemNames, 0))="soak"</f>
        <v>0</v>
      </c>
      <c r="AB329" s="58" t="str">
        <f>IF(AA329, Q329, "")</f>
        <v/>
      </c>
      <c r="AC329" s="58" t="str">
        <f>IF(AA329, IF(L329 = "", "", L329), "")</f>
        <v/>
      </c>
      <c r="AD329" s="58" t="str">
        <f>IF(AA329, K329, "")</f>
        <v/>
      </c>
    </row>
    <row r="330" spans="1:30" x14ac:dyDescent="0.25">
      <c r="A330" s="40" t="s">
        <v>21</v>
      </c>
      <c r="B330" s="52">
        <f t="shared" si="301"/>
        <v>5.25</v>
      </c>
      <c r="C330" s="39" t="str">
        <f>IF(L330="","",L330)</f>
        <v/>
      </c>
      <c r="D330" s="40" t="str">
        <f>_xlfn.CONCAT(K330, U330)</f>
        <v>chopped carrots</v>
      </c>
      <c r="I330" s="62">
        <v>8</v>
      </c>
      <c r="J330" s="55"/>
      <c r="K330" s="55" t="s">
        <v>5</v>
      </c>
      <c r="L330" s="56"/>
      <c r="M330" s="47">
        <f>INDEX(itemGPerQty, MATCH(K330, itemNames, 0))</f>
        <v>0.14833333333333334</v>
      </c>
      <c r="N330" s="47">
        <f>INDEX(itemMlPerQty, MATCH(K330, itemNames, 0))</f>
        <v>0.19999999999999998</v>
      </c>
      <c r="O330" s="47">
        <f t="shared" si="302"/>
        <v>1.1866666666666668</v>
      </c>
      <c r="P330" s="47">
        <f t="shared" si="303"/>
        <v>1.5999999999999999</v>
      </c>
      <c r="Q330" s="47">
        <f>MROUND(IF(AND(J330 = "", L330 = ""), I330 * recipe09DayScale, IF(ISNA(CONVERT(O330, "kg", L330)), CONVERT(P330 * recipe09DayScale, "l", L330), CONVERT(O330 * recipe09DayScale, "kg", L330))), roundTo)</f>
        <v>5.25</v>
      </c>
      <c r="R330" s="47">
        <f>recipe09TotScale * IF(L330 = "", Q330 * M330, IF(ISNA(CONVERT(Q330, L330, "kg")), CONVERT(Q330, L330, "l") * IF(N330 &lt;&gt; 0, M330 / N330, 0), CONVERT(Q330, L330, "kg")))</f>
        <v>0.77875000000000005</v>
      </c>
      <c r="S330" s="47">
        <f>recipe09TotScale * IF(R330 = 0, IF(L330 = "", Q330 * N330, IF(ISNA(CONVERT(Q330, L330, "l")), CONVERT(Q330, L330, "kg") * IF(M330 &lt;&gt; 0, N330 / M330, 0), CONVERT(Q330, L330, "l"))), 0)</f>
        <v>0</v>
      </c>
      <c r="T330" s="47">
        <f>recipe09TotScale * IF(AND(R330 = 0, S330 = 0, J330 = "", L330 = ""), Q330, 0)</f>
        <v>0</v>
      </c>
      <c r="V330" s="44" t="b">
        <f>INDEX(itemPrepMethods, MATCH(K330, itemNames, 0))="chop"</f>
        <v>1</v>
      </c>
      <c r="W330" s="57">
        <f>IF(V330, Q330, "")</f>
        <v>5.25</v>
      </c>
      <c r="X330" s="58" t="str">
        <f>IF(V330, IF(L330 = "", "", L330), "")</f>
        <v/>
      </c>
      <c r="Y330" s="58" t="str">
        <f>IF(V330, K330, "")</f>
        <v>chopped carrots</v>
      </c>
      <c r="Z330" s="59"/>
      <c r="AA330" s="44" t="b">
        <f>INDEX(itemPrepMethods, MATCH(K330, itemNames, 0))="soak"</f>
        <v>0</v>
      </c>
      <c r="AB330" s="58" t="str">
        <f>IF(AA330, Q330, "")</f>
        <v/>
      </c>
      <c r="AC330" s="58" t="str">
        <f>IF(AA330, IF(L330 = "", "", L330), "")</f>
        <v/>
      </c>
      <c r="AD330" s="58" t="str">
        <f>IF(AA330, K330, "")</f>
        <v/>
      </c>
    </row>
    <row r="331" spans="1:30" x14ac:dyDescent="0.25">
      <c r="A331" s="40" t="s">
        <v>21</v>
      </c>
      <c r="B331" s="52">
        <f t="shared" si="301"/>
        <v>3.25</v>
      </c>
      <c r="C331" s="39" t="str">
        <f>IF(L331="","",L331)</f>
        <v/>
      </c>
      <c r="D331" s="40" t="str">
        <f>_xlfn.CONCAT(K331, U331)</f>
        <v>chopped kumara</v>
      </c>
      <c r="I331" s="62">
        <v>5</v>
      </c>
      <c r="J331" s="55"/>
      <c r="K331" s="55" t="s">
        <v>158</v>
      </c>
      <c r="L331" s="56"/>
      <c r="M331" s="47">
        <f>INDEX(itemGPerQty, MATCH(K331, itemNames, 0))</f>
        <v>0.34</v>
      </c>
      <c r="N331" s="47">
        <f>INDEX(itemMlPerQty, MATCH(K331, itemNames, 0))</f>
        <v>0</v>
      </c>
      <c r="O331" s="47">
        <f t="shared" si="302"/>
        <v>1.7000000000000002</v>
      </c>
      <c r="P331" s="47">
        <f t="shared" si="303"/>
        <v>0</v>
      </c>
      <c r="Q331" s="47">
        <f>MROUND(IF(AND(J331 = "", L331 = ""), I331 * recipe09DayScale, IF(ISNA(CONVERT(O331, "kg", L331)), CONVERT(P331 * recipe09DayScale, "l", L331), CONVERT(O331 * recipe09DayScale, "kg", L331))), roundTo)</f>
        <v>3.25</v>
      </c>
      <c r="R331" s="47">
        <f>recipe09TotScale * IF(L331 = "", Q331 * M331, IF(ISNA(CONVERT(Q331, L331, "kg")), CONVERT(Q331, L331, "l") * IF(N331 &lt;&gt; 0, M331 / N331, 0), CONVERT(Q331, L331, "kg")))</f>
        <v>1.105</v>
      </c>
      <c r="S331" s="47">
        <f>recipe09TotScale * IF(R331 = 0, IF(L331 = "", Q331 * N331, IF(ISNA(CONVERT(Q331, L331, "l")), CONVERT(Q331, L331, "kg") * IF(M331 &lt;&gt; 0, N331 / M331, 0), CONVERT(Q331, L331, "l"))), 0)</f>
        <v>0</v>
      </c>
      <c r="T331" s="47">
        <f>recipe09TotScale * IF(AND(R331 = 0, S331 = 0, J331 = "", L331 = ""), Q331, 0)</f>
        <v>0</v>
      </c>
      <c r="V331" s="44" t="b">
        <f>INDEX(itemPrepMethods, MATCH(K331, itemNames, 0))="chop"</f>
        <v>1</v>
      </c>
      <c r="W331" s="57">
        <f>IF(V331, Q331, "")</f>
        <v>3.25</v>
      </c>
      <c r="X331" s="58" t="str">
        <f>IF(V331, IF(L331 = "", "", L331), "")</f>
        <v/>
      </c>
      <c r="Y331" s="58" t="str">
        <f>IF(V331, K331, "")</f>
        <v>chopped kumara</v>
      </c>
      <c r="Z331" s="59"/>
      <c r="AA331" s="44" t="b">
        <f>INDEX(itemPrepMethods, MATCH(K331, itemNames, 0))="soak"</f>
        <v>0</v>
      </c>
      <c r="AB331" s="58" t="str">
        <f>IF(AA331, Q331, "")</f>
        <v/>
      </c>
      <c r="AC331" s="58" t="str">
        <f>IF(AA331, IF(L331 = "", "", L331), "")</f>
        <v/>
      </c>
      <c r="AD331" s="58" t="str">
        <f>IF(AA331, K331, "")</f>
        <v/>
      </c>
    </row>
    <row r="332" spans="1:30" x14ac:dyDescent="0.25">
      <c r="A332" s="40" t="s">
        <v>21</v>
      </c>
      <c r="B332" s="52">
        <f t="shared" ref="B332:B337" si="304">Q332</f>
        <v>2</v>
      </c>
      <c r="C332" s="39" t="str">
        <f>IF(L332="","",L332)</f>
        <v/>
      </c>
      <c r="D332" s="40" t="str">
        <f>_xlfn.CONCAT(K332, U332)</f>
        <v>tins black beans, drained and rinsed</v>
      </c>
      <c r="I332" s="62">
        <v>3</v>
      </c>
      <c r="J332" s="55"/>
      <c r="K332" s="55" t="s">
        <v>159</v>
      </c>
      <c r="L332" s="56"/>
      <c r="M332" s="47">
        <f>INDEX(itemGPerQty, MATCH(K332, itemNames, 0))</f>
        <v>0</v>
      </c>
      <c r="N332" s="47">
        <f>INDEX(itemMlPerQty, MATCH(K332, itemNames, 0))</f>
        <v>0</v>
      </c>
      <c r="O332" s="47">
        <f t="shared" si="302"/>
        <v>0</v>
      </c>
      <c r="P332" s="47">
        <f t="shared" si="303"/>
        <v>0</v>
      </c>
      <c r="Q332" s="47">
        <f>MROUND(IF(AND(J332 = "", L332 = ""), I332 * recipe09DayScale, IF(ISNA(CONVERT(O332, "kg", L332)), CONVERT(P332 * recipe09DayScale, "l", L332), CONVERT(O332 * recipe09DayScale, "kg", L332))), roundTo)</f>
        <v>2</v>
      </c>
      <c r="R332" s="47">
        <f>recipe09TotScale * IF(L332 = "", Q332 * M332, IF(ISNA(CONVERT(Q332, L332, "kg")), CONVERT(Q332, L332, "l") * IF(N332 &lt;&gt; 0, M332 / N332, 0), CONVERT(Q332, L332, "kg")))</f>
        <v>0</v>
      </c>
      <c r="S332" s="47">
        <f>recipe09TotScale * IF(R332 = 0, IF(L332 = "", Q332 * N332, IF(ISNA(CONVERT(Q332, L332, "l")), CONVERT(Q332, L332, "kg") * IF(M332 &lt;&gt; 0, N332 / M332, 0), CONVERT(Q332, L332, "l"))), 0)</f>
        <v>0</v>
      </c>
      <c r="T332" s="47">
        <f>recipe09TotScale * IF(AND(R332 = 0, S332 = 0, J332 = "", L332 = ""), Q332, 0)</f>
        <v>2</v>
      </c>
      <c r="U332" s="44" t="s">
        <v>307</v>
      </c>
      <c r="V332" s="44" t="b">
        <f>INDEX(itemPrepMethods, MATCH(K332, itemNames, 0))="chop"</f>
        <v>0</v>
      </c>
      <c r="W332" s="57" t="str">
        <f>IF(V332, Q332, "")</f>
        <v/>
      </c>
      <c r="X332" s="58" t="str">
        <f>IF(V332, IF(L332 = "", "", L332), "")</f>
        <v/>
      </c>
      <c r="Y332" s="58" t="str">
        <f>IF(V332, K332, "")</f>
        <v/>
      </c>
      <c r="Z332" s="59"/>
      <c r="AA332" s="44" t="b">
        <f>INDEX(itemPrepMethods, MATCH(K332, itemNames, 0))="soak"</f>
        <v>0</v>
      </c>
      <c r="AB332" s="58" t="str">
        <f>IF(AA332, Q332, "")</f>
        <v/>
      </c>
      <c r="AC332" s="58" t="str">
        <f>IF(AA332, IF(L332 = "", "", L332), "")</f>
        <v/>
      </c>
      <c r="AD332" s="58" t="str">
        <f>IF(AA332, K332, "")</f>
        <v/>
      </c>
    </row>
    <row r="333" spans="1:30" x14ac:dyDescent="0.25">
      <c r="A333" s="107"/>
      <c r="B333" s="107"/>
      <c r="C333" s="107"/>
      <c r="D333" s="107"/>
      <c r="I333" s="63"/>
      <c r="J333" s="60"/>
      <c r="K333" s="60"/>
      <c r="L333" s="60"/>
      <c r="M333" s="60"/>
      <c r="N333" s="60"/>
      <c r="O333" s="60"/>
      <c r="P333" s="60"/>
      <c r="W333" s="74"/>
      <c r="X333" s="75"/>
      <c r="Y333" s="75"/>
      <c r="Z333" s="76"/>
      <c r="AA333" s="67"/>
      <c r="AB333" s="74"/>
      <c r="AC333" s="74"/>
      <c r="AD333" s="74"/>
    </row>
    <row r="334" spans="1:30" x14ac:dyDescent="0.25">
      <c r="A334" s="107" t="s">
        <v>160</v>
      </c>
      <c r="B334" s="107"/>
      <c r="C334" s="107"/>
      <c r="D334" s="107"/>
      <c r="I334" s="47"/>
      <c r="L334" s="44"/>
      <c r="M334" s="44"/>
      <c r="N334" s="44"/>
      <c r="W334" s="74"/>
      <c r="X334" s="75"/>
      <c r="Y334" s="75"/>
      <c r="Z334" s="76"/>
      <c r="AA334" s="67"/>
      <c r="AB334" s="74"/>
      <c r="AC334" s="74"/>
      <c r="AD334" s="74"/>
    </row>
    <row r="335" spans="1:30" x14ac:dyDescent="0.25">
      <c r="A335" s="107"/>
      <c r="B335" s="107"/>
      <c r="C335" s="107"/>
      <c r="D335" s="107"/>
      <c r="I335" s="63"/>
      <c r="J335" s="60"/>
      <c r="K335" s="60"/>
      <c r="L335" s="60"/>
      <c r="M335" s="60"/>
      <c r="N335" s="60"/>
      <c r="O335" s="60"/>
      <c r="P335" s="60"/>
      <c r="W335" s="74"/>
      <c r="X335" s="75"/>
      <c r="Y335" s="75"/>
      <c r="Z335" s="76"/>
      <c r="AA335" s="67"/>
      <c r="AB335" s="74"/>
      <c r="AC335" s="74"/>
      <c r="AD335" s="74"/>
    </row>
    <row r="336" spans="1:30" x14ac:dyDescent="0.25">
      <c r="A336" s="107" t="s">
        <v>161</v>
      </c>
      <c r="B336" s="107"/>
      <c r="C336" s="107"/>
      <c r="D336" s="107"/>
      <c r="I336" s="47"/>
      <c r="L336" s="44"/>
      <c r="M336" s="44"/>
      <c r="N336" s="44"/>
      <c r="W336" s="74"/>
      <c r="X336" s="75"/>
      <c r="Y336" s="75"/>
      <c r="Z336" s="76"/>
      <c r="AA336" s="67"/>
      <c r="AB336" s="74"/>
      <c r="AC336" s="74"/>
      <c r="AD336" s="74"/>
    </row>
    <row r="337" spans="1:30" x14ac:dyDescent="0.25">
      <c r="A337" s="40" t="s">
        <v>21</v>
      </c>
      <c r="B337" s="52">
        <f t="shared" si="304"/>
        <v>1</v>
      </c>
      <c r="C337" s="39" t="str">
        <f>IF(L337="","",L337)</f>
        <v/>
      </c>
      <c r="D337" s="40" t="str">
        <f>_xlfn.CONCAT(K337, U337)</f>
        <v>tins coconut cream</v>
      </c>
      <c r="I337" s="62">
        <v>1.5</v>
      </c>
      <c r="J337" s="55"/>
      <c r="K337" s="55" t="s">
        <v>111</v>
      </c>
      <c r="L337" s="56"/>
      <c r="M337" s="47">
        <f>INDEX(itemGPerQty, MATCH(K337, itemNames, 0))</f>
        <v>0</v>
      </c>
      <c r="N337" s="47">
        <f>INDEX(itemMlPerQty, MATCH(K337, itemNames, 0))</f>
        <v>0</v>
      </c>
      <c r="O337" s="47">
        <f t="shared" ref="O337:O338" si="305">IF(J337 = "", I337 * M337, IF(ISNA(CONVERT(I337, J337, "kg")), CONVERT(I337, J337, "l") * IF(N337 &lt;&gt; 0, M337 / N337, 0), CONVERT(I337, J337, "kg")))</f>
        <v>0</v>
      </c>
      <c r="P337" s="47">
        <f t="shared" ref="P337:P338" si="306">IF(J337 = "", I337 * N337, IF(ISNA(CONVERT(I337, J337, "l")), CONVERT(I337, J337, "kg") * IF(M337 &lt;&gt; 0, N337 / M337, 0), CONVERT(I337, J337, "l")))</f>
        <v>0</v>
      </c>
      <c r="Q337" s="47">
        <f>MROUND(IF(AND(J337 = "", L337 = ""), I337 * recipe09DayScale, IF(ISNA(CONVERT(O337, "kg", L337)), CONVERT(P337 * recipe09DayScale, "l", L337), CONVERT(O337 * recipe09DayScale, "kg", L337))), roundTo)</f>
        <v>1</v>
      </c>
      <c r="R337" s="47">
        <f>recipe09TotScale * IF(L337 = "", Q337 * M337, IF(ISNA(CONVERT(Q337, L337, "kg")), CONVERT(Q337, L337, "l") * IF(N337 &lt;&gt; 0, M337 / N337, 0), CONVERT(Q337, L337, "kg")))</f>
        <v>0</v>
      </c>
      <c r="S337" s="47">
        <f>recipe09TotScale * IF(R337 = 0, IF(L337 = "", Q337 * N337, IF(ISNA(CONVERT(Q337, L337, "l")), CONVERT(Q337, L337, "kg") * IF(M337 &lt;&gt; 0, N337 / M337, 0), CONVERT(Q337, L337, "l"))), 0)</f>
        <v>0</v>
      </c>
      <c r="T337" s="47">
        <f>recipe09TotScale * IF(AND(R337 = 0, S337 = 0, J337 = "", L337 = ""), Q337, 0)</f>
        <v>1</v>
      </c>
      <c r="V337" s="44" t="b">
        <f>INDEX(itemPrepMethods, MATCH(K337, itemNames, 0))="chop"</f>
        <v>0</v>
      </c>
      <c r="W337" s="57" t="str">
        <f>IF(V337, Q337, "")</f>
        <v/>
      </c>
      <c r="X337" s="58" t="str">
        <f>IF(V337, IF(L337 = "", "", L337), "")</f>
        <v/>
      </c>
      <c r="Y337" s="58" t="str">
        <f>IF(V337, K337, "")</f>
        <v/>
      </c>
      <c r="Z337" s="59"/>
      <c r="AA337" s="44" t="b">
        <f>INDEX(itemPrepMethods, MATCH(K337, itemNames, 0))="soak"</f>
        <v>0</v>
      </c>
      <c r="AB337" s="58" t="str">
        <f>IF(AA337, Q337, "")</f>
        <v/>
      </c>
      <c r="AC337" s="58" t="str">
        <f>IF(AA337, IF(L337 = "", "", L337), "")</f>
        <v/>
      </c>
      <c r="AD337" s="58" t="str">
        <f>IF(AA337, K337, "")</f>
        <v/>
      </c>
    </row>
    <row r="338" spans="1:30" x14ac:dyDescent="0.25">
      <c r="A338" s="40" t="s">
        <v>21</v>
      </c>
      <c r="B338" s="52">
        <f t="shared" ref="B338" si="307">Q338</f>
        <v>1.25</v>
      </c>
      <c r="C338" s="39" t="str">
        <f>IF(L338="","",L338)</f>
        <v/>
      </c>
      <c r="D338" s="65" t="str">
        <f>_xlfn.CONCAT(K338, U338)</f>
        <v>juiced lemons</v>
      </c>
      <c r="I338" s="62">
        <v>2</v>
      </c>
      <c r="J338" s="55"/>
      <c r="K338" s="55" t="s">
        <v>394</v>
      </c>
      <c r="L338" s="56"/>
      <c r="M338" s="47">
        <f>INDEX(itemGPerQty, MATCH(K338, itemNames, 0))</f>
        <v>0</v>
      </c>
      <c r="N338" s="47">
        <f>INDEX(itemMlPerQty, MATCH(K338, itemNames, 0))</f>
        <v>0</v>
      </c>
      <c r="O338" s="47">
        <f t="shared" si="305"/>
        <v>0</v>
      </c>
      <c r="P338" s="47">
        <f t="shared" si="306"/>
        <v>0</v>
      </c>
      <c r="Q338" s="47">
        <f>MROUND(IF(AND(J338 = "", L338 = ""), I338 * recipe09DayScale, IF(ISNA(CONVERT(O338, "kg", L338)), CONVERT(P338 * recipe09DayScale, "l", L338), CONVERT(O338 * recipe09DayScale, "kg", L338))), roundTo)</f>
        <v>1.25</v>
      </c>
      <c r="R338" s="47">
        <f>recipe09TotScale * IF(L338 = "", Q338 * M338, IF(ISNA(CONVERT(Q338, L338, "kg")), CONVERT(Q338, L338, "l") * IF(N338 &lt;&gt; 0, M338 / N338, 0), CONVERT(Q338, L338, "kg")))</f>
        <v>0</v>
      </c>
      <c r="S338" s="47">
        <f>recipe09TotScale * IF(R338 = 0, IF(L338 = "", Q338 * N338, IF(ISNA(CONVERT(Q338, L338, "l")), CONVERT(Q338, L338, "kg") * IF(M338 &lt;&gt; 0, N338 / M338, 0), CONVERT(Q338, L338, "l"))), 0)</f>
        <v>0</v>
      </c>
      <c r="T338" s="47">
        <f>recipe09TotScale * IF(AND(R338 = 0, S338 = 0, J338 = "", L338 = ""), Q338, 0)</f>
        <v>1.25</v>
      </c>
      <c r="V338" s="44" t="b">
        <f>INDEX(itemPrepMethods, MATCH(K338, itemNames, 0))="chop"</f>
        <v>0</v>
      </c>
      <c r="W338" s="57" t="str">
        <f>IF(V338, Q338, "")</f>
        <v/>
      </c>
      <c r="X338" s="58" t="str">
        <f>IF(V338, IF(L338 = "", "", L338), "")</f>
        <v/>
      </c>
      <c r="Y338" s="58" t="str">
        <f>IF(V338, K338, "")</f>
        <v/>
      </c>
      <c r="Z338" s="59"/>
      <c r="AA338" s="44" t="b">
        <f>INDEX(itemPrepMethods, MATCH(K338, itemNames, 0))="soak"</f>
        <v>0</v>
      </c>
      <c r="AB338" s="58" t="str">
        <f>IF(AA338, Q338, "")</f>
        <v/>
      </c>
      <c r="AC338" s="58" t="str">
        <f>IF(AA338, IF(L338 = "", "", L338), "")</f>
        <v/>
      </c>
      <c r="AD338" s="58" t="str">
        <f>IF(AA338, K338, "")</f>
        <v/>
      </c>
    </row>
    <row r="339" spans="1:30" x14ac:dyDescent="0.25">
      <c r="A339" s="40" t="s">
        <v>21</v>
      </c>
      <c r="B339" s="52"/>
      <c r="C339" s="39" t="str">
        <f>IF(L339="","",L339)</f>
        <v/>
      </c>
      <c r="D339" s="40" t="str">
        <f>_xlfn.CONCAT(K339, U339)</f>
        <v>water, if required</v>
      </c>
      <c r="I339" s="47"/>
      <c r="K339" s="55" t="s">
        <v>48</v>
      </c>
      <c r="L339" s="44"/>
      <c r="M339" s="44"/>
      <c r="N339" s="44"/>
      <c r="O339" s="44"/>
      <c r="P339" s="44"/>
      <c r="U339" s="44" t="s">
        <v>217</v>
      </c>
      <c r="V339" s="44" t="b">
        <f>INDEX(itemPrepMethods, MATCH(K339, itemNames, 0))="chop"</f>
        <v>0</v>
      </c>
      <c r="W339" s="57" t="str">
        <f>IF(V339, Q339, "")</f>
        <v/>
      </c>
      <c r="X339" s="58" t="str">
        <f>IF(V339, IF(L339 = "", "", L339), "")</f>
        <v/>
      </c>
      <c r="Y339" s="58" t="str">
        <f>IF(V339, K339, "")</f>
        <v/>
      </c>
      <c r="Z339" s="59"/>
      <c r="AA339" s="44" t="b">
        <f>INDEX(itemPrepMethods, MATCH(K339, itemNames, 0))="soak"</f>
        <v>0</v>
      </c>
      <c r="AB339" s="58" t="str">
        <f>IF(AA339, Q339, "")</f>
        <v/>
      </c>
      <c r="AC339" s="58" t="str">
        <f>IF(AA339, IF(L339 = "", "", L339), "")</f>
        <v/>
      </c>
      <c r="AD339" s="58" t="str">
        <f>IF(AA339, K339, "")</f>
        <v/>
      </c>
    </row>
    <row r="340" spans="1:30" x14ac:dyDescent="0.25">
      <c r="A340" s="40" t="s">
        <v>21</v>
      </c>
      <c r="B340" s="52"/>
      <c r="C340" s="39" t="str">
        <f>IF(L340="","",L340)</f>
        <v/>
      </c>
      <c r="D340" s="40" t="str">
        <f>_xlfn.CONCAT(K340, U340)</f>
        <v>salt, to taste</v>
      </c>
      <c r="I340" s="47"/>
      <c r="K340" s="55" t="s">
        <v>11</v>
      </c>
      <c r="L340" s="44"/>
      <c r="M340" s="44"/>
      <c r="N340" s="44"/>
      <c r="O340" s="44"/>
      <c r="P340" s="44"/>
      <c r="U340" s="44" t="s">
        <v>216</v>
      </c>
      <c r="V340" s="44" t="b">
        <f>INDEX(itemPrepMethods, MATCH(K340, itemNames, 0))="chop"</f>
        <v>0</v>
      </c>
      <c r="W340" s="57" t="str">
        <f>IF(V340, Q340, "")</f>
        <v/>
      </c>
      <c r="X340" s="58" t="str">
        <f>IF(V340, IF(L340 = "", "", L340), "")</f>
        <v/>
      </c>
      <c r="Y340" s="58" t="str">
        <f>IF(V340, K340, "")</f>
        <v/>
      </c>
      <c r="Z340" s="59"/>
      <c r="AA340" s="44" t="b">
        <f>INDEX(itemPrepMethods, MATCH(K340, itemNames, 0))="soak"</f>
        <v>0</v>
      </c>
      <c r="AB340" s="58" t="str">
        <f>IF(AA340, Q340, "")</f>
        <v/>
      </c>
      <c r="AC340" s="58" t="str">
        <f>IF(AA340, IF(L340 = "", "", L340), "")</f>
        <v/>
      </c>
      <c r="AD340" s="58" t="str">
        <f>IF(AA340, K340, "")</f>
        <v/>
      </c>
    </row>
    <row r="341" spans="1:30" x14ac:dyDescent="0.25">
      <c r="A341" s="40" t="s">
        <v>21</v>
      </c>
      <c r="B341" s="52"/>
      <c r="C341" s="39" t="str">
        <f>IF(L341="","",L341)</f>
        <v/>
      </c>
      <c r="D341" s="40" t="str">
        <f>_xlfn.CONCAT(K341, U341)</f>
        <v>ground black pepper, to taste</v>
      </c>
      <c r="I341" s="47"/>
      <c r="K341" s="55" t="s">
        <v>80</v>
      </c>
      <c r="L341" s="44"/>
      <c r="M341" s="44"/>
      <c r="N341" s="44"/>
      <c r="O341" s="44"/>
      <c r="P341" s="44"/>
      <c r="U341" s="44" t="s">
        <v>216</v>
      </c>
      <c r="V341" s="44" t="b">
        <f>INDEX(itemPrepMethods, MATCH(K341, itemNames, 0))="chop"</f>
        <v>0</v>
      </c>
      <c r="W341" s="57" t="str">
        <f>IF(V341, Q341, "")</f>
        <v/>
      </c>
      <c r="X341" s="58" t="str">
        <f>IF(V341, IF(L341 = "", "", L341), "")</f>
        <v/>
      </c>
      <c r="Y341" s="58" t="str">
        <f>IF(V341, K341, "")</f>
        <v/>
      </c>
      <c r="Z341" s="59"/>
      <c r="AA341" s="44" t="b">
        <f>INDEX(itemPrepMethods, MATCH(K341, itemNames, 0))="soak"</f>
        <v>0</v>
      </c>
      <c r="AB341" s="58" t="str">
        <f>IF(AA341, Q341, "")</f>
        <v/>
      </c>
      <c r="AC341" s="58" t="str">
        <f>IF(AA341, IF(L341 = "", "", L341), "")</f>
        <v/>
      </c>
      <c r="AD341" s="58" t="str">
        <f>IF(AA341, K341, "")</f>
        <v/>
      </c>
    </row>
    <row r="342" spans="1:30" x14ac:dyDescent="0.25">
      <c r="A342" s="107"/>
      <c r="B342" s="107"/>
      <c r="C342" s="107"/>
      <c r="D342" s="107"/>
      <c r="I342" s="63"/>
      <c r="J342" s="60"/>
      <c r="K342" s="60"/>
      <c r="L342" s="60"/>
      <c r="M342" s="60"/>
      <c r="N342" s="60"/>
      <c r="O342" s="60"/>
      <c r="P342" s="60"/>
    </row>
    <row r="343" spans="1:30" x14ac:dyDescent="0.25">
      <c r="A343" s="107" t="s">
        <v>169</v>
      </c>
      <c r="B343" s="107"/>
      <c r="C343" s="107"/>
      <c r="D343" s="107"/>
      <c r="I343" s="47"/>
      <c r="L343" s="44"/>
      <c r="M343" s="44"/>
      <c r="N343" s="44"/>
    </row>
    <row r="344" spans="1:30" ht="15.75" x14ac:dyDescent="0.25">
      <c r="A344" s="108" t="s">
        <v>35</v>
      </c>
      <c r="B344" s="108"/>
      <c r="C344" s="108"/>
      <c r="D344" s="108"/>
      <c r="E344" s="43" t="s">
        <v>135</v>
      </c>
      <c r="F344" s="104" t="s">
        <v>154</v>
      </c>
      <c r="G344" s="104"/>
      <c r="H344" s="47"/>
    </row>
    <row r="345" spans="1:30" ht="24" x14ac:dyDescent="0.2">
      <c r="A345" s="108" t="s">
        <v>38</v>
      </c>
      <c r="B345" s="108"/>
      <c r="C345" s="108"/>
      <c r="D345" s="108"/>
      <c r="E345" s="42" t="s">
        <v>56</v>
      </c>
      <c r="F345" s="90">
        <v>15</v>
      </c>
      <c r="G345" s="47"/>
      <c r="H345" s="47"/>
      <c r="I345" s="70" t="s">
        <v>448</v>
      </c>
      <c r="J345" s="71" t="s">
        <v>449</v>
      </c>
      <c r="K345" s="71" t="s">
        <v>17</v>
      </c>
      <c r="L345" s="72" t="s">
        <v>452</v>
      </c>
      <c r="M345" s="70" t="s">
        <v>148</v>
      </c>
      <c r="N345" s="70" t="s">
        <v>149</v>
      </c>
      <c r="O345" s="70" t="s">
        <v>450</v>
      </c>
      <c r="P345" s="70" t="s">
        <v>451</v>
      </c>
      <c r="Q345" s="71" t="s">
        <v>364</v>
      </c>
      <c r="R345" s="70" t="s">
        <v>365</v>
      </c>
      <c r="S345" s="70" t="s">
        <v>366</v>
      </c>
      <c r="T345" s="70" t="s">
        <v>367</v>
      </c>
      <c r="U345" s="71" t="s">
        <v>22</v>
      </c>
      <c r="V345" s="71" t="s">
        <v>212</v>
      </c>
      <c r="W345" s="73" t="s">
        <v>364</v>
      </c>
      <c r="X345" s="71" t="s">
        <v>210</v>
      </c>
      <c r="Y345" s="71" t="s">
        <v>211</v>
      </c>
      <c r="Z345" s="71" t="s">
        <v>313</v>
      </c>
      <c r="AA345" s="71" t="s">
        <v>213</v>
      </c>
      <c r="AB345" s="73" t="s">
        <v>364</v>
      </c>
      <c r="AC345" s="71" t="s">
        <v>214</v>
      </c>
      <c r="AD345" s="71" t="s">
        <v>215</v>
      </c>
    </row>
    <row r="346" spans="1:30" ht="15.75" thickBot="1" x14ac:dyDescent="0.3">
      <c r="A346" s="107"/>
      <c r="B346" s="107"/>
      <c r="C346" s="107"/>
      <c r="D346" s="107"/>
      <c r="E346" s="66" t="s">
        <v>359</v>
      </c>
      <c r="F346" s="90">
        <f>moLuCount</f>
        <v>10</v>
      </c>
      <c r="G346" s="47"/>
      <c r="H346" s="47"/>
      <c r="I346" s="63"/>
      <c r="J346" s="42"/>
      <c r="K346" s="42"/>
      <c r="L346" s="64"/>
      <c r="M346" s="63"/>
      <c r="N346" s="63"/>
      <c r="O346" s="63"/>
      <c r="P346" s="63"/>
      <c r="Q346" s="42"/>
      <c r="R346" s="63"/>
      <c r="S346" s="63"/>
      <c r="T346" s="63"/>
      <c r="U346" s="42"/>
    </row>
    <row r="347" spans="1:30" ht="15.75" thickBot="1" x14ac:dyDescent="0.3">
      <c r="A347" s="107" t="s">
        <v>253</v>
      </c>
      <c r="B347" s="107"/>
      <c r="C347" s="107"/>
      <c r="D347" s="107"/>
      <c r="E347" s="66" t="s">
        <v>362</v>
      </c>
      <c r="F347" s="50">
        <f>F346/F345</f>
        <v>0.66666666666666663</v>
      </c>
      <c r="G347" s="51" t="s">
        <v>378</v>
      </c>
      <c r="H347" s="47"/>
      <c r="I347" s="63"/>
      <c r="J347" s="42"/>
      <c r="K347" s="42"/>
      <c r="L347" s="64"/>
      <c r="M347" s="63"/>
      <c r="N347" s="63"/>
      <c r="O347" s="63"/>
      <c r="P347" s="63"/>
      <c r="Q347" s="42"/>
      <c r="R347" s="63"/>
      <c r="S347" s="63"/>
      <c r="T347" s="63"/>
      <c r="U347" s="42"/>
    </row>
    <row r="348" spans="1:30" x14ac:dyDescent="0.25">
      <c r="A348" s="40" t="s">
        <v>21</v>
      </c>
      <c r="B348" s="52">
        <f t="shared" ref="B348:B370" si="308">Q348</f>
        <v>0.25</v>
      </c>
      <c r="C348" s="39" t="str">
        <f>IF(L348="","",L348)</f>
        <v>cup</v>
      </c>
      <c r="D348" s="40" t="str">
        <f>_xlfn.CONCAT(K348, U348)</f>
        <v>oil</v>
      </c>
      <c r="E348" s="67"/>
      <c r="F348" s="67"/>
      <c r="G348" s="67"/>
      <c r="H348" s="53"/>
      <c r="I348" s="54">
        <v>8</v>
      </c>
      <c r="J348" s="55" t="s">
        <v>15</v>
      </c>
      <c r="K348" s="55" t="s">
        <v>46</v>
      </c>
      <c r="L348" s="56" t="s">
        <v>16</v>
      </c>
      <c r="M348" s="47">
        <f>INDEX(itemGPerQty, MATCH(K348, itemNames, 0))</f>
        <v>0</v>
      </c>
      <c r="N348" s="47">
        <f>INDEX(itemMlPerQty, MATCH(K348, itemNames, 0))</f>
        <v>0</v>
      </c>
      <c r="O348" s="47">
        <f t="shared" ref="O348:O352" si="309">IF(J348 = "", I348 * M348, IF(ISNA(CONVERT(I348, J348, "kg")), CONVERT(I348, J348, "l") * IF(N348 &lt;&gt; 0, M348 / N348, 0), CONVERT(I348, J348, "kg")))</f>
        <v>0</v>
      </c>
      <c r="P348" s="47">
        <f t="shared" ref="P348:P352" si="310">IF(J348 = "", I348 * N348, IF(ISNA(CONVERT(I348, J348, "l")), CONVERT(I348, J348, "kg") * IF(M348 &lt;&gt; 0, N348 / M348, 0), CONVERT(I348, J348, "l")))</f>
        <v>0.11829411825</v>
      </c>
      <c r="Q348" s="47">
        <f>MROUND(IF(AND(J348 = "", L348 = ""), I348 * recipe04DayScale, IF(ISNA(CONVERT(O348, "kg", L348)), CONVERT(P348 * recipe04DayScale, "l", L348), CONVERT(O348 * recipe04DayScale, "kg", L348))), roundTo)</f>
        <v>0.25</v>
      </c>
      <c r="R348" s="47">
        <f>recipe04TotScale * IF(L348 = "", Q348 * M348, IF(ISNA(CONVERT(Q348, L348, "kg")), CONVERT(Q348, L348, "l") * IF(N348 &lt;&gt; 0, M348 / N348, 0), CONVERT(Q348, L348, "kg")))</f>
        <v>0</v>
      </c>
      <c r="S348" s="47">
        <f>recipe04TotScale * IF(R348 = 0, IF(L348 = "", Q348 * N348, IF(ISNA(CONVERT(Q348, L348, "l")), CONVERT(Q348, L348, "kg") * IF(M348 &lt;&gt; 0, N348 / M348, 0), CONVERT(Q348, L348, "l"))), 0)</f>
        <v>5.9147059124999998E-2</v>
      </c>
      <c r="T348" s="47">
        <f>recipe04TotScale * IF(AND(R348 = 0, S348 = 0, J348 = "", L348 = ""), Q348, 0)</f>
        <v>0</v>
      </c>
      <c r="V348" s="44" t="b">
        <f>INDEX(itemPrepMethods, MATCH(K348, itemNames, 0))="chop"</f>
        <v>0</v>
      </c>
      <c r="W348" s="57" t="str">
        <f>IF(V348, Q348, "")</f>
        <v/>
      </c>
      <c r="X348" s="58" t="str">
        <f>IF(V348, IF(L348 = "", "", L348), "")</f>
        <v/>
      </c>
      <c r="Y348" s="58" t="str">
        <f>IF(V348, K348, "")</f>
        <v/>
      </c>
      <c r="Z348" s="59"/>
      <c r="AA348" s="44" t="b">
        <f>INDEX(itemPrepMethods, MATCH(K348, itemNames, 0))="soak"</f>
        <v>0</v>
      </c>
      <c r="AB348" s="58" t="str">
        <f>IF(AA348, Q348, "")</f>
        <v/>
      </c>
      <c r="AC348" s="58" t="str">
        <f>IF(AA348, IF(L348 = "", "", L348), "")</f>
        <v/>
      </c>
      <c r="AD348" s="58" t="str">
        <f>IF(AA348, K348, "")</f>
        <v/>
      </c>
    </row>
    <row r="349" spans="1:30" ht="15.75" thickBot="1" x14ac:dyDescent="0.3">
      <c r="A349" s="40" t="s">
        <v>21</v>
      </c>
      <c r="B349" s="52">
        <f>Q349</f>
        <v>5.25</v>
      </c>
      <c r="C349" s="39" t="str">
        <f>IF(L349="","",L349)</f>
        <v/>
      </c>
      <c r="D349" s="40" t="str">
        <f>_xlfn.CONCAT(K349, U349)</f>
        <v>garlic cloves. Remove from oil once cooked</v>
      </c>
      <c r="E349" s="66" t="s">
        <v>338</v>
      </c>
      <c r="F349" s="90">
        <f>moLuCount</f>
        <v>10</v>
      </c>
      <c r="G349" s="67"/>
      <c r="I349" s="54">
        <v>8</v>
      </c>
      <c r="J349" s="55"/>
      <c r="K349" s="55" t="s">
        <v>8</v>
      </c>
      <c r="L349" s="56"/>
      <c r="M349" s="47">
        <f>INDEX(itemGPerQty, MATCH(K349, itemNames, 0))</f>
        <v>0</v>
      </c>
      <c r="N349" s="47">
        <f>INDEX(itemMlPerQty, MATCH(K349, itemNames, 0))</f>
        <v>0</v>
      </c>
      <c r="O349" s="47">
        <f>IF(J349 = "", I349 * M349, IF(ISNA(CONVERT(I349, J349, "kg")), CONVERT(I349, J349, "l") * IF(N349 &lt;&gt; 0, M349 / N349, 0), CONVERT(I349, J349, "kg")))</f>
        <v>0</v>
      </c>
      <c r="P349" s="47">
        <f>IF(J349 = "", I349 * N349, IF(ISNA(CONVERT(I349, J349, "l")), CONVERT(I349, J349, "kg") * IF(M349 &lt;&gt; 0, N349 / M349, 0), CONVERT(I349, J349, "l")))</f>
        <v>0</v>
      </c>
      <c r="Q349" s="47">
        <f>MROUND(IF(AND(J349 = "", L349 = ""), I349 * recipe04DayScale, IF(ISNA(CONVERT(O349, "kg", L349)), CONVERT(P349 * recipe04DayScale, "l", L349), CONVERT(O349 * recipe04DayScale, "kg", L349))), roundTo)</f>
        <v>5.25</v>
      </c>
      <c r="R349" s="47">
        <f>recipe04TotScale * IF(L349 = "", Q349 * M349, IF(ISNA(CONVERT(Q349, L349, "kg")), CONVERT(Q349, L349, "l") * IF(N349 &lt;&gt; 0, M349 / N349, 0), CONVERT(Q349, L349, "kg")))</f>
        <v>0</v>
      </c>
      <c r="S349" s="47">
        <f>recipe04TotScale * IF(R349 = 0, IF(L349 = "", Q349 * N349, IF(ISNA(CONVERT(Q349, L349, "l")), CONVERT(Q349, L349, "kg") * IF(M349 &lt;&gt; 0, N349 / M349, 0), CONVERT(Q349, L349, "l"))), 0)</f>
        <v>0</v>
      </c>
      <c r="T349" s="47">
        <f>recipe04TotScale * IF(AND(R349 = 0, S349 = 0, J349 = "", L349 = ""), Q349, 0)</f>
        <v>5.25</v>
      </c>
      <c r="U349" s="44" t="s">
        <v>243</v>
      </c>
      <c r="V349" s="44" t="b">
        <f>INDEX(itemPrepMethods, MATCH(K349, itemNames, 0))="chop"</f>
        <v>0</v>
      </c>
      <c r="W349" s="57" t="str">
        <f>IF(V349, Q349, "")</f>
        <v/>
      </c>
      <c r="X349" s="58" t="str">
        <f>IF(V349, IF(L349 = "", "", L349), "")</f>
        <v/>
      </c>
      <c r="Y349" s="58" t="str">
        <f>IF(V349, K349, "")</f>
        <v/>
      </c>
      <c r="Z349" s="59"/>
      <c r="AA349" s="44" t="b">
        <f>INDEX(itemPrepMethods, MATCH(K349, itemNames, 0))="soak"</f>
        <v>0</v>
      </c>
      <c r="AB349" s="58" t="str">
        <f>IF(AA349, Q349, "")</f>
        <v/>
      </c>
      <c r="AC349" s="58" t="str">
        <f>IF(AA349, IF(L349 = "", "", L349), "")</f>
        <v/>
      </c>
      <c r="AD349" s="58" t="str">
        <f>IF(AA349, K349, "")</f>
        <v/>
      </c>
    </row>
    <row r="350" spans="1:30" ht="15.75" thickBot="1" x14ac:dyDescent="0.3">
      <c r="A350" s="40" t="s">
        <v>21</v>
      </c>
      <c r="B350" s="52">
        <f t="shared" si="308"/>
        <v>2</v>
      </c>
      <c r="C350" s="39" t="str">
        <f>IF(L350="","",L350)</f>
        <v/>
      </c>
      <c r="D350" s="40" t="str">
        <f>_xlfn.CONCAT(K350, U350)</f>
        <v>chopped onions</v>
      </c>
      <c r="E350" s="66" t="s">
        <v>363</v>
      </c>
      <c r="F350" s="50">
        <f>F349/F346</f>
        <v>1</v>
      </c>
      <c r="G350" s="51" t="s">
        <v>379</v>
      </c>
      <c r="I350" s="54">
        <v>3</v>
      </c>
      <c r="J350" s="55"/>
      <c r="K350" s="55" t="s">
        <v>6</v>
      </c>
      <c r="L350" s="56"/>
      <c r="M350" s="47">
        <f>INDEX(itemGPerQty, MATCH(K350, itemNames, 0))</f>
        <v>0.185</v>
      </c>
      <c r="N350" s="47">
        <f>INDEX(itemMlPerQty, MATCH(K350, itemNames, 0))</f>
        <v>0.3</v>
      </c>
      <c r="O350" s="47">
        <f t="shared" si="309"/>
        <v>0.55499999999999994</v>
      </c>
      <c r="P350" s="47">
        <f t="shared" si="310"/>
        <v>0.89999999999999991</v>
      </c>
      <c r="Q350" s="47">
        <f>MROUND(IF(AND(J350 = "", L350 = ""), I350 * recipe04DayScale, IF(ISNA(CONVERT(O350, "kg", L350)), CONVERT(P350 * recipe04DayScale, "l", L350), CONVERT(O350 * recipe04DayScale, "kg", L350))), roundTo)</f>
        <v>2</v>
      </c>
      <c r="R350" s="47">
        <f>recipe04TotScale * IF(L350 = "", Q350 * M350, IF(ISNA(CONVERT(Q350, L350, "kg")), CONVERT(Q350, L350, "l") * IF(N350 &lt;&gt; 0, M350 / N350, 0), CONVERT(Q350, L350, "kg")))</f>
        <v>0.37</v>
      </c>
      <c r="S350" s="47">
        <f>recipe04TotScale * IF(R350 = 0, IF(L350 = "", Q350 * N350, IF(ISNA(CONVERT(Q350, L350, "l")), CONVERT(Q350, L350, "kg") * IF(M350 &lt;&gt; 0, N350 / M350, 0), CONVERT(Q350, L350, "l"))), 0)</f>
        <v>0</v>
      </c>
      <c r="T350" s="47">
        <f>recipe04TotScale * IF(AND(R350 = 0, S350 = 0, J350 = "", L350 = ""), Q350, 0)</f>
        <v>0</v>
      </c>
      <c r="V350" s="44" t="b">
        <f>INDEX(itemPrepMethods, MATCH(K350, itemNames, 0))="chop"</f>
        <v>1</v>
      </c>
      <c r="W350" s="57">
        <f>IF(V350, Q350, "")</f>
        <v>2</v>
      </c>
      <c r="X350" s="58" t="str">
        <f>IF(V350, IF(L350 = "", "", L350), "")</f>
        <v/>
      </c>
      <c r="Y350" s="58" t="str">
        <f>IF(V350, K350, "")</f>
        <v>chopped onions</v>
      </c>
      <c r="Z350" s="59"/>
      <c r="AA350" s="44" t="b">
        <f>INDEX(itemPrepMethods, MATCH(K350, itemNames, 0))="soak"</f>
        <v>0</v>
      </c>
      <c r="AB350" s="58" t="str">
        <f>IF(AA350, Q350, "")</f>
        <v/>
      </c>
      <c r="AC350" s="58" t="str">
        <f>IF(AA350, IF(L350 = "", "", L350), "")</f>
        <v/>
      </c>
      <c r="AD350" s="58" t="str">
        <f>IF(AA350, K350, "")</f>
        <v/>
      </c>
    </row>
    <row r="351" spans="1:30" x14ac:dyDescent="0.25">
      <c r="A351" s="40" t="s">
        <v>21</v>
      </c>
      <c r="B351" s="52">
        <f t="shared" si="308"/>
        <v>2</v>
      </c>
      <c r="C351" s="39" t="str">
        <f>IF(L351="","",L351)</f>
        <v>tbs</v>
      </c>
      <c r="D351" s="40" t="str">
        <f>_xlfn.CONCAT(K351, U351)</f>
        <v>minced fresh ginger</v>
      </c>
      <c r="F351" s="42"/>
      <c r="I351" s="54">
        <v>3</v>
      </c>
      <c r="J351" s="55" t="s">
        <v>15</v>
      </c>
      <c r="K351" s="55" t="s">
        <v>231</v>
      </c>
      <c r="L351" s="56" t="s">
        <v>15</v>
      </c>
      <c r="M351" s="47">
        <f>INDEX(itemGPerQty, MATCH(K351, itemNames, 0))</f>
        <v>0</v>
      </c>
      <c r="N351" s="47">
        <f>INDEX(itemMlPerQty, MATCH(K351, itemNames, 0))</f>
        <v>0</v>
      </c>
      <c r="O351" s="47">
        <f t="shared" si="309"/>
        <v>0</v>
      </c>
      <c r="P351" s="47">
        <f t="shared" si="310"/>
        <v>4.4360294343749995E-2</v>
      </c>
      <c r="Q351" s="47">
        <f>MROUND(IF(AND(J351 = "", L351 = ""), I351 * recipe04DayScale, IF(ISNA(CONVERT(O351, "kg", L351)), CONVERT(P351 * recipe04DayScale, "l", L351), CONVERT(O351 * recipe04DayScale, "kg", L351))), roundTo)</f>
        <v>2</v>
      </c>
      <c r="R351" s="47">
        <f>recipe04TotScale * IF(L351 = "", Q351 * M351, IF(ISNA(CONVERT(Q351, L351, "kg")), CONVERT(Q351, L351, "l") * IF(N351 &lt;&gt; 0, M351 / N351, 0), CONVERT(Q351, L351, "kg")))</f>
        <v>0</v>
      </c>
      <c r="S351" s="47">
        <f>recipe04TotScale * IF(R351 = 0, IF(L351 = "", Q351 * N351, IF(ISNA(CONVERT(Q351, L351, "l")), CONVERT(Q351, L351, "kg") * IF(M351 &lt;&gt; 0, N351 / M351, 0), CONVERT(Q351, L351, "l"))), 0)</f>
        <v>2.9573529562499999E-2</v>
      </c>
      <c r="T351" s="47">
        <f>recipe04TotScale * IF(AND(R351 = 0, S351 = 0, J351 = "", L351 = ""), Q351, 0)</f>
        <v>0</v>
      </c>
      <c r="V351" s="44" t="b">
        <f>INDEX(itemPrepMethods, MATCH(K351, itemNames, 0))="chop"</f>
        <v>1</v>
      </c>
      <c r="W351" s="57">
        <f>IF(V351, Q351, "")</f>
        <v>2</v>
      </c>
      <c r="X351" s="58" t="str">
        <f>IF(V351, IF(L351 = "", "", L351), "")</f>
        <v>tbs</v>
      </c>
      <c r="Y351" s="58" t="str">
        <f>IF(V351, K351, "")</f>
        <v>minced fresh ginger</v>
      </c>
      <c r="Z351" s="59"/>
      <c r="AA351" s="44" t="b">
        <f>INDEX(itemPrepMethods, MATCH(K351, itemNames, 0))="soak"</f>
        <v>0</v>
      </c>
      <c r="AB351" s="58" t="str">
        <f>IF(AA351, Q351, "")</f>
        <v/>
      </c>
      <c r="AC351" s="58" t="str">
        <f>IF(AA351, IF(L351 = "", "", L351), "")</f>
        <v/>
      </c>
      <c r="AD351" s="58" t="str">
        <f>IF(AA351, K351, "")</f>
        <v/>
      </c>
    </row>
    <row r="352" spans="1:30" x14ac:dyDescent="0.25">
      <c r="A352" s="40" t="s">
        <v>21</v>
      </c>
      <c r="B352" s="52">
        <f t="shared" si="308"/>
        <v>1</v>
      </c>
      <c r="C352" s="39" t="str">
        <f>IF(L352="","",L352)</f>
        <v>tbs</v>
      </c>
      <c r="D352" s="40" t="str">
        <f>_xlfn.CONCAT(K352, U352)</f>
        <v>thai green curry</v>
      </c>
      <c r="F352" s="42"/>
      <c r="I352" s="54">
        <v>1.5</v>
      </c>
      <c r="J352" s="55" t="s">
        <v>15</v>
      </c>
      <c r="K352" s="55" t="s">
        <v>174</v>
      </c>
      <c r="L352" s="56" t="s">
        <v>15</v>
      </c>
      <c r="M352" s="47">
        <f>INDEX(itemGPerQty, MATCH(K352, itemNames, 0))</f>
        <v>0</v>
      </c>
      <c r="N352" s="47">
        <f>INDEX(itemMlPerQty, MATCH(K352, itemNames, 0))</f>
        <v>0</v>
      </c>
      <c r="O352" s="47">
        <f t="shared" si="309"/>
        <v>0</v>
      </c>
      <c r="P352" s="47">
        <f t="shared" si="310"/>
        <v>2.2180147171874998E-2</v>
      </c>
      <c r="Q352" s="47">
        <f>MROUND(IF(AND(J352 = "", L352 = ""), I352 * recipe04DayScale, IF(ISNA(CONVERT(O352, "kg", L352)), CONVERT(P352 * recipe04DayScale, "l", L352), CONVERT(O352 * recipe04DayScale, "kg", L352))), roundTo)</f>
        <v>1</v>
      </c>
      <c r="R352" s="47">
        <f>recipe04TotScale * IF(L352 = "", Q352 * M352, IF(ISNA(CONVERT(Q352, L352, "kg")), CONVERT(Q352, L352, "l") * IF(N352 &lt;&gt; 0, M352 / N352, 0), CONVERT(Q352, L352, "kg")))</f>
        <v>0</v>
      </c>
      <c r="S352" s="47">
        <f>recipe04TotScale * IF(R352 = 0, IF(L352 = "", Q352 * N352, IF(ISNA(CONVERT(Q352, L352, "l")), CONVERT(Q352, L352, "kg") * IF(M352 &lt;&gt; 0, N352 / M352, 0), CONVERT(Q352, L352, "l"))), 0)</f>
        <v>1.478676478125E-2</v>
      </c>
      <c r="T352" s="47">
        <f>recipe04TotScale * IF(AND(R352 = 0, S352 = 0, J352 = "", L352 = ""), Q352, 0)</f>
        <v>0</v>
      </c>
      <c r="V352" s="44" t="b">
        <f>INDEX(itemPrepMethods, MATCH(K352, itemNames, 0))="chop"</f>
        <v>0</v>
      </c>
      <c r="W352" s="57" t="str">
        <f>IF(V352, Q352, "")</f>
        <v/>
      </c>
      <c r="X352" s="58" t="str">
        <f>IF(V352, IF(L352 = "", "", L352), "")</f>
        <v/>
      </c>
      <c r="Y352" s="58" t="str">
        <f>IF(V352, K352, "")</f>
        <v/>
      </c>
      <c r="Z352" s="59"/>
      <c r="AA352" s="44" t="b">
        <f>INDEX(itemPrepMethods, MATCH(K352, itemNames, 0))="soak"</f>
        <v>0</v>
      </c>
      <c r="AB352" s="58" t="str">
        <f>IF(AA352, Q352, "")</f>
        <v/>
      </c>
      <c r="AC352" s="58" t="str">
        <f>IF(AA352, IF(L352 = "", "", L352), "")</f>
        <v/>
      </c>
      <c r="AD352" s="58" t="str">
        <f>IF(AA352, K352, "")</f>
        <v/>
      </c>
    </row>
    <row r="353" spans="1:30" ht="15.75" x14ac:dyDescent="0.25">
      <c r="A353" s="109"/>
      <c r="B353" s="109"/>
      <c r="C353" s="109"/>
      <c r="D353" s="109"/>
      <c r="E353" s="42"/>
      <c r="F353" s="42"/>
      <c r="G353" s="47"/>
      <c r="H353" s="47"/>
      <c r="I353" s="63"/>
      <c r="J353" s="42"/>
      <c r="K353" s="42"/>
      <c r="L353" s="64"/>
      <c r="M353" s="63"/>
      <c r="N353" s="63"/>
      <c r="O353" s="63"/>
      <c r="P353" s="63"/>
      <c r="Q353" s="42"/>
      <c r="R353" s="63"/>
      <c r="S353" s="63"/>
      <c r="T353" s="63"/>
      <c r="U353" s="42"/>
      <c r="W353" s="74"/>
      <c r="X353" s="74"/>
      <c r="Y353" s="74"/>
      <c r="Z353" s="74"/>
      <c r="AA353" s="67"/>
      <c r="AB353" s="74"/>
      <c r="AC353" s="74"/>
      <c r="AD353" s="74"/>
    </row>
    <row r="354" spans="1:30" x14ac:dyDescent="0.25">
      <c r="A354" s="107" t="s">
        <v>254</v>
      </c>
      <c r="B354" s="107"/>
      <c r="C354" s="107"/>
      <c r="D354" s="107"/>
      <c r="E354" s="42"/>
      <c r="F354" s="42"/>
      <c r="G354" s="47"/>
      <c r="H354" s="47"/>
      <c r="I354" s="63"/>
      <c r="J354" s="42"/>
      <c r="K354" s="42"/>
      <c r="L354" s="64"/>
      <c r="M354" s="63"/>
      <c r="N354" s="63"/>
      <c r="O354" s="63"/>
      <c r="P354" s="63"/>
      <c r="Q354" s="42"/>
      <c r="R354" s="63"/>
      <c r="S354" s="63"/>
      <c r="T354" s="63"/>
      <c r="U354" s="42"/>
      <c r="W354" s="74"/>
      <c r="X354" s="74"/>
      <c r="Y354" s="74"/>
      <c r="Z354" s="74"/>
      <c r="AA354" s="67"/>
      <c r="AB354" s="74"/>
      <c r="AC354" s="74"/>
      <c r="AD354" s="74"/>
    </row>
    <row r="355" spans="1:30" x14ac:dyDescent="0.25">
      <c r="A355" s="40" t="s">
        <v>21</v>
      </c>
      <c r="B355" s="52">
        <f t="shared" si="308"/>
        <v>0.75</v>
      </c>
      <c r="C355" s="39" t="str">
        <f>IF(L355="","",L355)</f>
        <v>cup</v>
      </c>
      <c r="D355" s="40" t="str">
        <f>_xlfn.CONCAT(K355, U355)</f>
        <v>peanut butter</v>
      </c>
      <c r="F355" s="42"/>
      <c r="I355" s="54">
        <v>1</v>
      </c>
      <c r="J355" s="55" t="s">
        <v>16</v>
      </c>
      <c r="K355" s="55" t="s">
        <v>109</v>
      </c>
      <c r="L355" s="56" t="s">
        <v>16</v>
      </c>
      <c r="M355" s="47">
        <f>INDEX(itemGPerQty, MATCH(K355, itemNames, 0))</f>
        <v>0</v>
      </c>
      <c r="N355" s="47">
        <f>INDEX(itemMlPerQty, MATCH(K355, itemNames, 0))</f>
        <v>0</v>
      </c>
      <c r="O355" s="47">
        <f t="shared" ref="O355:O356" si="311">IF(J355 = "", I355 * M355, IF(ISNA(CONVERT(I355, J355, "kg")), CONVERT(I355, J355, "l") * IF(N355 &lt;&gt; 0, M355 / N355, 0), CONVERT(I355, J355, "kg")))</f>
        <v>0</v>
      </c>
      <c r="P355" s="47">
        <f t="shared" ref="P355:P356" si="312">IF(J355 = "", I355 * N355, IF(ISNA(CONVERT(I355, J355, "l")), CONVERT(I355, J355, "kg") * IF(M355 &lt;&gt; 0, N355 / M355, 0), CONVERT(I355, J355, "l")))</f>
        <v>0.23658823649999999</v>
      </c>
      <c r="Q355" s="47">
        <f>MROUND(IF(AND(J355 = "", L355 = ""), I355 * recipe04DayScale, IF(ISNA(CONVERT(O355, "kg", L355)), CONVERT(P355 * recipe04DayScale, "l", L355), CONVERT(O355 * recipe04DayScale, "kg", L355))), roundTo)</f>
        <v>0.75</v>
      </c>
      <c r="R355" s="47">
        <f>recipe04TotScale * IF(L355 = "", Q355 * M355, IF(ISNA(CONVERT(Q355, L355, "kg")), CONVERT(Q355, L355, "l") * IF(N355 &lt;&gt; 0, M355 / N355, 0), CONVERT(Q355, L355, "kg")))</f>
        <v>0</v>
      </c>
      <c r="S355" s="47">
        <f>recipe04TotScale * IF(R355 = 0, IF(L355 = "", Q355 * N355, IF(ISNA(CONVERT(Q355, L355, "l")), CONVERT(Q355, L355, "kg") * IF(M355 &lt;&gt; 0, N355 / M355, 0), CONVERT(Q355, L355, "l"))), 0)</f>
        <v>0.17744117737499998</v>
      </c>
      <c r="T355" s="47">
        <f>recipe04TotScale * IF(AND(R355 = 0, S355 = 0, J355 = "", L355 = ""), Q355, 0)</f>
        <v>0</v>
      </c>
      <c r="V355" s="44" t="b">
        <f>INDEX(itemPrepMethods, MATCH(K355, itemNames, 0))="chop"</f>
        <v>0</v>
      </c>
      <c r="W355" s="57" t="str">
        <f>IF(V355, Q355, "")</f>
        <v/>
      </c>
      <c r="X355" s="58" t="str">
        <f>IF(V355, IF(L355 = "", "", L355), "")</f>
        <v/>
      </c>
      <c r="Y355" s="58" t="str">
        <f>IF(V355, K355, "")</f>
        <v/>
      </c>
      <c r="Z355" s="59"/>
      <c r="AA355" s="44" t="b">
        <f>INDEX(itemPrepMethods, MATCH(K355, itemNames, 0))="soak"</f>
        <v>0</v>
      </c>
      <c r="AB355" s="58" t="str">
        <f>IF(AA355, Q355, "")</f>
        <v/>
      </c>
      <c r="AC355" s="58" t="str">
        <f>IF(AA355, IF(L355 = "", "", L355), "")</f>
        <v/>
      </c>
      <c r="AD355" s="58" t="str">
        <f>IF(AA355, K355, "")</f>
        <v/>
      </c>
    </row>
    <row r="356" spans="1:30" x14ac:dyDescent="0.25">
      <c r="A356" s="40" t="s">
        <v>21</v>
      </c>
      <c r="B356" s="52">
        <f t="shared" si="308"/>
        <v>0.75</v>
      </c>
      <c r="C356" s="39" t="str">
        <f>IF(L356="","",L356)</f>
        <v>l</v>
      </c>
      <c r="D356" s="40" t="str">
        <f>_xlfn.CONCAT(K356, U356)</f>
        <v>vegetable stock</v>
      </c>
      <c r="I356" s="54">
        <v>1</v>
      </c>
      <c r="J356" s="55" t="s">
        <v>57</v>
      </c>
      <c r="K356" s="55" t="s">
        <v>58</v>
      </c>
      <c r="L356" s="56" t="s">
        <v>57</v>
      </c>
      <c r="M356" s="47">
        <f>INDEX(itemGPerQty, MATCH(K356, itemNames, 0))</f>
        <v>0</v>
      </c>
      <c r="N356" s="47">
        <f>INDEX(itemMlPerQty, MATCH(K356, itemNames, 0))</f>
        <v>0</v>
      </c>
      <c r="O356" s="47">
        <f t="shared" si="311"/>
        <v>0</v>
      </c>
      <c r="P356" s="47">
        <f t="shared" si="312"/>
        <v>1</v>
      </c>
      <c r="Q356" s="47">
        <f>MROUND(IF(AND(J356 = "", L356 = ""), I356 * recipe04DayScale, IF(ISNA(CONVERT(O356, "kg", L356)), CONVERT(P356 * recipe04DayScale, "l", L356), CONVERT(O356 * recipe04DayScale, "kg", L356))), roundTo)</f>
        <v>0.75</v>
      </c>
      <c r="R356" s="47">
        <f>recipe04TotScale * IF(L356 = "", Q356 * M356, IF(ISNA(CONVERT(Q356, L356, "kg")), CONVERT(Q356, L356, "l") * IF(N356 &lt;&gt; 0, M356 / N356, 0), CONVERT(Q356, L356, "kg")))</f>
        <v>0</v>
      </c>
      <c r="S356" s="47">
        <f>recipe04TotScale * IF(R356 = 0, IF(L356 = "", Q356 * N356, IF(ISNA(CONVERT(Q356, L356, "l")), CONVERT(Q356, L356, "kg") * IF(M356 &lt;&gt; 0, N356 / M356, 0), CONVERT(Q356, L356, "l"))), 0)</f>
        <v>0.75</v>
      </c>
      <c r="T356" s="47">
        <f>recipe04TotScale * IF(AND(R356 = 0, S356 = 0, J356 = "", L356 = ""), Q356, 0)</f>
        <v>0</v>
      </c>
      <c r="V356" s="44" t="b">
        <f>INDEX(itemPrepMethods, MATCH(K356, itemNames, 0))="chop"</f>
        <v>0</v>
      </c>
      <c r="W356" s="57" t="str">
        <f>IF(V356, Q356, "")</f>
        <v/>
      </c>
      <c r="X356" s="58" t="str">
        <f>IF(V356, IF(L356 = "", "", L356), "")</f>
        <v/>
      </c>
      <c r="Y356" s="58" t="str">
        <f>IF(V356, K356, "")</f>
        <v/>
      </c>
      <c r="Z356" s="59"/>
      <c r="AA356" s="44" t="b">
        <f>INDEX(itemPrepMethods, MATCH(K356, itemNames, 0))="soak"</f>
        <v>0</v>
      </c>
      <c r="AB356" s="58" t="str">
        <f>IF(AA356, Q356, "")</f>
        <v/>
      </c>
      <c r="AC356" s="58" t="str">
        <f>IF(AA356, IF(L356 = "", "", L356), "")</f>
        <v/>
      </c>
      <c r="AD356" s="58" t="str">
        <f>IF(AA356, K356, "")</f>
        <v/>
      </c>
    </row>
    <row r="357" spans="1:30" ht="15.75" x14ac:dyDescent="0.25">
      <c r="A357" s="109"/>
      <c r="B357" s="109"/>
      <c r="C357" s="109"/>
      <c r="D357" s="109"/>
      <c r="E357" s="42"/>
      <c r="F357" s="42"/>
      <c r="G357" s="47"/>
      <c r="H357" s="47"/>
      <c r="I357" s="63"/>
      <c r="J357" s="42"/>
      <c r="K357" s="42"/>
      <c r="L357" s="64"/>
      <c r="M357" s="63"/>
      <c r="N357" s="63"/>
      <c r="O357" s="63"/>
      <c r="P357" s="63"/>
      <c r="Q357" s="42"/>
      <c r="R357" s="63"/>
      <c r="S357" s="63"/>
      <c r="T357" s="63"/>
      <c r="U357" s="42"/>
      <c r="W357" s="74"/>
      <c r="X357" s="74"/>
      <c r="Y357" s="74"/>
      <c r="Z357" s="74"/>
      <c r="AA357" s="67"/>
      <c r="AB357" s="74"/>
      <c r="AC357" s="74"/>
      <c r="AD357" s="74"/>
    </row>
    <row r="358" spans="1:30" x14ac:dyDescent="0.25">
      <c r="A358" s="107" t="s">
        <v>255</v>
      </c>
      <c r="B358" s="107"/>
      <c r="C358" s="107"/>
      <c r="D358" s="107"/>
      <c r="E358" s="42"/>
      <c r="F358" s="42"/>
      <c r="G358" s="47"/>
      <c r="H358" s="47"/>
      <c r="I358" s="63"/>
      <c r="J358" s="42"/>
      <c r="K358" s="42"/>
      <c r="L358" s="64"/>
      <c r="M358" s="63"/>
      <c r="N358" s="63"/>
      <c r="O358" s="63"/>
      <c r="P358" s="63"/>
      <c r="Q358" s="42"/>
      <c r="R358" s="63"/>
      <c r="S358" s="63"/>
      <c r="T358" s="63"/>
      <c r="U358" s="42"/>
      <c r="W358" s="74"/>
      <c r="X358" s="74"/>
      <c r="Y358" s="74"/>
      <c r="Z358" s="74"/>
      <c r="AA358" s="67"/>
      <c r="AB358" s="74"/>
      <c r="AC358" s="74"/>
      <c r="AD358" s="74"/>
    </row>
    <row r="359" spans="1:30" x14ac:dyDescent="0.25">
      <c r="A359" s="40" t="s">
        <v>21</v>
      </c>
      <c r="B359" s="52">
        <f t="shared" si="308"/>
        <v>2</v>
      </c>
      <c r="C359" s="39" t="str">
        <f>IF(L359="","",L359)</f>
        <v/>
      </c>
      <c r="D359" s="40" t="str">
        <f>_xlfn.CONCAT(K359, U359)</f>
        <v>chopped kumara</v>
      </c>
      <c r="I359" s="54">
        <v>3</v>
      </c>
      <c r="J359" s="55"/>
      <c r="K359" s="55" t="s">
        <v>158</v>
      </c>
      <c r="L359" s="56"/>
      <c r="M359" s="47">
        <f>INDEX(itemGPerQty, MATCH(K359, itemNames, 0))</f>
        <v>0.34</v>
      </c>
      <c r="N359" s="47">
        <f>INDEX(itemMlPerQty, MATCH(K359, itemNames, 0))</f>
        <v>0</v>
      </c>
      <c r="O359" s="47">
        <f t="shared" ref="O359:O360" si="313">IF(J359 = "", I359 * M359, IF(ISNA(CONVERT(I359, J359, "kg")), CONVERT(I359, J359, "l") * IF(N359 &lt;&gt; 0, M359 / N359, 0), CONVERT(I359, J359, "kg")))</f>
        <v>1.02</v>
      </c>
      <c r="P359" s="47">
        <f t="shared" ref="P359:P360" si="314">IF(J359 = "", I359 * N359, IF(ISNA(CONVERT(I359, J359, "l")), CONVERT(I359, J359, "kg") * IF(M359 &lt;&gt; 0, N359 / M359, 0), CONVERT(I359, J359, "l")))</f>
        <v>0</v>
      </c>
      <c r="Q359" s="47">
        <f>MROUND(IF(AND(J359 = "", L359 = ""), I359 * recipe04DayScale, IF(ISNA(CONVERT(O359, "kg", L359)), CONVERT(P359 * recipe04DayScale, "l", L359), CONVERT(O359 * recipe04DayScale, "kg", L359))), roundTo)</f>
        <v>2</v>
      </c>
      <c r="R359" s="47">
        <f>recipe04TotScale * IF(L359 = "", Q359 * M359, IF(ISNA(CONVERT(Q359, L359, "kg")), CONVERT(Q359, L359, "l") * IF(N359 &lt;&gt; 0, M359 / N359, 0), CONVERT(Q359, L359, "kg")))</f>
        <v>0.68</v>
      </c>
      <c r="S359" s="47">
        <f>recipe04TotScale * IF(R359 = 0, IF(L359 = "", Q359 * N359, IF(ISNA(CONVERT(Q359, L359, "l")), CONVERT(Q359, L359, "kg") * IF(M359 &lt;&gt; 0, N359 / M359, 0), CONVERT(Q359, L359, "l"))), 0)</f>
        <v>0</v>
      </c>
      <c r="T359" s="47">
        <f>recipe04TotScale * IF(AND(R359 = 0, S359 = 0, J359 = "", L359 = ""), Q359, 0)</f>
        <v>0</v>
      </c>
      <c r="V359" s="44" t="b">
        <f>INDEX(itemPrepMethods, MATCH(K359, itemNames, 0))="chop"</f>
        <v>1</v>
      </c>
      <c r="W359" s="57">
        <f>IF(V359, Q359, "")</f>
        <v>2</v>
      </c>
      <c r="X359" s="58" t="str">
        <f>IF(V359, IF(L359 = "", "", L359), "")</f>
        <v/>
      </c>
      <c r="Y359" s="58" t="str">
        <f>IF(V359, K359, "")</f>
        <v>chopped kumara</v>
      </c>
      <c r="Z359" s="59"/>
      <c r="AA359" s="44" t="b">
        <f>INDEX(itemPrepMethods, MATCH(K359, itemNames, 0))="soak"</f>
        <v>0</v>
      </c>
      <c r="AB359" s="58" t="str">
        <f>IF(AA359, Q359, "")</f>
        <v/>
      </c>
      <c r="AC359" s="58" t="str">
        <f>IF(AA359, IF(L359 = "", "", L359), "")</f>
        <v/>
      </c>
      <c r="AD359" s="58" t="str">
        <f>IF(AA359, K359, "")</f>
        <v/>
      </c>
    </row>
    <row r="360" spans="1:30" x14ac:dyDescent="0.25">
      <c r="A360" s="40" t="s">
        <v>21</v>
      </c>
      <c r="B360" s="52">
        <f t="shared" si="308"/>
        <v>6</v>
      </c>
      <c r="C360" s="39" t="str">
        <f>IF(L360="","",L360)</f>
        <v/>
      </c>
      <c r="D360" s="40" t="str">
        <f>_xlfn.CONCAT(K360, U360)</f>
        <v>chopped carrots</v>
      </c>
      <c r="I360" s="54">
        <v>9</v>
      </c>
      <c r="J360" s="55"/>
      <c r="K360" s="55" t="s">
        <v>5</v>
      </c>
      <c r="L360" s="56"/>
      <c r="M360" s="47">
        <f>INDEX(itemGPerQty, MATCH(K360, itemNames, 0))</f>
        <v>0.14833333333333334</v>
      </c>
      <c r="N360" s="47">
        <f>INDEX(itemMlPerQty, MATCH(K360, itemNames, 0))</f>
        <v>0.19999999999999998</v>
      </c>
      <c r="O360" s="47">
        <f t="shared" si="313"/>
        <v>1.3350000000000002</v>
      </c>
      <c r="P360" s="47">
        <f t="shared" si="314"/>
        <v>1.7999999999999998</v>
      </c>
      <c r="Q360" s="47">
        <f>MROUND(IF(AND(J360 = "", L360 = ""), I360 * recipe04DayScale, IF(ISNA(CONVERT(O360, "kg", L360)), CONVERT(P360 * recipe04DayScale, "l", L360), CONVERT(O360 * recipe04DayScale, "kg", L360))), roundTo)</f>
        <v>6</v>
      </c>
      <c r="R360" s="47">
        <f>recipe04TotScale * IF(L360 = "", Q360 * M360, IF(ISNA(CONVERT(Q360, L360, "kg")), CONVERT(Q360, L360, "l") * IF(N360 &lt;&gt; 0, M360 / N360, 0), CONVERT(Q360, L360, "kg")))</f>
        <v>0.89000000000000012</v>
      </c>
      <c r="S360" s="47">
        <f>recipe04TotScale * IF(R360 = 0, IF(L360 = "", Q360 * N360, IF(ISNA(CONVERT(Q360, L360, "l")), CONVERT(Q360, L360, "kg") * IF(M360 &lt;&gt; 0, N360 / M360, 0), CONVERT(Q360, L360, "l"))), 0)</f>
        <v>0</v>
      </c>
      <c r="T360" s="47">
        <f>recipe04TotScale * IF(AND(R360 = 0, S360 = 0, J360 = "", L360 = ""), Q360, 0)</f>
        <v>0</v>
      </c>
      <c r="V360" s="44" t="b">
        <f>INDEX(itemPrepMethods, MATCH(K360, itemNames, 0))="chop"</f>
        <v>1</v>
      </c>
      <c r="W360" s="57">
        <f>IF(V360, Q360, "")</f>
        <v>6</v>
      </c>
      <c r="X360" s="58" t="str">
        <f>IF(V360, IF(L360 = "", "", L360), "")</f>
        <v/>
      </c>
      <c r="Y360" s="58" t="str">
        <f>IF(V360, K360, "")</f>
        <v>chopped carrots</v>
      </c>
      <c r="Z360" s="59"/>
      <c r="AA360" s="44" t="b">
        <f>INDEX(itemPrepMethods, MATCH(K360, itemNames, 0))="soak"</f>
        <v>0</v>
      </c>
      <c r="AB360" s="58" t="str">
        <f>IF(AA360, Q360, "")</f>
        <v/>
      </c>
      <c r="AC360" s="58" t="str">
        <f>IF(AA360, IF(L360 = "", "", L360), "")</f>
        <v/>
      </c>
      <c r="AD360" s="58" t="str">
        <f>IF(AA360, K360, "")</f>
        <v/>
      </c>
    </row>
    <row r="361" spans="1:30" ht="15.75" x14ac:dyDescent="0.25">
      <c r="A361" s="109"/>
      <c r="B361" s="109"/>
      <c r="C361" s="109"/>
      <c r="D361" s="109"/>
      <c r="E361" s="42"/>
      <c r="F361" s="42"/>
      <c r="G361" s="47"/>
      <c r="H361" s="47"/>
      <c r="I361" s="63"/>
      <c r="J361" s="42"/>
      <c r="K361" s="42"/>
      <c r="L361" s="64"/>
      <c r="M361" s="63"/>
      <c r="N361" s="63"/>
      <c r="O361" s="63"/>
      <c r="P361" s="63"/>
      <c r="Q361" s="42"/>
      <c r="R361" s="63"/>
      <c r="S361" s="63"/>
      <c r="T361" s="63"/>
      <c r="U361" s="42"/>
      <c r="W361" s="74"/>
      <c r="X361" s="74"/>
      <c r="Y361" s="74"/>
      <c r="Z361" s="74"/>
      <c r="AA361" s="67"/>
      <c r="AB361" s="74"/>
      <c r="AC361" s="74"/>
      <c r="AD361" s="74"/>
    </row>
    <row r="362" spans="1:30" x14ac:dyDescent="0.25">
      <c r="A362" s="107" t="s">
        <v>256</v>
      </c>
      <c r="B362" s="107"/>
      <c r="C362" s="107"/>
      <c r="D362" s="107"/>
      <c r="E362" s="42"/>
      <c r="F362" s="42"/>
      <c r="G362" s="47"/>
      <c r="H362" s="47"/>
      <c r="I362" s="63"/>
      <c r="J362" s="42"/>
      <c r="K362" s="42"/>
      <c r="L362" s="64"/>
      <c r="M362" s="63"/>
      <c r="N362" s="63"/>
      <c r="O362" s="63"/>
      <c r="P362" s="63"/>
      <c r="Q362" s="42"/>
      <c r="R362" s="63"/>
      <c r="S362" s="63"/>
      <c r="T362" s="63"/>
      <c r="U362" s="42"/>
      <c r="W362" s="74"/>
      <c r="X362" s="74"/>
      <c r="Y362" s="74"/>
      <c r="Z362" s="74"/>
      <c r="AA362" s="67"/>
      <c r="AB362" s="74"/>
      <c r="AC362" s="74"/>
      <c r="AD362" s="74"/>
    </row>
    <row r="363" spans="1:30" x14ac:dyDescent="0.25">
      <c r="A363" s="40" t="s">
        <v>21</v>
      </c>
      <c r="B363" s="52">
        <f t="shared" si="308"/>
        <v>0.75</v>
      </c>
      <c r="C363" s="39" t="str">
        <f>IF(L363="","",L363)</f>
        <v/>
      </c>
      <c r="D363" s="40" t="str">
        <f>_xlfn.CONCAT(K363, U363)</f>
        <v>chopped cauliflowers</v>
      </c>
      <c r="I363" s="54">
        <v>1.2</v>
      </c>
      <c r="J363" s="55"/>
      <c r="K363" s="55" t="s">
        <v>167</v>
      </c>
      <c r="L363" s="56"/>
      <c r="M363" s="47">
        <f>INDEX(itemGPerQty, MATCH(K363, itemNames, 0))</f>
        <v>0</v>
      </c>
      <c r="N363" s="47">
        <f>INDEX(itemMlPerQty, MATCH(K363, itemNames, 0))</f>
        <v>0</v>
      </c>
      <c r="O363" s="47">
        <f t="shared" ref="O363:O366" si="315">IF(J363 = "", I363 * M363, IF(ISNA(CONVERT(I363, J363, "kg")), CONVERT(I363, J363, "l") * IF(N363 &lt;&gt; 0, M363 / N363, 0), CONVERT(I363, J363, "kg")))</f>
        <v>0</v>
      </c>
      <c r="P363" s="47">
        <f t="shared" ref="P363:P366" si="316">IF(J363 = "", I363 * N363, IF(ISNA(CONVERT(I363, J363, "l")), CONVERT(I363, J363, "kg") * IF(M363 &lt;&gt; 0, N363 / M363, 0), CONVERT(I363, J363, "l")))</f>
        <v>0</v>
      </c>
      <c r="Q363" s="47">
        <f>MROUND(IF(AND(J363 = "", L363 = ""), I363 * recipe04DayScale, IF(ISNA(CONVERT(O363, "kg", L363)), CONVERT(P363 * recipe04DayScale, "l", L363), CONVERT(O363 * recipe04DayScale, "kg", L363))), roundTo)</f>
        <v>0.75</v>
      </c>
      <c r="R363" s="47">
        <f>recipe04TotScale * IF(L363 = "", Q363 * M363, IF(ISNA(CONVERT(Q363, L363, "kg")), CONVERT(Q363, L363, "l") * IF(N363 &lt;&gt; 0, M363 / N363, 0), CONVERT(Q363, L363, "kg")))</f>
        <v>0</v>
      </c>
      <c r="S363" s="47">
        <f>recipe04TotScale * IF(R363 = 0, IF(L363 = "", Q363 * N363, IF(ISNA(CONVERT(Q363, L363, "l")), CONVERT(Q363, L363, "kg") * IF(M363 &lt;&gt; 0, N363 / M363, 0), CONVERT(Q363, L363, "l"))), 0)</f>
        <v>0</v>
      </c>
      <c r="T363" s="47">
        <f>recipe04TotScale * IF(AND(R363 = 0, S363 = 0, J363 = "", L363 = ""), Q363, 0)</f>
        <v>0.75</v>
      </c>
      <c r="V363" s="44" t="b">
        <f>INDEX(itemPrepMethods, MATCH(K363, itemNames, 0))="chop"</f>
        <v>1</v>
      </c>
      <c r="W363" s="57">
        <f>IF(V363, Q363, "")</f>
        <v>0.75</v>
      </c>
      <c r="X363" s="58" t="str">
        <f>IF(V363, IF(L363 = "", "", L363), "")</f>
        <v/>
      </c>
      <c r="Y363" s="58" t="str">
        <f>IF(V363, K363, "")</f>
        <v>chopped cauliflowers</v>
      </c>
      <c r="Z363" s="59"/>
      <c r="AA363" s="44" t="b">
        <f>INDEX(itemPrepMethods, MATCH(K363, itemNames, 0))="soak"</f>
        <v>0</v>
      </c>
      <c r="AB363" s="58" t="str">
        <f>IF(AA363, Q363, "")</f>
        <v/>
      </c>
      <c r="AC363" s="58" t="str">
        <f>IF(AA363, IF(L363 = "", "", L363), "")</f>
        <v/>
      </c>
      <c r="AD363" s="58" t="str">
        <f>IF(AA363, K363, "")</f>
        <v/>
      </c>
    </row>
    <row r="364" spans="1:30" x14ac:dyDescent="0.25">
      <c r="A364" s="40" t="s">
        <v>21</v>
      </c>
      <c r="B364" s="52">
        <f t="shared" si="308"/>
        <v>5.25</v>
      </c>
      <c r="C364" s="39" t="str">
        <f>IF(L364="","",L364)</f>
        <v/>
      </c>
      <c r="D364" s="40" t="str">
        <f>_xlfn.CONCAT(K364, U364)</f>
        <v>sliced zucchini</v>
      </c>
      <c r="I364" s="54">
        <v>8</v>
      </c>
      <c r="J364" s="55"/>
      <c r="K364" s="55" t="s">
        <v>110</v>
      </c>
      <c r="L364" s="56"/>
      <c r="M364" s="47">
        <f>INDEX(itemGPerQty, MATCH(K364, itemNames, 0))</f>
        <v>0</v>
      </c>
      <c r="N364" s="47">
        <f>INDEX(itemMlPerQty, MATCH(K364, itemNames, 0))</f>
        <v>0</v>
      </c>
      <c r="O364" s="47">
        <f t="shared" si="315"/>
        <v>0</v>
      </c>
      <c r="P364" s="47">
        <f t="shared" si="316"/>
        <v>0</v>
      </c>
      <c r="Q364" s="47">
        <f>MROUND(IF(AND(J364 = "", L364 = ""), I364 * recipe04DayScale, IF(ISNA(CONVERT(O364, "kg", L364)), CONVERT(P364 * recipe04DayScale, "l", L364), CONVERT(O364 * recipe04DayScale, "kg", L364))), roundTo)</f>
        <v>5.25</v>
      </c>
      <c r="R364" s="47">
        <f>recipe04TotScale * IF(L364 = "", Q364 * M364, IF(ISNA(CONVERT(Q364, L364, "kg")), CONVERT(Q364, L364, "l") * IF(N364 &lt;&gt; 0, M364 / N364, 0), CONVERT(Q364, L364, "kg")))</f>
        <v>0</v>
      </c>
      <c r="S364" s="47">
        <f>recipe04TotScale * IF(R364 = 0, IF(L364 = "", Q364 * N364, IF(ISNA(CONVERT(Q364, L364, "l")), CONVERT(Q364, L364, "kg") * IF(M364 &lt;&gt; 0, N364 / M364, 0), CONVERT(Q364, L364, "l"))), 0)</f>
        <v>0</v>
      </c>
      <c r="T364" s="47">
        <f>recipe04TotScale * IF(AND(R364 = 0, S364 = 0, J364 = "", L364 = ""), Q364, 0)</f>
        <v>5.25</v>
      </c>
      <c r="V364" s="44" t="b">
        <f>INDEX(itemPrepMethods, MATCH(K364, itemNames, 0))="chop"</f>
        <v>1</v>
      </c>
      <c r="W364" s="57">
        <f>IF(V364, Q364, "")</f>
        <v>5.25</v>
      </c>
      <c r="X364" s="58" t="str">
        <f>IF(V364, IF(L364 = "", "", L364), "")</f>
        <v/>
      </c>
      <c r="Y364" s="58" t="str">
        <f>IF(V364, K364, "")</f>
        <v>sliced zucchini</v>
      </c>
      <c r="Z364" s="59"/>
      <c r="AA364" s="44" t="b">
        <f>INDEX(itemPrepMethods, MATCH(K364, itemNames, 0))="soak"</f>
        <v>0</v>
      </c>
      <c r="AB364" s="58" t="str">
        <f>IF(AA364, Q364, "")</f>
        <v/>
      </c>
      <c r="AC364" s="58" t="str">
        <f>IF(AA364, IF(L364 = "", "", L364), "")</f>
        <v/>
      </c>
      <c r="AD364" s="58" t="str">
        <f>IF(AA364, K364, "")</f>
        <v/>
      </c>
    </row>
    <row r="365" spans="1:30" x14ac:dyDescent="0.25">
      <c r="A365" s="40" t="s">
        <v>21</v>
      </c>
      <c r="B365" s="52">
        <f t="shared" si="308"/>
        <v>7.25</v>
      </c>
      <c r="C365" s="39" t="str">
        <f>IF(L365="","",L365)</f>
        <v/>
      </c>
      <c r="D365" s="40" t="str">
        <f>_xlfn.CONCAT(K365, U365)</f>
        <v>sliced silverbeet leaves</v>
      </c>
      <c r="I365" s="54">
        <v>11</v>
      </c>
      <c r="J365" s="55"/>
      <c r="K365" s="55" t="s">
        <v>112</v>
      </c>
      <c r="L365" s="56"/>
      <c r="M365" s="47">
        <f>INDEX(itemGPerQty, MATCH(K365, itemNames, 0))</f>
        <v>0</v>
      </c>
      <c r="N365" s="47">
        <f>INDEX(itemMlPerQty, MATCH(K365, itemNames, 0))</f>
        <v>0</v>
      </c>
      <c r="O365" s="47">
        <f t="shared" si="315"/>
        <v>0</v>
      </c>
      <c r="P365" s="47">
        <f t="shared" si="316"/>
        <v>0</v>
      </c>
      <c r="Q365" s="47">
        <f>MROUND(IF(AND(J365 = "", L365 = ""), I365 * recipe04DayScale, IF(ISNA(CONVERT(O365, "kg", L365)), CONVERT(P365 * recipe04DayScale, "l", L365), CONVERT(O365 * recipe04DayScale, "kg", L365))), roundTo)</f>
        <v>7.25</v>
      </c>
      <c r="R365" s="47">
        <f>recipe04TotScale * IF(L365 = "", Q365 * M365, IF(ISNA(CONVERT(Q365, L365, "kg")), CONVERT(Q365, L365, "l") * IF(N365 &lt;&gt; 0, M365 / N365, 0), CONVERT(Q365, L365, "kg")))</f>
        <v>0</v>
      </c>
      <c r="S365" s="47">
        <f>recipe04TotScale * IF(R365 = 0, IF(L365 = "", Q365 * N365, IF(ISNA(CONVERT(Q365, L365, "l")), CONVERT(Q365, L365, "kg") * IF(M365 &lt;&gt; 0, N365 / M365, 0), CONVERT(Q365, L365, "l"))), 0)</f>
        <v>0</v>
      </c>
      <c r="T365" s="47">
        <f>recipe04TotScale * IF(AND(R365 = 0, S365 = 0, J365 = "", L365 = ""), Q365, 0)</f>
        <v>7.25</v>
      </c>
      <c r="V365" s="44" t="b">
        <f>INDEX(itemPrepMethods, MATCH(K365, itemNames, 0))="chop"</f>
        <v>1</v>
      </c>
      <c r="W365" s="57">
        <f>IF(V365, Q365, "")</f>
        <v>7.25</v>
      </c>
      <c r="X365" s="58" t="str">
        <f>IF(V365, IF(L365 = "", "", L365), "")</f>
        <v/>
      </c>
      <c r="Y365" s="58" t="str">
        <f>IF(V365, K365, "")</f>
        <v>sliced silverbeet leaves</v>
      </c>
      <c r="Z365" s="59"/>
      <c r="AA365" s="44" t="b">
        <f>INDEX(itemPrepMethods, MATCH(K365, itemNames, 0))="soak"</f>
        <v>0</v>
      </c>
      <c r="AB365" s="58" t="str">
        <f>IF(AA365, Q365, "")</f>
        <v/>
      </c>
      <c r="AC365" s="58" t="str">
        <f>IF(AA365, IF(L365 = "", "", L365), "")</f>
        <v/>
      </c>
      <c r="AD365" s="58" t="str">
        <f>IF(AA365, K365, "")</f>
        <v/>
      </c>
    </row>
    <row r="366" spans="1:30" x14ac:dyDescent="0.25">
      <c r="A366" s="40" t="s">
        <v>21</v>
      </c>
      <c r="B366" s="52">
        <f t="shared" si="308"/>
        <v>0.75</v>
      </c>
      <c r="C366" s="39" t="str">
        <f>IF(L366="","",L366)</f>
        <v>tbs</v>
      </c>
      <c r="D366" s="40" t="str">
        <f>_xlfn.CONCAT(K366, U366)</f>
        <v>salt</v>
      </c>
      <c r="I366" s="54">
        <v>1.1000000000000001</v>
      </c>
      <c r="J366" s="55" t="s">
        <v>15</v>
      </c>
      <c r="K366" s="55" t="s">
        <v>11</v>
      </c>
      <c r="L366" s="56" t="s">
        <v>15</v>
      </c>
      <c r="M366" s="47">
        <f>INDEX(itemGPerQty, MATCH(K366, itemNames, 0))</f>
        <v>2.5000000000000001E-2</v>
      </c>
      <c r="N366" s="47">
        <f>INDEX(itemMlPerQty, MATCH(K366, itemNames, 0))</f>
        <v>2.2180100000000001E-2</v>
      </c>
      <c r="O366" s="47">
        <f t="shared" si="315"/>
        <v>1.8333372324037089E-2</v>
      </c>
      <c r="P366" s="47">
        <f t="shared" si="316"/>
        <v>1.6265441259374999E-2</v>
      </c>
      <c r="Q366" s="47">
        <f>MROUND(IF(AND(J366 = "", L366 = ""), I366 * recipe04DayScale, IF(ISNA(CONVERT(O366, "kg", L366)), CONVERT(P366 * recipe04DayScale, "l", L366), CONVERT(O366 * recipe04DayScale, "kg", L366))), roundTo)</f>
        <v>0.75</v>
      </c>
      <c r="R366" s="47">
        <f>recipe04TotScale * IF(L366 = "", Q366 * M366, IF(ISNA(CONVERT(Q366, L366, "kg")), CONVERT(Q366, L366, "l") * IF(N366 &lt;&gt; 0, M366 / N366, 0), CONVERT(Q366, L366, "kg")))</f>
        <v>1.2500026584570742E-2</v>
      </c>
      <c r="S366" s="47">
        <f>recipe04TotScale * IF(R366 = 0, IF(L366 = "", Q366 * N366, IF(ISNA(CONVERT(Q366, L366, "l")), CONVERT(Q366, L366, "kg") * IF(M366 &lt;&gt; 0, N366 / M366, 0), CONVERT(Q366, L366, "l"))), 0)</f>
        <v>0</v>
      </c>
      <c r="T366" s="47">
        <f>recipe04TotScale * IF(AND(R366 = 0, S366 = 0, J366 = "", L366 = ""), Q366, 0)</f>
        <v>0</v>
      </c>
      <c r="V366" s="44" t="b">
        <f>INDEX(itemPrepMethods, MATCH(K366, itemNames, 0))="chop"</f>
        <v>0</v>
      </c>
      <c r="W366" s="57" t="str">
        <f>IF(V366, Q366, "")</f>
        <v/>
      </c>
      <c r="X366" s="58" t="str">
        <f>IF(V366, IF(L366 = "", "", L366), "")</f>
        <v/>
      </c>
      <c r="Y366" s="58" t="str">
        <f>IF(V366, K366, "")</f>
        <v/>
      </c>
      <c r="Z366" s="59"/>
      <c r="AA366" s="44" t="b">
        <f>INDEX(itemPrepMethods, MATCH(K366, itemNames, 0))="soak"</f>
        <v>0</v>
      </c>
      <c r="AB366" s="58" t="str">
        <f>IF(AA366, Q366, "")</f>
        <v/>
      </c>
      <c r="AC366" s="58" t="str">
        <f>IF(AA366, IF(L366 = "", "", L366), "")</f>
        <v/>
      </c>
      <c r="AD366" s="58" t="str">
        <f>IF(AA366, K366, "")</f>
        <v/>
      </c>
    </row>
    <row r="367" spans="1:30" ht="15.75" x14ac:dyDescent="0.25">
      <c r="A367" s="109"/>
      <c r="B367" s="109"/>
      <c r="C367" s="109"/>
      <c r="D367" s="109"/>
      <c r="E367" s="42"/>
      <c r="F367" s="42"/>
      <c r="G367" s="47"/>
      <c r="H367" s="47"/>
      <c r="I367" s="63"/>
      <c r="J367" s="42"/>
      <c r="K367" s="42"/>
      <c r="L367" s="64"/>
      <c r="M367" s="63"/>
      <c r="N367" s="63"/>
      <c r="O367" s="63"/>
      <c r="P367" s="63"/>
      <c r="Q367" s="42"/>
      <c r="R367" s="63"/>
      <c r="S367" s="63"/>
      <c r="T367" s="63"/>
      <c r="U367" s="42"/>
      <c r="W367" s="74"/>
      <c r="X367" s="74"/>
      <c r="Y367" s="74"/>
      <c r="Z367" s="74"/>
      <c r="AA367" s="67"/>
      <c r="AB367" s="74"/>
      <c r="AC367" s="74"/>
      <c r="AD367" s="74"/>
    </row>
    <row r="368" spans="1:30" x14ac:dyDescent="0.25">
      <c r="A368" s="107" t="s">
        <v>257</v>
      </c>
      <c r="B368" s="107"/>
      <c r="C368" s="107"/>
      <c r="D368" s="107"/>
      <c r="E368" s="42"/>
      <c r="F368" s="42"/>
      <c r="G368" s="47"/>
      <c r="H368" s="47"/>
      <c r="I368" s="63"/>
      <c r="J368" s="42"/>
      <c r="K368" s="42"/>
      <c r="L368" s="64"/>
      <c r="M368" s="63"/>
      <c r="N368" s="63"/>
      <c r="O368" s="63"/>
      <c r="P368" s="63"/>
      <c r="Q368" s="42"/>
      <c r="R368" s="63"/>
      <c r="S368" s="63"/>
      <c r="T368" s="63"/>
      <c r="U368" s="42"/>
      <c r="W368" s="74"/>
      <c r="X368" s="74"/>
      <c r="Y368" s="74"/>
      <c r="Z368" s="74"/>
      <c r="AA368" s="67"/>
      <c r="AB368" s="74"/>
      <c r="AC368" s="74"/>
      <c r="AD368" s="74"/>
    </row>
    <row r="369" spans="1:30" x14ac:dyDescent="0.25">
      <c r="A369" s="40" t="s">
        <v>21</v>
      </c>
      <c r="B369" s="52">
        <f t="shared" si="308"/>
        <v>1.25</v>
      </c>
      <c r="C369" s="39" t="str">
        <f>IF(L369="","",L369)</f>
        <v/>
      </c>
      <c r="D369" s="40" t="str">
        <f>_xlfn.CONCAT(K369, U369)</f>
        <v>tins coconut cream</v>
      </c>
      <c r="I369" s="54">
        <v>2</v>
      </c>
      <c r="J369" s="55"/>
      <c r="K369" s="55" t="s">
        <v>111</v>
      </c>
      <c r="L369" s="56"/>
      <c r="M369" s="47">
        <f>INDEX(itemGPerQty, MATCH(K369, itemNames, 0))</f>
        <v>0</v>
      </c>
      <c r="N369" s="47">
        <f>INDEX(itemMlPerQty, MATCH(K369, itemNames, 0))</f>
        <v>0</v>
      </c>
      <c r="O369" s="47">
        <f t="shared" ref="O369:O370" si="317">IF(J369 = "", I369 * M369, IF(ISNA(CONVERT(I369, J369, "kg")), CONVERT(I369, J369, "l") * IF(N369 &lt;&gt; 0, M369 / N369, 0), CONVERT(I369, J369, "kg")))</f>
        <v>0</v>
      </c>
      <c r="P369" s="47">
        <f t="shared" ref="P369:P370" si="318">IF(J369 = "", I369 * N369, IF(ISNA(CONVERT(I369, J369, "l")), CONVERT(I369, J369, "kg") * IF(M369 &lt;&gt; 0, N369 / M369, 0), CONVERT(I369, J369, "l")))</f>
        <v>0</v>
      </c>
      <c r="Q369" s="47">
        <f>MROUND(IF(AND(J369 = "", L369 = ""), I369 * recipe04DayScale, IF(ISNA(CONVERT(O369, "kg", L369)), CONVERT(P369 * recipe04DayScale, "l", L369), CONVERT(O369 * recipe04DayScale, "kg", L369))), roundTo)</f>
        <v>1.25</v>
      </c>
      <c r="R369" s="47">
        <f>recipe04TotScale * IF(L369 = "", Q369 * M369, IF(ISNA(CONVERT(Q369, L369, "kg")), CONVERT(Q369, L369, "l") * IF(N369 &lt;&gt; 0, M369 / N369, 0), CONVERT(Q369, L369, "kg")))</f>
        <v>0</v>
      </c>
      <c r="S369" s="47">
        <f>recipe04TotScale * IF(R369 = 0, IF(L369 = "", Q369 * N369, IF(ISNA(CONVERT(Q369, L369, "l")), CONVERT(Q369, L369, "kg") * IF(M369 &lt;&gt; 0, N369 / M369, 0), CONVERT(Q369, L369, "l"))), 0)</f>
        <v>0</v>
      </c>
      <c r="T369" s="47">
        <f>recipe04TotScale * IF(AND(R369 = 0, S369 = 0, J369 = "", L369 = ""), Q369, 0)</f>
        <v>1.25</v>
      </c>
      <c r="V369" s="44" t="b">
        <f>INDEX(itemPrepMethods, MATCH(K369, itemNames, 0))="chop"</f>
        <v>0</v>
      </c>
      <c r="W369" s="57" t="str">
        <f>IF(V369, Q369, "")</f>
        <v/>
      </c>
      <c r="X369" s="58" t="str">
        <f>IF(V369, IF(L369 = "", "", L369), "")</f>
        <v/>
      </c>
      <c r="Y369" s="58" t="str">
        <f>IF(V369, K369, "")</f>
        <v/>
      </c>
      <c r="Z369" s="59"/>
      <c r="AA369" s="44" t="b">
        <f>INDEX(itemPrepMethods, MATCH(K369, itemNames, 0))="soak"</f>
        <v>0</v>
      </c>
      <c r="AB369" s="58" t="str">
        <f>IF(AA369, Q369, "")</f>
        <v/>
      </c>
      <c r="AC369" s="58" t="str">
        <f>IF(AA369, IF(L369 = "", "", L369), "")</f>
        <v/>
      </c>
      <c r="AD369" s="58" t="str">
        <f>IF(AA369, K369, "")</f>
        <v/>
      </c>
    </row>
    <row r="370" spans="1:30" x14ac:dyDescent="0.25">
      <c r="A370" s="40" t="s">
        <v>21</v>
      </c>
      <c r="B370" s="52">
        <f t="shared" si="308"/>
        <v>4</v>
      </c>
      <c r="C370" s="39" t="str">
        <f>IF(L370="","",L370)</f>
        <v/>
      </c>
      <c r="D370" s="40" t="str">
        <f>_xlfn.CONCAT(K370, U370)</f>
        <v>tins chickpeas. Rinse and drain first</v>
      </c>
      <c r="I370" s="54">
        <v>6</v>
      </c>
      <c r="J370" s="54"/>
      <c r="K370" s="54" t="s">
        <v>86</v>
      </c>
      <c r="L370" s="56"/>
      <c r="M370" s="47">
        <f>INDEX(itemGPerQty, MATCH(K370, itemNames, 0))</f>
        <v>0</v>
      </c>
      <c r="N370" s="47">
        <f>INDEX(itemMlPerQty, MATCH(K370, itemNames, 0))</f>
        <v>0</v>
      </c>
      <c r="O370" s="47">
        <f t="shared" si="317"/>
        <v>0</v>
      </c>
      <c r="P370" s="47">
        <f t="shared" si="318"/>
        <v>0</v>
      </c>
      <c r="Q370" s="47">
        <f>MROUND(IF(AND(J370 = "", L370 = ""), I370 * recipe04DayScale, IF(ISNA(CONVERT(O370, "kg", L370)), CONVERT(P370 * recipe04DayScale, "l", L370), CONVERT(O370 * recipe04DayScale, "kg", L370))), roundTo)</f>
        <v>4</v>
      </c>
      <c r="R370" s="47">
        <f>recipe04TotScale * IF(L370 = "", Q370 * M370, IF(ISNA(CONVERT(Q370, L370, "kg")), CONVERT(Q370, L370, "l") * IF(N370 &lt;&gt; 0, M370 / N370, 0), CONVERT(Q370, L370, "kg")))</f>
        <v>0</v>
      </c>
      <c r="S370" s="47">
        <f>recipe04TotScale * IF(R370 = 0, IF(L370 = "", Q370 * N370, IF(ISNA(CONVERT(Q370, L370, "l")), CONVERT(Q370, L370, "kg") * IF(M370 &lt;&gt; 0, N370 / M370, 0), CONVERT(Q370, L370, "l"))), 0)</f>
        <v>0</v>
      </c>
      <c r="T370" s="47">
        <f>recipe04TotScale * IF(AND(R370 = 0, S370 = 0, J370 = "", L370 = ""), Q370, 0)</f>
        <v>4</v>
      </c>
      <c r="U370" s="44" t="s">
        <v>251</v>
      </c>
      <c r="V370" s="44" t="b">
        <f>INDEX(itemPrepMethods, MATCH(K370, itemNames, 0))="chop"</f>
        <v>0</v>
      </c>
      <c r="W370" s="57" t="str">
        <f>IF(V370, Q370, "")</f>
        <v/>
      </c>
      <c r="X370" s="58" t="str">
        <f>IF(V370, IF(L370 = "", "", L370), "")</f>
        <v/>
      </c>
      <c r="Y370" s="58" t="str">
        <f>IF(V370, K370, "")</f>
        <v/>
      </c>
      <c r="Z370" s="59"/>
      <c r="AA370" s="44" t="b">
        <f>INDEX(itemPrepMethods, MATCH(K370, itemNames, 0))="soak"</f>
        <v>0</v>
      </c>
      <c r="AB370" s="58" t="str">
        <f>IF(AA370, Q370, "")</f>
        <v/>
      </c>
      <c r="AC370" s="58" t="str">
        <f>IF(AA370, IF(L370 = "", "", L370), "")</f>
        <v/>
      </c>
      <c r="AD370" s="58" t="str">
        <f>IF(AA370, K370, "")</f>
        <v/>
      </c>
    </row>
    <row r="371" spans="1:30" x14ac:dyDescent="0.25">
      <c r="A371" s="40" t="s">
        <v>21</v>
      </c>
      <c r="B371" s="52"/>
      <c r="C371" s="39" t="str">
        <f>IF(L371="","",L371)</f>
        <v/>
      </c>
      <c r="D371" s="40" t="str">
        <f>_xlfn.CONCAT(K371, U371)</f>
        <v>water, if required</v>
      </c>
      <c r="I371" s="47"/>
      <c r="K371" s="55" t="s">
        <v>48</v>
      </c>
      <c r="L371" s="44"/>
      <c r="M371" s="44"/>
      <c r="N371" s="44"/>
      <c r="O371" s="44"/>
      <c r="P371" s="44"/>
      <c r="U371" s="44" t="s">
        <v>217</v>
      </c>
      <c r="V371" s="44" t="b">
        <f>INDEX(itemPrepMethods, MATCH(K371, itemNames, 0))="chop"</f>
        <v>0</v>
      </c>
      <c r="W371" s="57" t="str">
        <f>IF(V371, Q371, "")</f>
        <v/>
      </c>
      <c r="X371" s="58" t="str">
        <f>IF(V371, IF(L371 = "", "", L371), "")</f>
        <v/>
      </c>
      <c r="Y371" s="58" t="str">
        <f>IF(V371, K371, "")</f>
        <v/>
      </c>
      <c r="Z371" s="59"/>
      <c r="AA371" s="44" t="b">
        <f>INDEX(itemPrepMethods, MATCH(K371, itemNames, 0))="soak"</f>
        <v>0</v>
      </c>
      <c r="AB371" s="58" t="str">
        <f>IF(AA371, Q371, "")</f>
        <v/>
      </c>
      <c r="AC371" s="58" t="str">
        <f>IF(AA371, IF(L371 = "", "", L371), "")</f>
        <v/>
      </c>
      <c r="AD371" s="58" t="str">
        <f>IF(AA371, K371, "")</f>
        <v/>
      </c>
    </row>
    <row r="372" spans="1:30" x14ac:dyDescent="0.25">
      <c r="A372" s="40" t="s">
        <v>21</v>
      </c>
      <c r="B372" s="52"/>
      <c r="C372" s="39" t="str">
        <f>IF(L372="","",L372)</f>
        <v/>
      </c>
      <c r="D372" s="40" t="str">
        <f>_xlfn.CONCAT(K372, U372)</f>
        <v>salt, to taste</v>
      </c>
      <c r="I372" s="47"/>
      <c r="K372" s="55" t="s">
        <v>11</v>
      </c>
      <c r="L372" s="44"/>
      <c r="M372" s="44"/>
      <c r="N372" s="44"/>
      <c r="O372" s="44"/>
      <c r="P372" s="44"/>
      <c r="U372" s="44" t="s">
        <v>216</v>
      </c>
      <c r="V372" s="44" t="b">
        <f>INDEX(itemPrepMethods, MATCH(K372, itemNames, 0))="chop"</f>
        <v>0</v>
      </c>
      <c r="W372" s="57" t="str">
        <f>IF(V372, Q372, "")</f>
        <v/>
      </c>
      <c r="X372" s="58" t="str">
        <f>IF(V372, IF(L372 = "", "", L372), "")</f>
        <v/>
      </c>
      <c r="Y372" s="58" t="str">
        <f>IF(V372, K372, "")</f>
        <v/>
      </c>
      <c r="Z372" s="59"/>
      <c r="AA372" s="44" t="b">
        <f>INDEX(itemPrepMethods, MATCH(K372, itemNames, 0))="soak"</f>
        <v>0</v>
      </c>
      <c r="AB372" s="58" t="str">
        <f>IF(AA372, Q372, "")</f>
        <v/>
      </c>
      <c r="AC372" s="58" t="str">
        <f>IF(AA372, IF(L372 = "", "", L372), "")</f>
        <v/>
      </c>
      <c r="AD372" s="58" t="str">
        <f>IF(AA372, K372, "")</f>
        <v/>
      </c>
    </row>
    <row r="373" spans="1:30" x14ac:dyDescent="0.25">
      <c r="A373" s="40" t="s">
        <v>21</v>
      </c>
      <c r="B373" s="52"/>
      <c r="C373" s="39" t="str">
        <f>IF(L373="","",L373)</f>
        <v/>
      </c>
      <c r="D373" s="40" t="str">
        <f>_xlfn.CONCAT(K373, U373)</f>
        <v>ground black pepper, to taste</v>
      </c>
      <c r="I373" s="47"/>
      <c r="K373" s="55" t="s">
        <v>80</v>
      </c>
      <c r="L373" s="44"/>
      <c r="M373" s="44"/>
      <c r="N373" s="44"/>
      <c r="O373" s="44"/>
      <c r="P373" s="44"/>
      <c r="U373" s="44" t="s">
        <v>216</v>
      </c>
      <c r="V373" s="44" t="b">
        <f>INDEX(itemPrepMethods, MATCH(K373, itemNames, 0))="chop"</f>
        <v>0</v>
      </c>
      <c r="W373" s="57" t="str">
        <f>IF(V373, Q373, "")</f>
        <v/>
      </c>
      <c r="X373" s="58" t="str">
        <f>IF(V373, IF(L373 = "", "", L373), "")</f>
        <v/>
      </c>
      <c r="Y373" s="58" t="str">
        <f>IF(V373, K373, "")</f>
        <v/>
      </c>
      <c r="Z373" s="59"/>
      <c r="AA373" s="44" t="b">
        <f>INDEX(itemPrepMethods, MATCH(K373, itemNames, 0))="soak"</f>
        <v>0</v>
      </c>
      <c r="AB373" s="58" t="str">
        <f>IF(AA373, Q373, "")</f>
        <v/>
      </c>
      <c r="AC373" s="58" t="str">
        <f>IF(AA373, IF(L373 = "", "", L373), "")</f>
        <v/>
      </c>
      <c r="AD373" s="58" t="str">
        <f>IF(AA373, K373, "")</f>
        <v/>
      </c>
    </row>
    <row r="374" spans="1:30" ht="15.75" x14ac:dyDescent="0.25">
      <c r="A374" s="109"/>
      <c r="B374" s="109"/>
      <c r="C374" s="109"/>
      <c r="D374" s="109"/>
      <c r="E374" s="42"/>
      <c r="F374" s="42"/>
      <c r="G374" s="47"/>
      <c r="H374" s="47"/>
      <c r="I374" s="63"/>
      <c r="J374" s="42"/>
      <c r="K374" s="42"/>
      <c r="L374" s="64"/>
      <c r="M374" s="63"/>
      <c r="N374" s="63"/>
      <c r="O374" s="63"/>
      <c r="P374" s="63"/>
      <c r="Q374" s="42"/>
      <c r="R374" s="63"/>
      <c r="S374" s="63"/>
      <c r="T374" s="63"/>
      <c r="U374" s="42"/>
    </row>
    <row r="375" spans="1:30" x14ac:dyDescent="0.25">
      <c r="A375" s="107" t="s">
        <v>258</v>
      </c>
      <c r="B375" s="107"/>
      <c r="C375" s="107"/>
      <c r="D375" s="107"/>
      <c r="E375" s="42"/>
      <c r="F375" s="42"/>
      <c r="G375" s="47"/>
      <c r="H375" s="47"/>
      <c r="I375" s="63"/>
      <c r="J375" s="42"/>
      <c r="K375" s="42"/>
      <c r="L375" s="64"/>
      <c r="M375" s="63"/>
      <c r="N375" s="63"/>
      <c r="O375" s="63"/>
      <c r="P375" s="63"/>
      <c r="Q375" s="42"/>
      <c r="R375" s="63"/>
      <c r="S375" s="63"/>
      <c r="T375" s="63"/>
      <c r="U375" s="42"/>
    </row>
    <row r="376" spans="1:30" ht="15.75" x14ac:dyDescent="0.25">
      <c r="A376" s="108" t="s">
        <v>36</v>
      </c>
      <c r="B376" s="108"/>
      <c r="C376" s="108"/>
      <c r="D376" s="108"/>
      <c r="E376" s="43" t="s">
        <v>142</v>
      </c>
      <c r="F376" s="104" t="s">
        <v>188</v>
      </c>
      <c r="G376" s="104"/>
    </row>
    <row r="377" spans="1:30" ht="24" x14ac:dyDescent="0.2">
      <c r="A377" s="108" t="s">
        <v>43</v>
      </c>
      <c r="B377" s="108"/>
      <c r="C377" s="108"/>
      <c r="D377" s="108"/>
      <c r="E377" s="42" t="s">
        <v>56</v>
      </c>
      <c r="F377" s="90">
        <v>16</v>
      </c>
      <c r="G377" s="47"/>
      <c r="I377" s="70" t="s">
        <v>448</v>
      </c>
      <c r="J377" s="71" t="s">
        <v>449</v>
      </c>
      <c r="K377" s="71" t="s">
        <v>17</v>
      </c>
      <c r="L377" s="72" t="s">
        <v>452</v>
      </c>
      <c r="M377" s="70" t="s">
        <v>148</v>
      </c>
      <c r="N377" s="70" t="s">
        <v>149</v>
      </c>
      <c r="O377" s="70" t="s">
        <v>450</v>
      </c>
      <c r="P377" s="70" t="s">
        <v>451</v>
      </c>
      <c r="Q377" s="71" t="s">
        <v>364</v>
      </c>
      <c r="R377" s="70" t="s">
        <v>365</v>
      </c>
      <c r="S377" s="70" t="s">
        <v>366</v>
      </c>
      <c r="T377" s="70" t="s">
        <v>367</v>
      </c>
      <c r="U377" s="71" t="s">
        <v>22</v>
      </c>
      <c r="V377" s="71" t="s">
        <v>212</v>
      </c>
      <c r="W377" s="73" t="s">
        <v>364</v>
      </c>
      <c r="X377" s="71" t="s">
        <v>210</v>
      </c>
      <c r="Y377" s="71" t="s">
        <v>211</v>
      </c>
      <c r="Z377" s="71" t="s">
        <v>313</v>
      </c>
      <c r="AA377" s="71" t="s">
        <v>213</v>
      </c>
      <c r="AB377" s="73" t="s">
        <v>364</v>
      </c>
      <c r="AC377" s="71" t="s">
        <v>214</v>
      </c>
      <c r="AD377" s="71" t="s">
        <v>215</v>
      </c>
    </row>
    <row r="378" spans="1:30" ht="15.75" thickBot="1" x14ac:dyDescent="0.3">
      <c r="A378" s="107"/>
      <c r="B378" s="107"/>
      <c r="C378" s="107"/>
      <c r="D378" s="107"/>
      <c r="E378" s="66" t="s">
        <v>359</v>
      </c>
      <c r="F378" s="90">
        <f>thDiCount</f>
        <v>10</v>
      </c>
      <c r="G378" s="47"/>
      <c r="I378" s="63"/>
      <c r="J378" s="42"/>
      <c r="K378" s="42"/>
      <c r="L378" s="64"/>
      <c r="M378" s="63"/>
      <c r="N378" s="63"/>
      <c r="O378" s="63"/>
      <c r="P378" s="63"/>
      <c r="Q378" s="42"/>
      <c r="R378" s="63"/>
      <c r="S378" s="63"/>
      <c r="T378" s="63"/>
      <c r="U378" s="42"/>
    </row>
    <row r="379" spans="1:30" ht="15.75" thickBot="1" x14ac:dyDescent="0.3">
      <c r="A379" s="107" t="s">
        <v>168</v>
      </c>
      <c r="B379" s="107"/>
      <c r="C379" s="107"/>
      <c r="D379" s="107"/>
      <c r="E379" s="66" t="s">
        <v>362</v>
      </c>
      <c r="F379" s="50">
        <f>F378/F377</f>
        <v>0.625</v>
      </c>
      <c r="G379" s="51" t="s">
        <v>392</v>
      </c>
      <c r="I379" s="63"/>
      <c r="J379" s="42"/>
      <c r="K379" s="42"/>
      <c r="L379" s="64"/>
      <c r="M379" s="63"/>
      <c r="N379" s="63"/>
      <c r="O379" s="63"/>
      <c r="P379" s="63"/>
      <c r="Q379" s="42"/>
      <c r="R379" s="63"/>
      <c r="S379" s="63"/>
      <c r="T379" s="63"/>
      <c r="U379" s="42"/>
    </row>
    <row r="380" spans="1:30" x14ac:dyDescent="0.25">
      <c r="A380" s="107"/>
      <c r="B380" s="107"/>
      <c r="C380" s="107"/>
      <c r="D380" s="107"/>
      <c r="E380" s="67"/>
      <c r="F380" s="67"/>
      <c r="G380" s="67"/>
      <c r="I380" s="47"/>
    </row>
    <row r="381" spans="1:30" ht="15.75" thickBot="1" x14ac:dyDescent="0.3">
      <c r="A381" s="107" t="s">
        <v>189</v>
      </c>
      <c r="B381" s="107"/>
      <c r="C381" s="107"/>
      <c r="D381" s="107"/>
      <c r="E381" s="66" t="s">
        <v>338</v>
      </c>
      <c r="F381" s="90">
        <f>thDiCount</f>
        <v>10</v>
      </c>
      <c r="G381" s="67"/>
      <c r="I381" s="47"/>
    </row>
    <row r="382" spans="1:30" ht="15.75" thickBot="1" x14ac:dyDescent="0.3">
      <c r="A382" s="40" t="s">
        <v>21</v>
      </c>
      <c r="B382" s="52">
        <f t="shared" ref="B382" si="319">Q382</f>
        <v>1.25</v>
      </c>
      <c r="C382" s="39" t="str">
        <f t="shared" ref="C382" si="320">IF(L382="","",L382)</f>
        <v>cup</v>
      </c>
      <c r="D382" s="40" t="str">
        <f>_xlfn.CONCAT(K382, U382)</f>
        <v>split peas. Soaked by Tenzo the night before. Rinse and drain first</v>
      </c>
      <c r="E382" s="66" t="s">
        <v>363</v>
      </c>
      <c r="F382" s="50">
        <f>F381/F378</f>
        <v>1</v>
      </c>
      <c r="G382" s="51" t="s">
        <v>393</v>
      </c>
      <c r="I382" s="62">
        <v>2</v>
      </c>
      <c r="J382" s="55" t="s">
        <v>16</v>
      </c>
      <c r="K382" s="55" t="s">
        <v>7</v>
      </c>
      <c r="L382" s="56" t="s">
        <v>16</v>
      </c>
      <c r="M382" s="47">
        <f>INDEX(itemGPerQty, MATCH(K382, itemNames, 0))</f>
        <v>0.84699999999999998</v>
      </c>
      <c r="N382" s="47">
        <f>INDEX(itemMlPerQty, MATCH(K382, itemNames, 0))</f>
        <v>0.946353</v>
      </c>
      <c r="O382" s="47">
        <f>IF(J382 = "", I382 * M382, IF(ISNA(CONVERT(I382, J382, "kg")), CONVERT(I382, J382, "l") * IF(N382 &lt;&gt; 0, M382 / N382, 0), CONVERT(I382, J382, "kg")))</f>
        <v>0.4234999758345987</v>
      </c>
      <c r="P382" s="47">
        <f>IF(J382 = "", I382 * N382, IF(ISNA(CONVERT(I382, J382, "l")), CONVERT(I382, J382, "kg") * IF(M382 &lt;&gt; 0, N382 / M382, 0), CONVERT(I382, J382, "l")))</f>
        <v>0.47317647299999999</v>
      </c>
      <c r="Q382" s="47">
        <f>MROUND(IF(AND(J382 = "", L382 = ""), I382 * recipe11DayScale, IF(ISNA(CONVERT(O382, "kg", L382)), CONVERT(P382 * recipe11DayScale, "l", L382), CONVERT(O382 * recipe11DayScale, "kg", L382))), roundTo)</f>
        <v>1.25</v>
      </c>
      <c r="R382" s="47">
        <f>recipe11TotScale * IF(L382 = "", Q382 * M382, IF(ISNA(CONVERT(Q382, L382, "kg")), CONVERT(Q382, L382, "l") * IF(N382 &lt;&gt; 0, M382 / N382, 0), CONVERT(Q382, L382, "kg")))</f>
        <v>0.26468748489662419</v>
      </c>
      <c r="S382" s="47">
        <f>recipe11TotScale * IF(R382 = 0, IF(L382 = "", Q382 * N382, IF(ISNA(CONVERT(Q382, L382, "l")), CONVERT(Q382, L382, "kg") * IF(M382 &lt;&gt; 0, N382 / M382, 0), CONVERT(Q382, L382, "l"))), 0)</f>
        <v>0</v>
      </c>
      <c r="T382" s="47">
        <f>recipe11TotScale * IF(AND(R382 = 0, S382 = 0, J382 = "", L382 = ""), Q382, 0)</f>
        <v>0</v>
      </c>
      <c r="U382" s="44" t="s">
        <v>244</v>
      </c>
      <c r="V382" s="44" t="b">
        <f>INDEX(itemPrepMethods, MATCH(K382, itemNames, 0))="chop"</f>
        <v>0</v>
      </c>
      <c r="W382" s="57" t="str">
        <f>IF(V382, Q382, "")</f>
        <v/>
      </c>
      <c r="X382" s="58" t="str">
        <f>IF(V382, IF(L382 = "", "", L382), "")</f>
        <v/>
      </c>
      <c r="Y382" s="58" t="str">
        <f>IF(V382, K382, "")</f>
        <v/>
      </c>
      <c r="Z382" s="59"/>
      <c r="AA382" s="44" t="b">
        <f>INDEX(itemPrepMethods, MATCH(K382, itemNames, 0))="soak"</f>
        <v>1</v>
      </c>
      <c r="AB382" s="58">
        <f>IF(AA382, Q382, "")</f>
        <v>1.25</v>
      </c>
      <c r="AC382" s="58" t="str">
        <f>IF(AA382, IF(L382 = "", "", L382), "")</f>
        <v>cup</v>
      </c>
      <c r="AD382" s="58" t="str">
        <f>IF(AA382, K382, "")</f>
        <v>split peas</v>
      </c>
    </row>
    <row r="383" spans="1:30" x14ac:dyDescent="0.25">
      <c r="A383" s="107"/>
      <c r="B383" s="107"/>
      <c r="C383" s="107"/>
      <c r="D383" s="107"/>
      <c r="I383" s="47"/>
      <c r="W383" s="74"/>
      <c r="X383" s="75"/>
      <c r="Y383" s="75"/>
      <c r="Z383" s="76"/>
      <c r="AB383" s="74"/>
      <c r="AC383" s="74"/>
      <c r="AD383" s="74"/>
    </row>
    <row r="384" spans="1:30" x14ac:dyDescent="0.25">
      <c r="A384" s="107" t="s">
        <v>302</v>
      </c>
      <c r="B384" s="107"/>
      <c r="C384" s="107"/>
      <c r="D384" s="107"/>
      <c r="I384" s="47"/>
      <c r="W384" s="74"/>
      <c r="X384" s="75"/>
      <c r="Y384" s="75"/>
      <c r="Z384" s="76"/>
      <c r="AB384" s="74"/>
      <c r="AC384" s="74"/>
      <c r="AD384" s="74"/>
    </row>
    <row r="385" spans="1:30" x14ac:dyDescent="0.25">
      <c r="A385" s="40" t="s">
        <v>21</v>
      </c>
      <c r="B385" s="52">
        <f t="shared" ref="B385" si="321">Q385</f>
        <v>6.25</v>
      </c>
      <c r="C385" s="39" t="str">
        <f t="shared" ref="C385" si="322">IF(L385="","",L385)</f>
        <v>tbs</v>
      </c>
      <c r="D385" s="40" t="str">
        <f>_xlfn.CONCAT(K385, U385)</f>
        <v>oil</v>
      </c>
      <c r="I385" s="62">
        <v>10</v>
      </c>
      <c r="J385" s="55" t="s">
        <v>15</v>
      </c>
      <c r="K385" s="55" t="s">
        <v>46</v>
      </c>
      <c r="L385" s="56" t="s">
        <v>15</v>
      </c>
      <c r="M385" s="47">
        <f t="shared" ref="M385:M389" si="323">INDEX(itemGPerQty, MATCH(K385, itemNames, 0))</f>
        <v>0</v>
      </c>
      <c r="N385" s="47">
        <f t="shared" ref="N385:N389" si="324">INDEX(itemMlPerQty, MATCH(K385, itemNames, 0))</f>
        <v>0</v>
      </c>
      <c r="O385" s="47">
        <f t="shared" ref="O385:O389" si="325">IF(J385 = "", I385 * M385, IF(ISNA(CONVERT(I385, J385, "kg")), CONVERT(I385, J385, "l") * IF(N385 &lt;&gt; 0, M385 / N385, 0), CONVERT(I385, J385, "kg")))</f>
        <v>0</v>
      </c>
      <c r="P385" s="47">
        <f t="shared" ref="P385:P389" si="326">IF(J385 = "", I385 * N385, IF(ISNA(CONVERT(I385, J385, "l")), CONVERT(I385, J385, "kg") * IF(M385 &lt;&gt; 0, N385 / M385, 0), CONVERT(I385, J385, "l")))</f>
        <v>0.1478676478125</v>
      </c>
      <c r="Q385" s="47">
        <f>MROUND(IF(AND(J385 = "", L385 = ""), I385 * recipe11DayScale, IF(ISNA(CONVERT(O385, "kg", L385)), CONVERT(P385 * recipe11DayScale, "l", L385), CONVERT(O385 * recipe11DayScale, "kg", L385))), roundTo)</f>
        <v>6.25</v>
      </c>
      <c r="R385" s="47">
        <f>recipe11TotScale * IF(L385 = "", Q385 * M385, IF(ISNA(CONVERT(Q385, L385, "kg")), CONVERT(Q385, L385, "l") * IF(N385 &lt;&gt; 0, M385 / N385, 0), CONVERT(Q385, L385, "kg")))</f>
        <v>0</v>
      </c>
      <c r="S385" s="47">
        <f>recipe11TotScale * IF(R385 = 0, IF(L385 = "", Q385 * N385, IF(ISNA(CONVERT(Q385, L385, "l")), CONVERT(Q385, L385, "kg") * IF(M385 &lt;&gt; 0, N385 / M385, 0), CONVERT(Q385, L385, "l"))), 0)</f>
        <v>9.2417279882812495E-2</v>
      </c>
      <c r="T385" s="47">
        <f>recipe11TotScale * IF(AND(R385 = 0, S385 = 0, J385 = "", L385 = ""), Q385, 0)</f>
        <v>0</v>
      </c>
      <c r="V385" s="44" t="b">
        <f>INDEX(itemPrepMethods, MATCH(K385, itemNames, 0))="chop"</f>
        <v>0</v>
      </c>
      <c r="W385" s="57" t="str">
        <f>IF(V385, Q385, "")</f>
        <v/>
      </c>
      <c r="X385" s="58" t="str">
        <f>IF(V385, IF(L385 = "", "", L385), "")</f>
        <v/>
      </c>
      <c r="Y385" s="58" t="str">
        <f>IF(V385, K385, "")</f>
        <v/>
      </c>
      <c r="Z385" s="59"/>
      <c r="AA385" s="44" t="b">
        <f>INDEX(itemPrepMethods, MATCH(K385, itemNames, 0))="soak"</f>
        <v>0</v>
      </c>
      <c r="AB385" s="58" t="str">
        <f>IF(AA385, Q385, "")</f>
        <v/>
      </c>
      <c r="AC385" s="58" t="str">
        <f>IF(AA385, IF(L385 = "", "", L385), "")</f>
        <v/>
      </c>
      <c r="AD385" s="58" t="str">
        <f>IF(AA385, K385, "")</f>
        <v/>
      </c>
    </row>
    <row r="386" spans="1:30" x14ac:dyDescent="0.25">
      <c r="A386" s="40" t="s">
        <v>21</v>
      </c>
      <c r="B386" s="52">
        <f t="shared" ref="B386:B389" si="327">Q386</f>
        <v>5</v>
      </c>
      <c r="C386" s="39" t="str">
        <f t="shared" ref="C386:C389" si="328">IF(L386="","",L386)</f>
        <v/>
      </c>
      <c r="D386" s="40" t="str">
        <f>_xlfn.CONCAT(K386, U386)</f>
        <v>garlic cloves. Remove from oil once cooked</v>
      </c>
      <c r="I386" s="62">
        <v>8</v>
      </c>
      <c r="J386" s="55"/>
      <c r="K386" s="55" t="s">
        <v>8</v>
      </c>
      <c r="L386" s="56"/>
      <c r="M386" s="47">
        <f t="shared" si="323"/>
        <v>0</v>
      </c>
      <c r="N386" s="47">
        <f t="shared" si="324"/>
        <v>0</v>
      </c>
      <c r="O386" s="47">
        <f t="shared" si="325"/>
        <v>0</v>
      </c>
      <c r="P386" s="47">
        <f t="shared" si="326"/>
        <v>0</v>
      </c>
      <c r="Q386" s="47">
        <f>MROUND(IF(AND(J386 = "", L386 = ""), I386 * recipe11DayScale, IF(ISNA(CONVERT(O386, "kg", L386)), CONVERT(P386 * recipe11DayScale, "l", L386), CONVERT(O386 * recipe11DayScale, "kg", L386))), roundTo)</f>
        <v>5</v>
      </c>
      <c r="R386" s="47">
        <f>recipe11TotScale * IF(L386 = "", Q386 * M386, IF(ISNA(CONVERT(Q386, L386, "kg")), CONVERT(Q386, L386, "l") * IF(N386 &lt;&gt; 0, M386 / N386, 0), CONVERT(Q386, L386, "kg")))</f>
        <v>0</v>
      </c>
      <c r="S386" s="47">
        <f>recipe11TotScale * IF(R386 = 0, IF(L386 = "", Q386 * N386, IF(ISNA(CONVERT(Q386, L386, "l")), CONVERT(Q386, L386, "kg") * IF(M386 &lt;&gt; 0, N386 / M386, 0), CONVERT(Q386, L386, "l"))), 0)</f>
        <v>0</v>
      </c>
      <c r="T386" s="47">
        <f>recipe11TotScale * IF(AND(R386 = 0, S386 = 0, J386 = "", L386 = ""), Q386, 0)</f>
        <v>5</v>
      </c>
      <c r="U386" s="44" t="s">
        <v>243</v>
      </c>
      <c r="V386" s="44" t="b">
        <f>INDEX(itemPrepMethods, MATCH(K386, itemNames, 0))="chop"</f>
        <v>0</v>
      </c>
      <c r="W386" s="57" t="str">
        <f>IF(V386, Q386, "")</f>
        <v/>
      </c>
      <c r="X386" s="58" t="str">
        <f>IF(V386, IF(L386 = "", "", L386), "")</f>
        <v/>
      </c>
      <c r="Y386" s="58" t="str">
        <f>IF(V386, K386, "")</f>
        <v/>
      </c>
      <c r="Z386" s="59"/>
      <c r="AA386" s="44" t="b">
        <f>INDEX(itemPrepMethods, MATCH(K386, itemNames, 0))="soak"</f>
        <v>0</v>
      </c>
      <c r="AB386" s="58" t="str">
        <f>IF(AA386, Q386, "")</f>
        <v/>
      </c>
      <c r="AC386" s="58" t="str">
        <f>IF(AA386, IF(L386 = "", "", L386), "")</f>
        <v/>
      </c>
      <c r="AD386" s="58" t="str">
        <f>IF(AA386, K386, "")</f>
        <v/>
      </c>
    </row>
    <row r="387" spans="1:30" x14ac:dyDescent="0.25">
      <c r="A387" s="40" t="s">
        <v>21</v>
      </c>
      <c r="B387" s="52">
        <f t="shared" si="327"/>
        <v>1.25</v>
      </c>
      <c r="C387" s="39" t="str">
        <f t="shared" si="328"/>
        <v>tbs</v>
      </c>
      <c r="D387" s="40" t="str">
        <f>_xlfn.CONCAT(K387, U387)</f>
        <v>ground turmeric</v>
      </c>
      <c r="I387" s="62">
        <v>2</v>
      </c>
      <c r="J387" s="55" t="s">
        <v>15</v>
      </c>
      <c r="K387" s="55" t="s">
        <v>316</v>
      </c>
      <c r="L387" s="56" t="s">
        <v>15</v>
      </c>
      <c r="M387" s="47">
        <f t="shared" si="323"/>
        <v>1.4E-2</v>
      </c>
      <c r="N387" s="47">
        <f t="shared" si="324"/>
        <v>2.2180100000000001E-2</v>
      </c>
      <c r="O387" s="47">
        <f t="shared" si="325"/>
        <v>1.8666706366292307E-2</v>
      </c>
      <c r="P387" s="47">
        <f t="shared" si="326"/>
        <v>2.9573529562499999E-2</v>
      </c>
      <c r="Q387" s="47">
        <f>MROUND(IF(AND(J387 = "", L387 = ""), I387 * recipe11DayScale, IF(ISNA(CONVERT(O387, "kg", L387)), CONVERT(P387 * recipe11DayScale, "l", L387), CONVERT(O387 * recipe11DayScale, "kg", L387))), roundTo)</f>
        <v>1.25</v>
      </c>
      <c r="R387" s="47">
        <f>recipe11TotScale * IF(L387 = "", Q387 * M387, IF(ISNA(CONVERT(Q387, L387, "kg")), CONVERT(Q387, L387, "l") * IF(N387 &lt;&gt; 0, M387 / N387, 0), CONVERT(Q387, L387, "kg")))</f>
        <v>1.1666691478932692E-2</v>
      </c>
      <c r="S387" s="47">
        <f>recipe11TotScale * IF(R387 = 0, IF(L387 = "", Q387 * N387, IF(ISNA(CONVERT(Q387, L387, "l")), CONVERT(Q387, L387, "kg") * IF(M387 &lt;&gt; 0, N387 / M387, 0), CONVERT(Q387, L387, "l"))), 0)</f>
        <v>0</v>
      </c>
      <c r="T387" s="47">
        <f>recipe11TotScale * IF(AND(R387 = 0, S387 = 0, J387 = "", L387 = ""), Q387, 0)</f>
        <v>0</v>
      </c>
      <c r="V387" s="44" t="b">
        <f>INDEX(itemPrepMethods, MATCH(K387, itemNames, 0))="chop"</f>
        <v>0</v>
      </c>
      <c r="W387" s="57" t="str">
        <f>IF(V387, Q387, "")</f>
        <v/>
      </c>
      <c r="X387" s="58" t="str">
        <f>IF(V387, IF(L387 = "", "", L387), "")</f>
        <v/>
      </c>
      <c r="Y387" s="58" t="str">
        <f>IF(V387, K387, "")</f>
        <v/>
      </c>
      <c r="Z387" s="59"/>
      <c r="AA387" s="44" t="b">
        <f>INDEX(itemPrepMethods, MATCH(K387, itemNames, 0))="soak"</f>
        <v>0</v>
      </c>
      <c r="AB387" s="58" t="str">
        <f>IF(AA387, Q387, "")</f>
        <v/>
      </c>
      <c r="AC387" s="58" t="str">
        <f>IF(AA387, IF(L387 = "", "", L387), "")</f>
        <v/>
      </c>
      <c r="AD387" s="58" t="str">
        <f>IF(AA387, K387, "")</f>
        <v/>
      </c>
    </row>
    <row r="388" spans="1:30" x14ac:dyDescent="0.25">
      <c r="A388" s="40" t="s">
        <v>21</v>
      </c>
      <c r="B388" s="52">
        <f t="shared" si="327"/>
        <v>0.75</v>
      </c>
      <c r="C388" s="39" t="str">
        <f t="shared" si="328"/>
        <v>tbs</v>
      </c>
      <c r="D388" s="40" t="str">
        <f>_xlfn.CONCAT(K388, U388)</f>
        <v>cinnamon</v>
      </c>
      <c r="I388" s="62">
        <v>1</v>
      </c>
      <c r="J388" s="55" t="s">
        <v>15</v>
      </c>
      <c r="K388" s="55" t="s">
        <v>106</v>
      </c>
      <c r="L388" s="56" t="s">
        <v>15</v>
      </c>
      <c r="M388" s="47">
        <f t="shared" si="323"/>
        <v>1.0999999999999999E-2</v>
      </c>
      <c r="N388" s="47">
        <f t="shared" si="324"/>
        <v>2.2180100000000001E-2</v>
      </c>
      <c r="O388" s="47">
        <f t="shared" si="325"/>
        <v>7.3333489296148338E-3</v>
      </c>
      <c r="P388" s="47">
        <f t="shared" si="326"/>
        <v>1.478676478125E-2</v>
      </c>
      <c r="Q388" s="47">
        <f>MROUND(IF(AND(J388 = "", L388 = ""), I388 * recipe11DayScale, IF(ISNA(CONVERT(O388, "kg", L388)), CONVERT(P388 * recipe11DayScale, "l", L388), CONVERT(O388 * recipe11DayScale, "kg", L388))), roundTo)</f>
        <v>0.75</v>
      </c>
      <c r="R388" s="47">
        <f>recipe11TotScale * IF(L388 = "", Q388 * M388, IF(ISNA(CONVERT(Q388, L388, "kg")), CONVERT(Q388, L388, "l") * IF(N388 &lt;&gt; 0, M388 / N388, 0), CONVERT(Q388, L388, "kg")))</f>
        <v>5.5000116972111247E-3</v>
      </c>
      <c r="S388" s="47">
        <f>recipe11TotScale * IF(R388 = 0, IF(L388 = "", Q388 * N388, IF(ISNA(CONVERT(Q388, L388, "l")), CONVERT(Q388, L388, "kg") * IF(M388 &lt;&gt; 0, N388 / M388, 0), CONVERT(Q388, L388, "l"))), 0)</f>
        <v>0</v>
      </c>
      <c r="T388" s="47">
        <f>recipe11TotScale * IF(AND(R388 = 0, S388 = 0, J388 = "", L388 = ""), Q388, 0)</f>
        <v>0</v>
      </c>
      <c r="V388" s="44" t="b">
        <f>INDEX(itemPrepMethods, MATCH(K388, itemNames, 0))="chop"</f>
        <v>0</v>
      </c>
      <c r="W388" s="57" t="str">
        <f>IF(V388, Q388, "")</f>
        <v/>
      </c>
      <c r="X388" s="58" t="str">
        <f>IF(V388, IF(L388 = "", "", L388), "")</f>
        <v/>
      </c>
      <c r="Y388" s="58" t="str">
        <f>IF(V388, K388, "")</f>
        <v/>
      </c>
      <c r="Z388" s="59"/>
      <c r="AA388" s="44" t="b">
        <f>INDEX(itemPrepMethods, MATCH(K388, itemNames, 0))="soak"</f>
        <v>0</v>
      </c>
      <c r="AB388" s="58" t="str">
        <f>IF(AA388, Q388, "")</f>
        <v/>
      </c>
      <c r="AC388" s="58" t="str">
        <f>IF(AA388, IF(L388 = "", "", L388), "")</f>
        <v/>
      </c>
      <c r="AD388" s="58" t="str">
        <f>IF(AA388, K388, "")</f>
        <v/>
      </c>
    </row>
    <row r="389" spans="1:30" x14ac:dyDescent="0.25">
      <c r="A389" s="40" t="s">
        <v>21</v>
      </c>
      <c r="B389" s="52">
        <f t="shared" si="327"/>
        <v>4.5</v>
      </c>
      <c r="C389" s="39" t="str">
        <f t="shared" si="328"/>
        <v>tbs</v>
      </c>
      <c r="D389" s="40" t="str">
        <f>_xlfn.CONCAT(K389, U389)</f>
        <v>minced fresh ginger</v>
      </c>
      <c r="I389" s="62">
        <v>7</v>
      </c>
      <c r="J389" s="55" t="s">
        <v>15</v>
      </c>
      <c r="K389" s="55" t="s">
        <v>231</v>
      </c>
      <c r="L389" s="56" t="s">
        <v>15</v>
      </c>
      <c r="M389" s="47">
        <f t="shared" si="323"/>
        <v>0</v>
      </c>
      <c r="N389" s="47">
        <f t="shared" si="324"/>
        <v>0</v>
      </c>
      <c r="O389" s="47">
        <f t="shared" si="325"/>
        <v>0</v>
      </c>
      <c r="P389" s="47">
        <f t="shared" si="326"/>
        <v>0.10350735346874999</v>
      </c>
      <c r="Q389" s="47">
        <f>MROUND(IF(AND(J389 = "", L389 = ""), I389 * recipe11DayScale, IF(ISNA(CONVERT(O389, "kg", L389)), CONVERT(P389 * recipe11DayScale, "l", L389), CONVERT(O389 * recipe11DayScale, "kg", L389))), roundTo)</f>
        <v>4.5</v>
      </c>
      <c r="R389" s="47">
        <f>recipe11TotScale * IF(L389 = "", Q389 * M389, IF(ISNA(CONVERT(Q389, L389, "kg")), CONVERT(Q389, L389, "l") * IF(N389 &lt;&gt; 0, M389 / N389, 0), CONVERT(Q389, L389, "kg")))</f>
        <v>0</v>
      </c>
      <c r="S389" s="47">
        <f>recipe11TotScale * IF(R389 = 0, IF(L389 = "", Q389 * N389, IF(ISNA(CONVERT(Q389, L389, "l")), CONVERT(Q389, L389, "kg") * IF(M389 &lt;&gt; 0, N389 / M389, 0), CONVERT(Q389, L389, "l"))), 0)</f>
        <v>6.6540441515624993E-2</v>
      </c>
      <c r="T389" s="47">
        <f>recipe11TotScale * IF(AND(R389 = 0, S389 = 0, J389 = "", L389 = ""), Q389, 0)</f>
        <v>0</v>
      </c>
      <c r="V389" s="44" t="b">
        <f>INDEX(itemPrepMethods, MATCH(K389, itemNames, 0))="chop"</f>
        <v>1</v>
      </c>
      <c r="W389" s="57">
        <f>IF(V389, Q389, "")</f>
        <v>4.5</v>
      </c>
      <c r="X389" s="58" t="str">
        <f>IF(V389, IF(L389 = "", "", L389), "")</f>
        <v>tbs</v>
      </c>
      <c r="Y389" s="58" t="str">
        <f>IF(V389, K389, "")</f>
        <v>minced fresh ginger</v>
      </c>
      <c r="Z389" s="59"/>
      <c r="AA389" s="44" t="b">
        <f>INDEX(itemPrepMethods, MATCH(K389, itemNames, 0))="soak"</f>
        <v>0</v>
      </c>
      <c r="AB389" s="58" t="str">
        <f>IF(AA389, Q389, "")</f>
        <v/>
      </c>
      <c r="AC389" s="58" t="str">
        <f>IF(AA389, IF(L389 = "", "", L389), "")</f>
        <v/>
      </c>
      <c r="AD389" s="58" t="str">
        <f>IF(AA389, K389, "")</f>
        <v/>
      </c>
    </row>
    <row r="390" spans="1:30" x14ac:dyDescent="0.25">
      <c r="A390" s="107"/>
      <c r="B390" s="107"/>
      <c r="C390" s="107"/>
      <c r="D390" s="107"/>
      <c r="I390" s="44"/>
      <c r="L390" s="44"/>
      <c r="M390" s="44"/>
      <c r="N390" s="44"/>
      <c r="O390" s="44"/>
      <c r="P390" s="44"/>
      <c r="Q390" s="44"/>
      <c r="T390" s="44"/>
      <c r="W390" s="74"/>
      <c r="X390" s="75"/>
      <c r="Y390" s="75"/>
      <c r="Z390" s="76"/>
      <c r="AB390" s="74"/>
      <c r="AC390" s="74"/>
      <c r="AD390" s="74"/>
    </row>
    <row r="391" spans="1:30" x14ac:dyDescent="0.25">
      <c r="A391" s="107" t="s">
        <v>192</v>
      </c>
      <c r="B391" s="107"/>
      <c r="C391" s="107"/>
      <c r="D391" s="107"/>
      <c r="I391" s="44"/>
      <c r="L391" s="44"/>
      <c r="M391" s="44"/>
      <c r="N391" s="44"/>
      <c r="O391" s="44"/>
      <c r="P391" s="44"/>
      <c r="Q391" s="44"/>
      <c r="T391" s="44"/>
      <c r="W391" s="74"/>
      <c r="X391" s="75"/>
      <c r="Y391" s="75"/>
      <c r="Z391" s="76"/>
      <c r="AB391" s="74"/>
      <c r="AC391" s="74"/>
      <c r="AD391" s="74"/>
    </row>
    <row r="392" spans="1:30" x14ac:dyDescent="0.25">
      <c r="A392" s="40" t="s">
        <v>21</v>
      </c>
      <c r="B392" s="52">
        <f t="shared" ref="B392:B394" si="329">Q392</f>
        <v>1.25</v>
      </c>
      <c r="C392" s="39" t="str">
        <f t="shared" ref="C392:C394" si="330">IF(L392="","",L392)</f>
        <v>l</v>
      </c>
      <c r="D392" s="40" t="str">
        <f>_xlfn.CONCAT(K392, U392)</f>
        <v>water. This soup is thick so DON'T ADD TOO MUCH</v>
      </c>
      <c r="I392" s="62">
        <v>2</v>
      </c>
      <c r="J392" s="55" t="s">
        <v>57</v>
      </c>
      <c r="K392" s="55" t="s">
        <v>48</v>
      </c>
      <c r="L392" s="56" t="s">
        <v>57</v>
      </c>
      <c r="M392" s="47">
        <f>INDEX(itemGPerQty, MATCH(K392, itemNames, 0))</f>
        <v>1</v>
      </c>
      <c r="N392" s="47">
        <f>INDEX(itemMlPerQty, MATCH(K392, itemNames, 0))</f>
        <v>1</v>
      </c>
      <c r="O392" s="47">
        <f t="shared" ref="O392:O395" si="331">IF(J392 = "", I392 * M392, IF(ISNA(CONVERT(I392, J392, "kg")), CONVERT(I392, J392, "l") * IF(N392 &lt;&gt; 0, M392 / N392, 0), CONVERT(I392, J392, "kg")))</f>
        <v>2</v>
      </c>
      <c r="P392" s="47">
        <f t="shared" ref="P392:P395" si="332">IF(J392 = "", I392 * N392, IF(ISNA(CONVERT(I392, J392, "l")), CONVERT(I392, J392, "kg") * IF(M392 &lt;&gt; 0, N392 / M392, 0), CONVERT(I392, J392, "l")))</f>
        <v>2</v>
      </c>
      <c r="Q392" s="47">
        <f>MROUND(IF(AND(J392 = "", L392 = ""), I392 * recipe11DayScale, IF(ISNA(CONVERT(O392, "kg", L392)), CONVERT(P392 * recipe11DayScale, "l", L392), CONVERT(O392 * recipe11DayScale, "kg", L392))), roundTo)</f>
        <v>1.25</v>
      </c>
      <c r="R392" s="47">
        <f>recipe11TotScale * IF(L392 = "", Q392 * M392, IF(ISNA(CONVERT(Q392, L392, "kg")), CONVERT(Q392, L392, "l") * IF(N392 &lt;&gt; 0, M392 / N392, 0), CONVERT(Q392, L392, "kg")))</f>
        <v>1.25</v>
      </c>
      <c r="S392" s="47">
        <f>recipe11TotScale * IF(R392 = 0, IF(L392 = "", Q392 * N392, IF(ISNA(CONVERT(Q392, L392, "l")), CONVERT(Q392, L392, "kg") * IF(M392 &lt;&gt; 0, N392 / M392, 0), CONVERT(Q392, L392, "l"))), 0)</f>
        <v>0</v>
      </c>
      <c r="T392" s="47">
        <f>recipe11TotScale * IF(AND(R392 = 0, S392 = 0, J392 = "", L392 = ""), Q392, 0)</f>
        <v>0</v>
      </c>
      <c r="U392" s="44" t="s">
        <v>301</v>
      </c>
      <c r="V392" s="44" t="b">
        <f>INDEX(itemPrepMethods, MATCH(K392, itemNames, 0))="chop"</f>
        <v>0</v>
      </c>
      <c r="W392" s="57" t="str">
        <f>IF(V392, Q392, "")</f>
        <v/>
      </c>
      <c r="X392" s="58" t="str">
        <f>IF(V392, IF(L392 = "", "", L392), "")</f>
        <v/>
      </c>
      <c r="Y392" s="58" t="str">
        <f>IF(V392, K392, "")</f>
        <v/>
      </c>
      <c r="Z392" s="59"/>
      <c r="AA392" s="44" t="b">
        <f>INDEX(itemPrepMethods, MATCH(K392, itemNames, 0))="soak"</f>
        <v>0</v>
      </c>
      <c r="AB392" s="58" t="str">
        <f>IF(AA392, Q392, "")</f>
        <v/>
      </c>
      <c r="AC392" s="58" t="str">
        <f>IF(AA392, IF(L392 = "", "", L392), "")</f>
        <v/>
      </c>
      <c r="AD392" s="58" t="str">
        <f>IF(AA392, K392, "")</f>
        <v/>
      </c>
    </row>
    <row r="393" spans="1:30" x14ac:dyDescent="0.25">
      <c r="A393" s="40" t="s">
        <v>21</v>
      </c>
      <c r="B393" s="52">
        <f t="shared" si="329"/>
        <v>5</v>
      </c>
      <c r="C393" s="39" t="str">
        <f t="shared" si="330"/>
        <v/>
      </c>
      <c r="D393" s="40" t="str">
        <f>_xlfn.CONCAT(K393, U393)</f>
        <v>chopped potatoes</v>
      </c>
      <c r="I393" s="62">
        <v>8</v>
      </c>
      <c r="J393" s="55"/>
      <c r="K393" s="55" t="s">
        <v>4</v>
      </c>
      <c r="L393" s="56"/>
      <c r="M393" s="47">
        <f>INDEX(itemGPerQty, MATCH(K393, itemNames, 0))</f>
        <v>0.22500000000000001</v>
      </c>
      <c r="N393" s="47">
        <f>INDEX(itemMlPerQty, MATCH(K393, itemNames, 0))</f>
        <v>0.33750000000000002</v>
      </c>
      <c r="O393" s="47">
        <f t="shared" si="331"/>
        <v>1.8</v>
      </c>
      <c r="P393" s="47">
        <f t="shared" si="332"/>
        <v>2.7</v>
      </c>
      <c r="Q393" s="47">
        <f>MROUND(IF(AND(J393 = "", L393 = ""), I393 * recipe11DayScale, IF(ISNA(CONVERT(O393, "kg", L393)), CONVERT(P393 * recipe11DayScale, "l", L393), CONVERT(O393 * recipe11DayScale, "kg", L393))), roundTo)</f>
        <v>5</v>
      </c>
      <c r="R393" s="47">
        <f>recipe11TotScale * IF(L393 = "", Q393 * M393, IF(ISNA(CONVERT(Q393, L393, "kg")), CONVERT(Q393, L393, "l") * IF(N393 &lt;&gt; 0, M393 / N393, 0), CONVERT(Q393, L393, "kg")))</f>
        <v>1.125</v>
      </c>
      <c r="S393" s="47">
        <f>recipe11TotScale * IF(R393 = 0, IF(L393 = "", Q393 * N393, IF(ISNA(CONVERT(Q393, L393, "l")), CONVERT(Q393, L393, "kg") * IF(M393 &lt;&gt; 0, N393 / M393, 0), CONVERT(Q393, L393, "l"))), 0)</f>
        <v>0</v>
      </c>
      <c r="T393" s="47">
        <f>recipe11TotScale * IF(AND(R393 = 0, S393 = 0, J393 = "", L393 = ""), Q393, 0)</f>
        <v>0</v>
      </c>
      <c r="V393" s="44" t="b">
        <f>INDEX(itemPrepMethods, MATCH(K393, itemNames, 0))="chop"</f>
        <v>1</v>
      </c>
      <c r="W393" s="57">
        <f>IF(V393, Q393, "")</f>
        <v>5</v>
      </c>
      <c r="X393" s="58" t="str">
        <f>IF(V393, IF(L393 = "", "", L393), "")</f>
        <v/>
      </c>
      <c r="Y393" s="58" t="str">
        <f>IF(V393, K393, "")</f>
        <v>chopped potatoes</v>
      </c>
      <c r="Z393" s="59"/>
      <c r="AA393" s="44" t="b">
        <f>INDEX(itemPrepMethods, MATCH(K393, itemNames, 0))="soak"</f>
        <v>0</v>
      </c>
      <c r="AB393" s="58" t="str">
        <f>IF(AA393, Q393, "")</f>
        <v/>
      </c>
      <c r="AC393" s="58" t="str">
        <f>IF(AA393, IF(L393 = "", "", L393), "")</f>
        <v/>
      </c>
      <c r="AD393" s="58" t="str">
        <f>IF(AA393, K393, "")</f>
        <v/>
      </c>
    </row>
    <row r="394" spans="1:30" x14ac:dyDescent="0.25">
      <c r="A394" s="40" t="s">
        <v>21</v>
      </c>
      <c r="B394" s="52">
        <f t="shared" si="329"/>
        <v>7</v>
      </c>
      <c r="C394" s="39" t="str">
        <f t="shared" si="330"/>
        <v/>
      </c>
      <c r="D394" s="40" t="str">
        <f>_xlfn.CONCAT(K394, U394)</f>
        <v>chopped celery stalks</v>
      </c>
      <c r="I394" s="62">
        <v>11</v>
      </c>
      <c r="J394" s="55"/>
      <c r="K394" s="55" t="s">
        <v>155</v>
      </c>
      <c r="L394" s="56"/>
      <c r="M394" s="47">
        <f>INDEX(itemGPerQty, MATCH(K394, itemNames, 0))</f>
        <v>0</v>
      </c>
      <c r="N394" s="47">
        <f>INDEX(itemMlPerQty, MATCH(K394, itemNames, 0))</f>
        <v>0</v>
      </c>
      <c r="O394" s="47">
        <f t="shared" si="331"/>
        <v>0</v>
      </c>
      <c r="P394" s="47">
        <f t="shared" si="332"/>
        <v>0</v>
      </c>
      <c r="Q394" s="47">
        <f>MROUND(IF(AND(J394 = "", L394 = ""), I394 * recipe11DayScale, IF(ISNA(CONVERT(O394, "kg", L394)), CONVERT(P394 * recipe11DayScale, "l", L394), CONVERT(O394 * recipe11DayScale, "kg", L394))), roundTo)</f>
        <v>7</v>
      </c>
      <c r="R394" s="47">
        <f>recipe11TotScale * IF(L394 = "", Q394 * M394, IF(ISNA(CONVERT(Q394, L394, "kg")), CONVERT(Q394, L394, "l") * IF(N394 &lt;&gt; 0, M394 / N394, 0), CONVERT(Q394, L394, "kg")))</f>
        <v>0</v>
      </c>
      <c r="S394" s="47">
        <f>recipe11TotScale * IF(R394 = 0, IF(L394 = "", Q394 * N394, IF(ISNA(CONVERT(Q394, L394, "l")), CONVERT(Q394, L394, "kg") * IF(M394 &lt;&gt; 0, N394 / M394, 0), CONVERT(Q394, L394, "l"))), 0)</f>
        <v>0</v>
      </c>
      <c r="T394" s="47">
        <f>recipe11TotScale * IF(AND(R394 = 0, S394 = 0, J394 = "", L394 = ""), Q394, 0)</f>
        <v>7</v>
      </c>
      <c r="V394" s="44" t="b">
        <f>INDEX(itemPrepMethods, MATCH(K394, itemNames, 0))="chop"</f>
        <v>1</v>
      </c>
      <c r="W394" s="57">
        <f>IF(V394, Q394, "")</f>
        <v>7</v>
      </c>
      <c r="X394" s="58" t="str">
        <f>IF(V394, IF(L394 = "", "", L394), "")</f>
        <v/>
      </c>
      <c r="Y394" s="58" t="str">
        <f>IF(V394, K394, "")</f>
        <v>chopped celery stalks</v>
      </c>
      <c r="Z394" s="59"/>
      <c r="AA394" s="44" t="b">
        <f>INDEX(itemPrepMethods, MATCH(K394, itemNames, 0))="soak"</f>
        <v>0</v>
      </c>
      <c r="AB394" s="58" t="str">
        <f>IF(AA394, Q394, "")</f>
        <v/>
      </c>
      <c r="AC394" s="58" t="str">
        <f>IF(AA394, IF(L394 = "", "", L394), "")</f>
        <v/>
      </c>
      <c r="AD394" s="58" t="str">
        <f>IF(AA394, K394, "")</f>
        <v/>
      </c>
    </row>
    <row r="395" spans="1:30" x14ac:dyDescent="0.25">
      <c r="A395" s="40" t="s">
        <v>21</v>
      </c>
      <c r="B395" s="52">
        <f t="shared" ref="B395" si="333">Q395</f>
        <v>7</v>
      </c>
      <c r="C395" s="39" t="str">
        <f t="shared" ref="C395" si="334">IF(L395="","",L395)</f>
        <v/>
      </c>
      <c r="D395" s="40" t="str">
        <f>_xlfn.CONCAT(K395, U395)</f>
        <v>chopped silverbeet leaves</v>
      </c>
      <c r="I395" s="62">
        <v>11</v>
      </c>
      <c r="J395" s="55"/>
      <c r="K395" s="55" t="s">
        <v>191</v>
      </c>
      <c r="L395" s="56"/>
      <c r="M395" s="47">
        <f>INDEX(itemGPerQty, MATCH(K395, itemNames, 0))</f>
        <v>0</v>
      </c>
      <c r="N395" s="47">
        <f>INDEX(itemMlPerQty, MATCH(K395, itemNames, 0))</f>
        <v>0</v>
      </c>
      <c r="O395" s="47">
        <f t="shared" si="331"/>
        <v>0</v>
      </c>
      <c r="P395" s="47">
        <f t="shared" si="332"/>
        <v>0</v>
      </c>
      <c r="Q395" s="47">
        <f>MROUND(IF(AND(J395 = "", L395 = ""), I395 * recipe11DayScale, IF(ISNA(CONVERT(O395, "kg", L395)), CONVERT(P395 * recipe11DayScale, "l", L395), CONVERT(O395 * recipe11DayScale, "kg", L395))), roundTo)</f>
        <v>7</v>
      </c>
      <c r="R395" s="47">
        <f>recipe11TotScale * IF(L395 = "", Q395 * M395, IF(ISNA(CONVERT(Q395, L395, "kg")), CONVERT(Q395, L395, "l") * IF(N395 &lt;&gt; 0, M395 / N395, 0), CONVERT(Q395, L395, "kg")))</f>
        <v>0</v>
      </c>
      <c r="S395" s="47">
        <f>recipe11TotScale * IF(R395 = 0, IF(L395 = "", Q395 * N395, IF(ISNA(CONVERT(Q395, L395, "l")), CONVERT(Q395, L395, "kg") * IF(M395 &lt;&gt; 0, N395 / M395, 0), CONVERT(Q395, L395, "l"))), 0)</f>
        <v>0</v>
      </c>
      <c r="T395" s="47">
        <f>recipe11TotScale * IF(AND(R395 = 0, S395 = 0, J395 = "", L395 = ""), Q395, 0)</f>
        <v>7</v>
      </c>
      <c r="V395" s="44" t="b">
        <f>INDEX(itemPrepMethods, MATCH(K395, itemNames, 0))="chop"</f>
        <v>1</v>
      </c>
      <c r="W395" s="57">
        <f>IF(V395, Q395, "")</f>
        <v>7</v>
      </c>
      <c r="X395" s="58" t="str">
        <f>IF(V395, IF(L395 = "", "", L395), "")</f>
        <v/>
      </c>
      <c r="Y395" s="58" t="str">
        <f>IF(V395, K395, "")</f>
        <v>chopped silverbeet leaves</v>
      </c>
      <c r="Z395" s="59"/>
      <c r="AA395" s="44" t="b">
        <f>INDEX(itemPrepMethods, MATCH(K395, itemNames, 0))="soak"</f>
        <v>0</v>
      </c>
      <c r="AB395" s="58" t="str">
        <f>IF(AA395, Q395, "")</f>
        <v/>
      </c>
      <c r="AC395" s="58" t="str">
        <f>IF(AA395, IF(L395 = "", "", L395), "")</f>
        <v/>
      </c>
      <c r="AD395" s="58" t="str">
        <f>IF(AA395, K395, "")</f>
        <v/>
      </c>
    </row>
    <row r="396" spans="1:30" x14ac:dyDescent="0.25">
      <c r="A396" s="107"/>
      <c r="B396" s="107"/>
      <c r="C396" s="107"/>
      <c r="D396" s="107"/>
      <c r="I396" s="47"/>
      <c r="L396" s="44"/>
      <c r="M396" s="44"/>
      <c r="N396" s="44"/>
      <c r="W396" s="74"/>
      <c r="X396" s="75"/>
      <c r="Y396" s="75"/>
      <c r="Z396" s="76"/>
      <c r="AB396" s="74"/>
      <c r="AC396" s="74"/>
      <c r="AD396" s="74"/>
    </row>
    <row r="397" spans="1:30" x14ac:dyDescent="0.25">
      <c r="A397" s="107" t="s">
        <v>161</v>
      </c>
      <c r="B397" s="107"/>
      <c r="C397" s="107"/>
      <c r="D397" s="107"/>
      <c r="I397" s="47"/>
      <c r="L397" s="44"/>
      <c r="M397" s="44"/>
      <c r="N397" s="44"/>
      <c r="W397" s="74"/>
      <c r="X397" s="75"/>
      <c r="Y397" s="75"/>
      <c r="Z397" s="76"/>
      <c r="AB397" s="74"/>
      <c r="AC397" s="74"/>
      <c r="AD397" s="74"/>
    </row>
    <row r="398" spans="1:30" x14ac:dyDescent="0.25">
      <c r="A398" s="40" t="s">
        <v>21</v>
      </c>
      <c r="B398" s="52">
        <f t="shared" ref="B398" si="335">Q398</f>
        <v>1.25</v>
      </c>
      <c r="C398" s="39" t="str">
        <f t="shared" ref="C398:C399" si="336">IF(L398="","",L398)</f>
        <v/>
      </c>
      <c r="D398" s="40" t="str">
        <f>_xlfn.CONCAT(K398, U398)</f>
        <v>tins coconut cream</v>
      </c>
      <c r="I398" s="62">
        <v>2</v>
      </c>
      <c r="J398" s="55"/>
      <c r="K398" s="55" t="s">
        <v>111</v>
      </c>
      <c r="L398" s="56"/>
      <c r="M398" s="47">
        <f>INDEX(itemGPerQty, MATCH(K398, itemNames, 0))</f>
        <v>0</v>
      </c>
      <c r="N398" s="47">
        <f>INDEX(itemMlPerQty, MATCH(K398, itemNames, 0))</f>
        <v>0</v>
      </c>
      <c r="O398" s="47">
        <f>IF(J398 = "", I398 * M398, IF(ISNA(CONVERT(I398, J398, "kg")), CONVERT(I398, J398, "l") * IF(N398 &lt;&gt; 0, M398 / N398, 0), CONVERT(I398, J398, "kg")))</f>
        <v>0</v>
      </c>
      <c r="P398" s="47">
        <f>IF(J398 = "", I398 * N398, IF(ISNA(CONVERT(I398, J398, "l")), CONVERT(I398, J398, "kg") * IF(M398 &lt;&gt; 0, N398 / M398, 0), CONVERT(I398, J398, "l")))</f>
        <v>0</v>
      </c>
      <c r="Q398" s="47">
        <f>MROUND(IF(AND(J398 = "", L398 = ""), I398 * recipe11DayScale, IF(ISNA(CONVERT(O398, "kg", L398)), CONVERT(P398 * recipe11DayScale, "l", L398), CONVERT(O398 * recipe11DayScale, "kg", L398))), roundTo)</f>
        <v>1.25</v>
      </c>
      <c r="R398" s="47">
        <f>recipe11TotScale * IF(L398 = "", Q398 * M398, IF(ISNA(CONVERT(Q398, L398, "kg")), CONVERT(Q398, L398, "l") * IF(N398 &lt;&gt; 0, M398 / N398, 0), CONVERT(Q398, L398, "kg")))</f>
        <v>0</v>
      </c>
      <c r="S398" s="47">
        <f>recipe11TotScale * IF(R398 = 0, IF(L398 = "", Q398 * N398, IF(ISNA(CONVERT(Q398, L398, "l")), CONVERT(Q398, L398, "kg") * IF(M398 &lt;&gt; 0, N398 / M398, 0), CONVERT(Q398, L398, "l"))), 0)</f>
        <v>0</v>
      </c>
      <c r="T398" s="47">
        <f>recipe11TotScale * IF(AND(R398 = 0, S398 = 0, J398 = "", L398 = ""), Q398, 0)</f>
        <v>1.25</v>
      </c>
      <c r="V398" s="44" t="b">
        <f>INDEX(itemPrepMethods, MATCH(K398, itemNames, 0))="chop"</f>
        <v>0</v>
      </c>
      <c r="W398" s="57" t="str">
        <f>IF(V398, Q398, "")</f>
        <v/>
      </c>
      <c r="X398" s="58" t="str">
        <f>IF(V398, IF(L398 = "", "", L398), "")</f>
        <v/>
      </c>
      <c r="Y398" s="58" t="str">
        <f>IF(V398, K398, "")</f>
        <v/>
      </c>
      <c r="Z398" s="59"/>
      <c r="AA398" s="44" t="b">
        <f>INDEX(itemPrepMethods, MATCH(K398, itemNames, 0))="soak"</f>
        <v>0</v>
      </c>
      <c r="AB398" s="58" t="str">
        <f>IF(AA398, Q398, "")</f>
        <v/>
      </c>
      <c r="AC398" s="58" t="str">
        <f>IF(AA398, IF(L398 = "", "", L398), "")</f>
        <v/>
      </c>
      <c r="AD398" s="58" t="str">
        <f>IF(AA398, K398, "")</f>
        <v/>
      </c>
    </row>
    <row r="399" spans="1:30" x14ac:dyDescent="0.25">
      <c r="A399" s="40" t="s">
        <v>21</v>
      </c>
      <c r="B399" s="52"/>
      <c r="C399" s="39" t="str">
        <f t="shared" si="336"/>
        <v/>
      </c>
      <c r="D399" s="40" t="str">
        <f>_xlfn.CONCAT(K399, U399)</f>
        <v>cooked split peas from step 1</v>
      </c>
      <c r="I399" s="47"/>
      <c r="L399" s="44"/>
      <c r="M399" s="44"/>
      <c r="N399" s="44"/>
      <c r="O399" s="44"/>
      <c r="P399" s="44"/>
      <c r="Q399" s="44"/>
      <c r="T399" s="44"/>
      <c r="U399" s="44" t="s">
        <v>241</v>
      </c>
      <c r="W399" s="57"/>
      <c r="X399" s="58"/>
      <c r="Y399" s="58"/>
      <c r="Z399" s="59"/>
      <c r="AB399" s="58"/>
      <c r="AC399" s="58"/>
      <c r="AD399" s="58"/>
    </row>
    <row r="400" spans="1:30" x14ac:dyDescent="0.25">
      <c r="A400" s="40" t="s">
        <v>21</v>
      </c>
      <c r="B400" s="52"/>
      <c r="C400" s="39" t="str">
        <f>IF(L400="","",L400)</f>
        <v/>
      </c>
      <c r="D400" s="40" t="str">
        <f>_xlfn.CONCAT(K400, U400)</f>
        <v>water, if required</v>
      </c>
      <c r="I400" s="47"/>
      <c r="K400" s="55" t="s">
        <v>48</v>
      </c>
      <c r="L400" s="44"/>
      <c r="M400" s="44"/>
      <c r="N400" s="44"/>
      <c r="O400" s="44"/>
      <c r="P400" s="44"/>
      <c r="U400" s="44" t="s">
        <v>217</v>
      </c>
      <c r="V400" s="44" t="b">
        <f>INDEX(itemPrepMethods, MATCH(K400, itemNames, 0))="chop"</f>
        <v>0</v>
      </c>
      <c r="W400" s="57" t="str">
        <f>IF(V400, Q400, "")</f>
        <v/>
      </c>
      <c r="X400" s="58" t="str">
        <f>IF(V400, IF(L400 = "", "", L400), "")</f>
        <v/>
      </c>
      <c r="Y400" s="58" t="str">
        <f>IF(V400, K400, "")</f>
        <v/>
      </c>
      <c r="Z400" s="59"/>
      <c r="AA400" s="44" t="b">
        <f>INDEX(itemPrepMethods, MATCH(K400, itemNames, 0))="soak"</f>
        <v>0</v>
      </c>
      <c r="AB400" s="58" t="str">
        <f>IF(AA400, Q400, "")</f>
        <v/>
      </c>
      <c r="AC400" s="58" t="str">
        <f>IF(AA400, IF(L400 = "", "", L400), "")</f>
        <v/>
      </c>
      <c r="AD400" s="58" t="str">
        <f>IF(AA400, K400, "")</f>
        <v/>
      </c>
    </row>
    <row r="401" spans="1:30" x14ac:dyDescent="0.25">
      <c r="A401" s="40" t="s">
        <v>21</v>
      </c>
      <c r="D401" s="40" t="str">
        <f>_xlfn.CONCAT(K401, U401)</f>
        <v>salt, to taste</v>
      </c>
      <c r="I401" s="47"/>
      <c r="K401" s="55" t="s">
        <v>11</v>
      </c>
      <c r="U401" s="46" t="s">
        <v>216</v>
      </c>
      <c r="V401" s="44" t="b">
        <f>INDEX(itemPrepMethods, MATCH(K401, itemNames, 0))="chop"</f>
        <v>0</v>
      </c>
      <c r="W401" s="57" t="str">
        <f>IF(V401, Q401, "")</f>
        <v/>
      </c>
      <c r="X401" s="58" t="str">
        <f>IF(V401, IF(L401 = "", "", L401), "")</f>
        <v/>
      </c>
      <c r="Y401" s="58" t="str">
        <f>IF(V401, K401, "")</f>
        <v/>
      </c>
      <c r="Z401" s="59"/>
      <c r="AA401" s="44" t="b">
        <f>INDEX(itemPrepMethods, MATCH(K401, itemNames, 0))="soak"</f>
        <v>0</v>
      </c>
      <c r="AB401" s="58" t="str">
        <f>IF(AA401, Q401, "")</f>
        <v/>
      </c>
      <c r="AC401" s="58" t="str">
        <f>IF(AA401, IF(L401 = "", "", L401), "")</f>
        <v/>
      </c>
      <c r="AD401" s="58" t="str">
        <f>IF(AA401, K401, "")</f>
        <v/>
      </c>
    </row>
    <row r="402" spans="1:30" x14ac:dyDescent="0.25">
      <c r="A402" s="107"/>
      <c r="B402" s="107"/>
      <c r="C402" s="107"/>
      <c r="D402" s="107"/>
      <c r="I402" s="44"/>
      <c r="L402" s="44"/>
    </row>
    <row r="403" spans="1:30" x14ac:dyDescent="0.25">
      <c r="A403" s="107" t="s">
        <v>303</v>
      </c>
      <c r="B403" s="107"/>
      <c r="C403" s="107"/>
      <c r="D403" s="107"/>
      <c r="I403" s="44"/>
      <c r="L403" s="44"/>
    </row>
    <row r="404" spans="1:30" ht="15.75" x14ac:dyDescent="0.25">
      <c r="A404" s="109" t="s">
        <v>37</v>
      </c>
      <c r="B404" s="109"/>
      <c r="C404" s="109"/>
      <c r="D404" s="109"/>
    </row>
    <row r="405" spans="1:30" ht="15.75" x14ac:dyDescent="0.25">
      <c r="A405" s="112" t="s">
        <v>44</v>
      </c>
      <c r="B405" s="112"/>
      <c r="C405" s="112"/>
      <c r="D405" s="112"/>
    </row>
    <row r="410" spans="1:30" ht="15.75" x14ac:dyDescent="0.25">
      <c r="A410" s="109" t="s">
        <v>152</v>
      </c>
      <c r="B410" s="109"/>
      <c r="C410" s="109"/>
      <c r="D410" s="109"/>
    </row>
    <row r="412" spans="1:30" x14ac:dyDescent="0.25">
      <c r="C412" s="93" t="s">
        <v>416</v>
      </c>
      <c r="D412" s="40" t="s">
        <v>415</v>
      </c>
    </row>
    <row r="413" spans="1:30" x14ac:dyDescent="0.25">
      <c r="C413" s="93" t="s">
        <v>418</v>
      </c>
      <c r="D413" s="40" t="s">
        <v>417</v>
      </c>
    </row>
    <row r="414" spans="1:30" x14ac:dyDescent="0.25">
      <c r="C414" s="93" t="s">
        <v>419</v>
      </c>
      <c r="D414" s="40" t="s">
        <v>420</v>
      </c>
    </row>
    <row r="415" spans="1:30" x14ac:dyDescent="0.25">
      <c r="C415" s="93" t="s">
        <v>422</v>
      </c>
      <c r="D415" s="40" t="s">
        <v>421</v>
      </c>
    </row>
  </sheetData>
  <mergeCells count="205">
    <mergeCell ref="A1:D1"/>
    <mergeCell ref="A2:D2"/>
    <mergeCell ref="A3:D3"/>
    <mergeCell ref="A4:D4"/>
    <mergeCell ref="A11:D11"/>
    <mergeCell ref="A12:D12"/>
    <mergeCell ref="A307:D307"/>
    <mergeCell ref="A308:D308"/>
    <mergeCell ref="A13:D13"/>
    <mergeCell ref="A14:D14"/>
    <mergeCell ref="A15:D15"/>
    <mergeCell ref="A16:D16"/>
    <mergeCell ref="A28:D28"/>
    <mergeCell ref="A29:D29"/>
    <mergeCell ref="A268:D268"/>
    <mergeCell ref="A217:D217"/>
    <mergeCell ref="A219:D219"/>
    <mergeCell ref="A223:D223"/>
    <mergeCell ref="A254:D254"/>
    <mergeCell ref="A259:D259"/>
    <mergeCell ref="A260:D260"/>
    <mergeCell ref="A262:D262"/>
    <mergeCell ref="A199:D199"/>
    <mergeCell ref="A203:D203"/>
    <mergeCell ref="A204:D204"/>
    <mergeCell ref="A205:D205"/>
    <mergeCell ref="A206:D206"/>
    <mergeCell ref="A207:D207"/>
    <mergeCell ref="A103:D103"/>
    <mergeCell ref="A105:D105"/>
    <mergeCell ref="A106:D106"/>
    <mergeCell ref="A110:D110"/>
    <mergeCell ref="A111:D111"/>
    <mergeCell ref="A114:D114"/>
    <mergeCell ref="A115:D115"/>
    <mergeCell ref="A98:D98"/>
    <mergeCell ref="A100:D100"/>
    <mergeCell ref="A160:D160"/>
    <mergeCell ref="A161:D161"/>
    <mergeCell ref="A376:D376"/>
    <mergeCell ref="A188:D188"/>
    <mergeCell ref="A189:D189"/>
    <mergeCell ref="A208:D208"/>
    <mergeCell ref="A212:D212"/>
    <mergeCell ref="A213:D213"/>
    <mergeCell ref="A70:D70"/>
    <mergeCell ref="A154:D154"/>
    <mergeCell ref="A195:D195"/>
    <mergeCell ref="A198:D198"/>
    <mergeCell ref="A132:D132"/>
    <mergeCell ref="A133:D133"/>
    <mergeCell ref="A135:D135"/>
    <mergeCell ref="A139:D139"/>
    <mergeCell ref="A140:D140"/>
    <mergeCell ref="A144:D144"/>
    <mergeCell ref="A145:D145"/>
    <mergeCell ref="A309:D309"/>
    <mergeCell ref="A263:D263"/>
    <mergeCell ref="A264:D264"/>
    <mergeCell ref="A265:D265"/>
    <mergeCell ref="A270:D270"/>
    <mergeCell ref="A336:D336"/>
    <mergeCell ref="A342:D342"/>
    <mergeCell ref="A174:D174"/>
    <mergeCell ref="A175:D175"/>
    <mergeCell ref="A181:D181"/>
    <mergeCell ref="A182:D182"/>
    <mergeCell ref="A186:D186"/>
    <mergeCell ref="A314:D314"/>
    <mergeCell ref="A315:D315"/>
    <mergeCell ref="A271:D271"/>
    <mergeCell ref="A273:D273"/>
    <mergeCell ref="A274:D274"/>
    <mergeCell ref="A278:D278"/>
    <mergeCell ref="A279:D279"/>
    <mergeCell ref="A280:D280"/>
    <mergeCell ref="A282:D282"/>
    <mergeCell ref="A281:D281"/>
    <mergeCell ref="A285:D285"/>
    <mergeCell ref="A286:D286"/>
    <mergeCell ref="A290:D290"/>
    <mergeCell ref="A291:D291"/>
    <mergeCell ref="A299:D299"/>
    <mergeCell ref="A300:D300"/>
    <mergeCell ref="A306:D306"/>
    <mergeCell ref="A344:D344"/>
    <mergeCell ref="A345:D345"/>
    <mergeCell ref="A193:D193"/>
    <mergeCell ref="A232:D232"/>
    <mergeCell ref="A235:D235"/>
    <mergeCell ref="A236:D236"/>
    <mergeCell ref="A238:D238"/>
    <mergeCell ref="A239:D239"/>
    <mergeCell ref="A243:D243"/>
    <mergeCell ref="A244:D244"/>
    <mergeCell ref="A137:D137"/>
    <mergeCell ref="A138:D138"/>
    <mergeCell ref="A157:D157"/>
    <mergeCell ref="A162:D162"/>
    <mergeCell ref="A313:D313"/>
    <mergeCell ref="A318:D318"/>
    <mergeCell ref="A328:D328"/>
    <mergeCell ref="A327:D327"/>
    <mergeCell ref="A333:D333"/>
    <mergeCell ref="A396:D396"/>
    <mergeCell ref="A397:D397"/>
    <mergeCell ref="A402:D402"/>
    <mergeCell ref="A403:D403"/>
    <mergeCell ref="A410:D410"/>
    <mergeCell ref="A163:D163"/>
    <mergeCell ref="A167:D167"/>
    <mergeCell ref="A168:D168"/>
    <mergeCell ref="A405:D405"/>
    <mergeCell ref="A343:D343"/>
    <mergeCell ref="A312:D312"/>
    <mergeCell ref="A317:D317"/>
    <mergeCell ref="A293:D293"/>
    <mergeCell ref="A294:D294"/>
    <mergeCell ref="A296:D296"/>
    <mergeCell ref="A295:D295"/>
    <mergeCell ref="A297:D297"/>
    <mergeCell ref="A298:D298"/>
    <mergeCell ref="A346:D346"/>
    <mergeCell ref="A353:D353"/>
    <mergeCell ref="A63:D63"/>
    <mergeCell ref="A58:D58"/>
    <mergeCell ref="A62:D62"/>
    <mergeCell ref="A55:D55"/>
    <mergeCell ref="A59:D59"/>
    <mergeCell ref="A74:D74"/>
    <mergeCell ref="A75:D75"/>
    <mergeCell ref="A404:D404"/>
    <mergeCell ref="A377:D377"/>
    <mergeCell ref="A277:D277"/>
    <mergeCell ref="A101:D101"/>
    <mergeCell ref="A310:D310"/>
    <mergeCell ref="A311:D311"/>
    <mergeCell ref="A194:D194"/>
    <mergeCell ref="A225:D225"/>
    <mergeCell ref="A226:D226"/>
    <mergeCell ref="A228:D228"/>
    <mergeCell ref="A231:D231"/>
    <mergeCell ref="A251:D251"/>
    <mergeCell ref="A252:D252"/>
    <mergeCell ref="A367:D367"/>
    <mergeCell ref="A368:D368"/>
    <mergeCell ref="A374:D374"/>
    <mergeCell ref="A375:D375"/>
    <mergeCell ref="A52:D52"/>
    <mergeCell ref="A53:D53"/>
    <mergeCell ref="A54:D54"/>
    <mergeCell ref="A76:D76"/>
    <mergeCell ref="A30:D30"/>
    <mergeCell ref="A187:D187"/>
    <mergeCell ref="A384:D384"/>
    <mergeCell ref="A347:D347"/>
    <mergeCell ref="A378:D378"/>
    <mergeCell ref="A379:D379"/>
    <mergeCell ref="A92:D92"/>
    <mergeCell ref="A93:D93"/>
    <mergeCell ref="A94:D94"/>
    <mergeCell ref="A95:D95"/>
    <mergeCell ref="A97:D97"/>
    <mergeCell ref="A196:D196"/>
    <mergeCell ref="A126:D126"/>
    <mergeCell ref="A358:D358"/>
    <mergeCell ref="A361:D361"/>
    <mergeCell ref="A362:D362"/>
    <mergeCell ref="A227:D227"/>
    <mergeCell ref="A253:D253"/>
    <mergeCell ref="A390:D390"/>
    <mergeCell ref="A391:D391"/>
    <mergeCell ref="A380:D380"/>
    <mergeCell ref="A381:D381"/>
    <mergeCell ref="A77:D77"/>
    <mergeCell ref="A79:D79"/>
    <mergeCell ref="A80:D80"/>
    <mergeCell ref="A84:D84"/>
    <mergeCell ref="A85:D85"/>
    <mergeCell ref="A102:D102"/>
    <mergeCell ref="A120:D120"/>
    <mergeCell ref="A121:D121"/>
    <mergeCell ref="A125:D125"/>
    <mergeCell ref="A128:D128"/>
    <mergeCell ref="A129:D129"/>
    <mergeCell ref="A155:D155"/>
    <mergeCell ref="A156:D156"/>
    <mergeCell ref="A151:D151"/>
    <mergeCell ref="A152:D152"/>
    <mergeCell ref="A357:D357"/>
    <mergeCell ref="A354:D354"/>
    <mergeCell ref="A383:D383"/>
    <mergeCell ref="A334:D334"/>
    <mergeCell ref="A335:D335"/>
    <mergeCell ref="A44:D44"/>
    <mergeCell ref="A45:D45"/>
    <mergeCell ref="A47:D47"/>
    <mergeCell ref="A48:D48"/>
    <mergeCell ref="A25:D25"/>
    <mergeCell ref="A26:D26"/>
    <mergeCell ref="A31:D31"/>
    <mergeCell ref="A32:D32"/>
    <mergeCell ref="A33:D33"/>
    <mergeCell ref="A38:D38"/>
    <mergeCell ref="A39:D39"/>
  </mergeCells>
  <conditionalFormatting sqref="M30:T30 M54:T74 M76:T100 M102:T137 M195:T225 M227:T251 M253:T277 M279:T310 M378:T1048576 M32:T43 M46:T46 M51:T52 M13:T13 M27:T27 M312:T344 M139:T160 M346:T376 M162:T193 M15:T21 Q14:T14">
    <cfRule type="cellIs" dxfId="175" priority="269" operator="equal">
      <formula>0</formula>
    </cfRule>
    <cfRule type="cellIs" dxfId="174" priority="270" operator="equal">
      <formula>0</formula>
    </cfRule>
  </conditionalFormatting>
  <conditionalFormatting sqref="Q31:T31">
    <cfRule type="cellIs" dxfId="173" priority="83" operator="equal">
      <formula>0</formula>
    </cfRule>
    <cfRule type="cellIs" dxfId="172" priority="84" operator="equal">
      <formula>0</formula>
    </cfRule>
  </conditionalFormatting>
  <conditionalFormatting sqref="Q53:T53">
    <cfRule type="cellIs" dxfId="171" priority="81" operator="equal">
      <formula>0</formula>
    </cfRule>
    <cfRule type="cellIs" dxfId="170" priority="82" operator="equal">
      <formula>0</formula>
    </cfRule>
  </conditionalFormatting>
  <conditionalFormatting sqref="Q75:T75">
    <cfRule type="cellIs" dxfId="169" priority="79" operator="equal">
      <formula>0</formula>
    </cfRule>
    <cfRule type="cellIs" dxfId="168" priority="80" operator="equal">
      <formula>0</formula>
    </cfRule>
  </conditionalFormatting>
  <conditionalFormatting sqref="Q101:T101">
    <cfRule type="cellIs" dxfId="167" priority="77" operator="equal">
      <formula>0</formula>
    </cfRule>
    <cfRule type="cellIs" dxfId="166" priority="78" operator="equal">
      <formula>0</formula>
    </cfRule>
  </conditionalFormatting>
  <conditionalFormatting sqref="Q138:T138">
    <cfRule type="cellIs" dxfId="165" priority="75" operator="equal">
      <formula>0</formula>
    </cfRule>
    <cfRule type="cellIs" dxfId="164" priority="76" operator="equal">
      <formula>0</formula>
    </cfRule>
  </conditionalFormatting>
  <conditionalFormatting sqref="Q226:T226">
    <cfRule type="cellIs" dxfId="163" priority="69" operator="equal">
      <formula>0</formula>
    </cfRule>
    <cfRule type="cellIs" dxfId="162" priority="70" operator="equal">
      <formula>0</formula>
    </cfRule>
  </conditionalFormatting>
  <conditionalFormatting sqref="Q194:T194">
    <cfRule type="cellIs" dxfId="161" priority="71" operator="equal">
      <formula>0</formula>
    </cfRule>
    <cfRule type="cellIs" dxfId="160" priority="72" operator="equal">
      <formula>0</formula>
    </cfRule>
  </conditionalFormatting>
  <conditionalFormatting sqref="Q252:T252">
    <cfRule type="cellIs" dxfId="159" priority="67" operator="equal">
      <formula>0</formula>
    </cfRule>
    <cfRule type="cellIs" dxfId="158" priority="68" operator="equal">
      <formula>0</formula>
    </cfRule>
  </conditionalFormatting>
  <conditionalFormatting sqref="Q278:T278">
    <cfRule type="cellIs" dxfId="157" priority="65" operator="equal">
      <formula>0</formula>
    </cfRule>
    <cfRule type="cellIs" dxfId="156" priority="66" operator="equal">
      <formula>0</formula>
    </cfRule>
  </conditionalFormatting>
  <conditionalFormatting sqref="Q311:T311">
    <cfRule type="cellIs" dxfId="155" priority="63" operator="equal">
      <formula>0</formula>
    </cfRule>
    <cfRule type="cellIs" dxfId="154" priority="64" operator="equal">
      <formula>0</formula>
    </cfRule>
  </conditionalFormatting>
  <conditionalFormatting sqref="Q377:T377">
    <cfRule type="cellIs" dxfId="153" priority="59" operator="equal">
      <formula>0</formula>
    </cfRule>
    <cfRule type="cellIs" dxfId="152" priority="60" operator="equal">
      <formula>0</formula>
    </cfRule>
  </conditionalFormatting>
  <conditionalFormatting sqref="M44:T45">
    <cfRule type="cellIs" dxfId="151" priority="57" operator="equal">
      <formula>0</formula>
    </cfRule>
    <cfRule type="cellIs" dxfId="150" priority="58" operator="equal">
      <formula>0</formula>
    </cfRule>
  </conditionalFormatting>
  <conditionalFormatting sqref="M47:T48">
    <cfRule type="cellIs" dxfId="149" priority="55" operator="equal">
      <formula>0</formula>
    </cfRule>
    <cfRule type="cellIs" dxfId="148" priority="56" operator="equal">
      <formula>0</formula>
    </cfRule>
  </conditionalFormatting>
  <conditionalFormatting sqref="M50:T50">
    <cfRule type="cellIs" dxfId="147" priority="53" operator="equal">
      <formula>0</formula>
    </cfRule>
    <cfRule type="cellIs" dxfId="146" priority="54" operator="equal">
      <formula>0</formula>
    </cfRule>
  </conditionalFormatting>
  <conditionalFormatting sqref="M49:T49">
    <cfRule type="cellIs" dxfId="145" priority="51" operator="equal">
      <formula>0</formula>
    </cfRule>
    <cfRule type="cellIs" dxfId="144" priority="52" operator="equal">
      <formula>0</formula>
    </cfRule>
  </conditionalFormatting>
  <conditionalFormatting sqref="Q345:T345">
    <cfRule type="cellIs" dxfId="143" priority="49" operator="equal">
      <formula>0</formula>
    </cfRule>
    <cfRule type="cellIs" dxfId="142" priority="50" operator="equal">
      <formula>0</formula>
    </cfRule>
  </conditionalFormatting>
  <conditionalFormatting sqref="Q161:T161">
    <cfRule type="cellIs" dxfId="141" priority="47" operator="equal">
      <formula>0</formula>
    </cfRule>
    <cfRule type="cellIs" dxfId="140" priority="48" operator="equal">
      <formula>0</formula>
    </cfRule>
  </conditionalFormatting>
  <conditionalFormatting sqref="M2:T2">
    <cfRule type="cellIs" dxfId="139" priority="45" operator="equal">
      <formula>0</formula>
    </cfRule>
    <cfRule type="cellIs" dxfId="138" priority="46" operator="equal">
      <formula>0</formula>
    </cfRule>
  </conditionalFormatting>
  <conditionalFormatting sqref="M5:T5">
    <cfRule type="cellIs" dxfId="137" priority="43" operator="equal">
      <formula>0</formula>
    </cfRule>
    <cfRule type="cellIs" dxfId="136" priority="44" operator="equal">
      <formula>0</formula>
    </cfRule>
  </conditionalFormatting>
  <conditionalFormatting sqref="M6:T6">
    <cfRule type="cellIs" dxfId="135" priority="41" operator="equal">
      <formula>0</formula>
    </cfRule>
    <cfRule type="cellIs" dxfId="134" priority="42" operator="equal">
      <formula>0</formula>
    </cfRule>
  </conditionalFormatting>
  <conditionalFormatting sqref="M7:T7">
    <cfRule type="cellIs" dxfId="133" priority="39" operator="equal">
      <formula>0</formula>
    </cfRule>
    <cfRule type="cellIs" dxfId="132" priority="40" operator="equal">
      <formula>0</formula>
    </cfRule>
  </conditionalFormatting>
  <conditionalFormatting sqref="M8:T8">
    <cfRule type="cellIs" dxfId="131" priority="37" operator="equal">
      <formula>0</formula>
    </cfRule>
    <cfRule type="cellIs" dxfId="130" priority="38" operator="equal">
      <formula>0</formula>
    </cfRule>
  </conditionalFormatting>
  <conditionalFormatting sqref="M9:T9">
    <cfRule type="cellIs" dxfId="129" priority="35" operator="equal">
      <formula>0</formula>
    </cfRule>
    <cfRule type="cellIs" dxfId="128" priority="36" operator="equal">
      <formula>0</formula>
    </cfRule>
  </conditionalFormatting>
  <conditionalFormatting sqref="M377:P377">
    <cfRule type="cellIs" dxfId="127" priority="1" operator="equal">
      <formula>0</formula>
    </cfRule>
    <cfRule type="cellIs" dxfId="126" priority="2" operator="equal">
      <formula>0</formula>
    </cfRule>
  </conditionalFormatting>
  <conditionalFormatting sqref="M345:P345">
    <cfRule type="cellIs" dxfId="125" priority="3" operator="equal">
      <formula>0</formula>
    </cfRule>
    <cfRule type="cellIs" dxfId="124" priority="4" operator="equal">
      <formula>0</formula>
    </cfRule>
  </conditionalFormatting>
  <conditionalFormatting sqref="M14:P14">
    <cfRule type="cellIs" dxfId="123" priority="27" operator="equal">
      <formula>0</formula>
    </cfRule>
    <cfRule type="cellIs" dxfId="122" priority="28" operator="equal">
      <formula>0</formula>
    </cfRule>
  </conditionalFormatting>
  <conditionalFormatting sqref="M31:P31">
    <cfRule type="cellIs" dxfId="121" priority="25" operator="equal">
      <formula>0</formula>
    </cfRule>
    <cfRule type="cellIs" dxfId="120" priority="26" operator="equal">
      <formula>0</formula>
    </cfRule>
  </conditionalFormatting>
  <conditionalFormatting sqref="M53:P53">
    <cfRule type="cellIs" dxfId="119" priority="23" operator="equal">
      <formula>0</formula>
    </cfRule>
    <cfRule type="cellIs" dxfId="118" priority="24" operator="equal">
      <formula>0</formula>
    </cfRule>
  </conditionalFormatting>
  <conditionalFormatting sqref="M75:P75">
    <cfRule type="cellIs" dxfId="117" priority="21" operator="equal">
      <formula>0</formula>
    </cfRule>
    <cfRule type="cellIs" dxfId="116" priority="22" operator="equal">
      <formula>0</formula>
    </cfRule>
  </conditionalFormatting>
  <conditionalFormatting sqref="M101:P101">
    <cfRule type="cellIs" dxfId="115" priority="19" operator="equal">
      <formula>0</formula>
    </cfRule>
    <cfRule type="cellIs" dxfId="114" priority="20" operator="equal">
      <formula>0</formula>
    </cfRule>
  </conditionalFormatting>
  <conditionalFormatting sqref="M138:P138">
    <cfRule type="cellIs" dxfId="113" priority="17" operator="equal">
      <formula>0</formula>
    </cfRule>
    <cfRule type="cellIs" dxfId="112" priority="18" operator="equal">
      <formula>0</formula>
    </cfRule>
  </conditionalFormatting>
  <conditionalFormatting sqref="M161:P161">
    <cfRule type="cellIs" dxfId="111" priority="15" operator="equal">
      <formula>0</formula>
    </cfRule>
    <cfRule type="cellIs" dxfId="110" priority="16" operator="equal">
      <formula>0</formula>
    </cfRule>
  </conditionalFormatting>
  <conditionalFormatting sqref="M194:P194">
    <cfRule type="cellIs" dxfId="109" priority="13" operator="equal">
      <formula>0</formula>
    </cfRule>
    <cfRule type="cellIs" dxfId="108" priority="14" operator="equal">
      <formula>0</formula>
    </cfRule>
  </conditionalFormatting>
  <conditionalFormatting sqref="M226:P226">
    <cfRule type="cellIs" dxfId="107" priority="11" operator="equal">
      <formula>0</formula>
    </cfRule>
    <cfRule type="cellIs" dxfId="106" priority="12" operator="equal">
      <formula>0</formula>
    </cfRule>
  </conditionalFormatting>
  <conditionalFormatting sqref="M252:P252">
    <cfRule type="cellIs" dxfId="105" priority="9" operator="equal">
      <formula>0</formula>
    </cfRule>
    <cfRule type="cellIs" dxfId="104" priority="10" operator="equal">
      <formula>0</formula>
    </cfRule>
  </conditionalFormatting>
  <conditionalFormatting sqref="M278:P278">
    <cfRule type="cellIs" dxfId="103" priority="7" operator="equal">
      <formula>0</formula>
    </cfRule>
    <cfRule type="cellIs" dxfId="102" priority="8" operator="equal">
      <formula>0</formula>
    </cfRule>
  </conditionalFormatting>
  <conditionalFormatting sqref="M311:P311">
    <cfRule type="cellIs" dxfId="101" priority="5" operator="equal">
      <formula>0</formula>
    </cfRule>
    <cfRule type="cellIs" dxfId="100" priority="6" operator="equal">
      <formula>0</formula>
    </cfRule>
  </conditionalFormatting>
  <dataValidations count="2">
    <dataValidation type="list" allowBlank="1" showInputMessage="1" showErrorMessage="1" sqref="K56:K57 K245:K248 K60:K61 K136:L136 L72 K78 K81:K83 K86:K91 K229:K230 K233:K234 K237 K96 K240:K242 L371:L373 L327 L333 L335 L339:L342 K382 K398 K400:L401 K34:K37 L399:T399 K385:K396 K64:K68 K104 K108:K109 K112:K113 K116:K119 K127 K130:K131 K141:K143 K146:K150 L151:L152 K153 K157 K197 L202 K200:K202 K214:K215 K209:K211 K220:L224 K255:K258 K261 K266:K269 K272 L275:L276 K283:K284 K287:K289 K292 K301:K305 K316 K17:K24 K346:K375 K49:K51 M191:T191 L164:U164 K40:K43 K46 K27 K319:K344 K158:L160 L154:L160 K162:K192 L162:L164 L167:L168 L174:L175 L181:L182 L186:L189 L191:L192 K5:K10" xr:uid="{E7201FAD-AA48-42E3-BC0A-8F8918B06E93}">
      <formula1>itemNames</formula1>
    </dataValidation>
    <dataValidation type="list" allowBlank="1" showInputMessage="1" showErrorMessage="1" sqref="J56:J57 L233:L234 L229:L230 L86:L91 L237 L64:L68 L81:L83 L78 L60:L61 J78 L240:L242 J81:J83 J86:J91 L56:L57 J130:J131 J245:J248 J229:J230 J233:J234 L245:L248 J237 J96 J146:J150 J336:J338 L328:L332 J328:J332 J334 L334 L5:L9 L336:L338 L49:L51 J162:J192 L382 J382 J398 L398 J34:J37 L34:L37 J60:J61 J64:J68 L96 L104 J104 J108:J109 L108:L109 L112:L113 J112:J113 L130:L131 L116:L119 J116:J119 J127 L127 J141:J143 L141:L143 L146:L150 J153 L153 L346:L375 J346:J375 L197 J197 J200:J201 L200:L201 J214:J215 L209:L211 J209:J211 L214:L215 J240:J242 L255:L258 J255:J258 J261 L261 L266:L269 J266:J269 L272 J272 L283:L284 J283:J284 L287:L289 J287:J289 J292 L292 J301:J305 L301:L305 J316 L316 J319:J326 L319:L326 J385:J396 L385:L396 J49:J51 J40:J43 L40:L43 L46 J46 L27 J17:J21 J27 J343:J344 L343:L344 L157:L160 J157:J160 L162:L192 J5:J9 L17:L21" xr:uid="{B95634C9-7DCA-4E70-95DD-F7642F51A747}">
      <formula1>unitNames</formula1>
    </dataValidation>
  </dataValidations>
  <pageMargins left="0.25" right="0.25" top="0.75" bottom="0.75" header="0.3" footer="0.3"/>
  <pageSetup orientation="portrait" r:id="rId1"/>
  <headerFooter>
    <oddFooter>&amp;C&amp;P</oddFooter>
  </headerFooter>
  <rowBreaks count="16" manualBreakCount="16">
    <brk id="12" max="16383" man="1"/>
    <brk id="29" max="16383" man="1"/>
    <brk id="51" max="16383" man="1"/>
    <brk id="73" max="16383" man="1"/>
    <brk id="99" max="16383" man="1"/>
    <brk id="136" max="16383" man="1"/>
    <brk id="159" max="16383" man="1"/>
    <brk id="192" max="16383" man="1"/>
    <brk id="224" max="16383" man="1"/>
    <brk id="250" max="16383" man="1"/>
    <brk id="276" max="16383" man="1"/>
    <brk id="309" max="16383" man="1"/>
    <brk id="343" max="16383" man="1"/>
    <brk id="375" max="16383" man="1"/>
    <brk id="403" max="16383" man="1"/>
    <brk id="409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010D3-4AF6-4C9A-8055-372F9FC0E129}">
  <dimension ref="A1:B10"/>
  <sheetViews>
    <sheetView workbookViewId="0">
      <selection activeCell="A17" sqref="A17"/>
    </sheetView>
  </sheetViews>
  <sheetFormatPr defaultRowHeight="15" x14ac:dyDescent="0.25"/>
  <cols>
    <col min="1" max="1" width="27.5703125" bestFit="1" customWidth="1"/>
  </cols>
  <sheetData>
    <row r="1" spans="1:2" x14ac:dyDescent="0.25">
      <c r="A1" t="s">
        <v>198</v>
      </c>
      <c r="B1" t="s">
        <v>312</v>
      </c>
    </row>
    <row r="2" spans="1:2" x14ac:dyDescent="0.25">
      <c r="A2" t="s">
        <v>199</v>
      </c>
    </row>
    <row r="3" spans="1:2" x14ac:dyDescent="0.25">
      <c r="A3" t="s">
        <v>200</v>
      </c>
    </row>
    <row r="4" spans="1:2" x14ac:dyDescent="0.25">
      <c r="A4" t="s">
        <v>201</v>
      </c>
    </row>
    <row r="5" spans="1:2" x14ac:dyDescent="0.25">
      <c r="A5" t="s">
        <v>202</v>
      </c>
    </row>
    <row r="6" spans="1:2" x14ac:dyDescent="0.25">
      <c r="A6" t="s">
        <v>308</v>
      </c>
    </row>
    <row r="7" spans="1:2" x14ac:dyDescent="0.25">
      <c r="A7" t="s">
        <v>309</v>
      </c>
    </row>
    <row r="8" spans="1:2" x14ac:dyDescent="0.25">
      <c r="A8" t="s">
        <v>310</v>
      </c>
    </row>
    <row r="9" spans="1:2" x14ac:dyDescent="0.25">
      <c r="A9" t="s">
        <v>311</v>
      </c>
    </row>
    <row r="10" spans="1:2" x14ac:dyDescent="0.25">
      <c r="A10" t="s">
        <v>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86A15-F039-4732-8224-D8AE4342938B}">
  <dimension ref="A1:R97"/>
  <sheetViews>
    <sheetView zoomScale="70" zoomScaleNormal="70" workbookViewId="0">
      <selection activeCell="Q74" sqref="Q74"/>
    </sheetView>
  </sheetViews>
  <sheetFormatPr defaultRowHeight="12.75" x14ac:dyDescent="0.2"/>
  <cols>
    <col min="1" max="1" width="29.7109375" style="1" bestFit="1" customWidth="1"/>
    <col min="2" max="2" width="9.5703125" style="38" bestFit="1" customWidth="1"/>
    <col min="3" max="3" width="21.42578125" style="1" bestFit="1" customWidth="1"/>
    <col min="4" max="6" width="11.7109375" style="2" bestFit="1" customWidth="1"/>
    <col min="7" max="8" width="12.42578125" style="2" bestFit="1" customWidth="1"/>
    <col min="9" max="11" width="8.140625" style="2" bestFit="1" customWidth="1"/>
    <col min="12" max="12" width="5.85546875" style="98" bestFit="1" customWidth="1"/>
    <col min="13" max="13" width="6.7109375" style="2" customWidth="1"/>
    <col min="14" max="14" width="10.5703125" style="1" bestFit="1" customWidth="1"/>
    <col min="15" max="15" width="9.140625" style="1"/>
    <col min="16" max="16" width="8.7109375" style="1" bestFit="1" customWidth="1"/>
    <col min="17" max="17" width="9.140625" style="1"/>
    <col min="18" max="18" width="12.85546875" style="1" bestFit="1" customWidth="1"/>
    <col min="19" max="16384" width="9.140625" style="1"/>
  </cols>
  <sheetData>
    <row r="1" spans="1:18" ht="26.25" thickBot="1" x14ac:dyDescent="0.25">
      <c r="A1" s="12" t="s">
        <v>150</v>
      </c>
      <c r="B1" s="33" t="s">
        <v>205</v>
      </c>
      <c r="C1" s="12" t="s">
        <v>151</v>
      </c>
      <c r="D1" s="11" t="s">
        <v>55</v>
      </c>
      <c r="E1" s="11" t="s">
        <v>144</v>
      </c>
      <c r="F1" s="11" t="s">
        <v>145</v>
      </c>
      <c r="G1" s="13" t="s">
        <v>146</v>
      </c>
      <c r="H1" s="13" t="s">
        <v>147</v>
      </c>
      <c r="I1" s="13" t="s">
        <v>115</v>
      </c>
      <c r="J1" s="13" t="s">
        <v>116</v>
      </c>
      <c r="K1" s="13" t="s">
        <v>114</v>
      </c>
      <c r="L1" s="94" t="s">
        <v>423</v>
      </c>
      <c r="M1" s="13"/>
      <c r="N1" s="12" t="s">
        <v>209</v>
      </c>
      <c r="P1" s="12" t="s">
        <v>130</v>
      </c>
      <c r="R1" s="12" t="s">
        <v>204</v>
      </c>
    </row>
    <row r="2" spans="1:18" ht="14.25" thickTop="1" thickBot="1" x14ac:dyDescent="0.25">
      <c r="A2" s="17" t="s">
        <v>436</v>
      </c>
      <c r="B2" s="34" t="s">
        <v>206</v>
      </c>
      <c r="C2" s="15" t="s">
        <v>432</v>
      </c>
      <c r="D2" s="115"/>
      <c r="E2" s="115"/>
      <c r="F2" s="115"/>
      <c r="G2" s="14">
        <f>IF(D2&lt;&gt;0, E2/D2, 0)</f>
        <v>0</v>
      </c>
      <c r="H2" s="14">
        <f>IF(D2&lt;&gt;0, F2/D2, 0)</f>
        <v>0</v>
      </c>
      <c r="I2" s="14">
        <f>SUMIF(recipes!K:K,A2,recipes!R:R)</f>
        <v>0</v>
      </c>
      <c r="J2" s="14">
        <f>SUMIF(recipes!K:K,A2,recipes!S:S)</f>
        <v>0</v>
      </c>
      <c r="K2" s="14">
        <f>SUMIF(recipes!K:K,A2,recipes!T:T)</f>
        <v>15.4</v>
      </c>
      <c r="L2" s="95">
        <f>COUNTIF(recipes!K:K,A2)</f>
        <v>1</v>
      </c>
      <c r="M2" s="3"/>
      <c r="N2" s="9" t="s">
        <v>16</v>
      </c>
      <c r="P2" s="9">
        <v>0.25</v>
      </c>
      <c r="R2" s="9" t="s">
        <v>206</v>
      </c>
    </row>
    <row r="3" spans="1:18" ht="13.5" thickBot="1" x14ac:dyDescent="0.25">
      <c r="A3" s="18" t="s">
        <v>437</v>
      </c>
      <c r="B3" s="35" t="s">
        <v>206</v>
      </c>
      <c r="C3" s="4" t="s">
        <v>433</v>
      </c>
      <c r="D3" s="4"/>
      <c r="E3" s="4"/>
      <c r="F3" s="4"/>
      <c r="G3" s="3">
        <f>IF(D3&lt;&gt;0, E3/D3, 0)</f>
        <v>0</v>
      </c>
      <c r="H3" s="3">
        <f>IF(D3&lt;&gt;0, F3/D3, 0)</f>
        <v>0</v>
      </c>
      <c r="I3" s="3">
        <f>SUMIF(recipes!K:K,A3,recipes!R:R)</f>
        <v>0</v>
      </c>
      <c r="J3" s="3">
        <f>SUMIF(recipes!K:K,A3,recipes!S:S)</f>
        <v>0</v>
      </c>
      <c r="K3" s="3">
        <f>SUMIF(recipes!K:K,A3,recipes!T:T)</f>
        <v>15.4</v>
      </c>
      <c r="L3" s="96">
        <f>COUNTIF(recipes!K:K,A3)</f>
        <v>1</v>
      </c>
      <c r="M3" s="3"/>
      <c r="N3" s="10" t="s">
        <v>195</v>
      </c>
      <c r="P3" s="8" t="s">
        <v>131</v>
      </c>
      <c r="R3" s="9" t="s">
        <v>207</v>
      </c>
    </row>
    <row r="4" spans="1:18" ht="13.5" thickBot="1" x14ac:dyDescent="0.25">
      <c r="A4" s="18" t="s">
        <v>90</v>
      </c>
      <c r="B4" s="35"/>
      <c r="C4" s="4" t="s">
        <v>90</v>
      </c>
      <c r="D4" s="4"/>
      <c r="E4" s="4"/>
      <c r="F4" s="4"/>
      <c r="G4" s="3">
        <f>IF(D4&lt;&gt;0, E4/D4, 0)</f>
        <v>0</v>
      </c>
      <c r="H4" s="3">
        <f>IF(D4&lt;&gt;0, F4/D4, 0)</f>
        <v>0</v>
      </c>
      <c r="I4" s="3">
        <f>SUMIF(recipes!K:K,A4,recipes!R:R)</f>
        <v>0</v>
      </c>
      <c r="J4" s="3">
        <f>SUMIF(recipes!K:K,A4,recipes!S:S)</f>
        <v>0</v>
      </c>
      <c r="K4" s="3">
        <f>SUMIF(recipes!K:K,A4,recipes!T:T)</f>
        <v>4.25</v>
      </c>
      <c r="L4" s="96">
        <f>COUNTIF(recipes!K:K,A4)</f>
        <v>2</v>
      </c>
      <c r="M4" s="3"/>
      <c r="N4" s="10" t="s">
        <v>0</v>
      </c>
      <c r="R4" s="8" t="s">
        <v>208</v>
      </c>
    </row>
    <row r="5" spans="1:18" x14ac:dyDescent="0.2">
      <c r="A5" s="18" t="s">
        <v>51</v>
      </c>
      <c r="B5" s="35"/>
      <c r="C5" s="4" t="s">
        <v>51</v>
      </c>
      <c r="D5" s="4">
        <v>1</v>
      </c>
      <c r="E5" s="4">
        <v>1.6E-2</v>
      </c>
      <c r="F5" s="4">
        <v>2.2180100000000001E-2</v>
      </c>
      <c r="G5" s="3">
        <f>IF(D5&lt;&gt;0, E5/D5, 0)</f>
        <v>1.6E-2</v>
      </c>
      <c r="H5" s="3">
        <f>IF(D5&lt;&gt;0, F5/D5, 0)</f>
        <v>2.2180100000000001E-2</v>
      </c>
      <c r="I5" s="3">
        <f>SUMIF(recipes!K:K,A5,recipes!R:R)</f>
        <v>3.7333412732584614E-2</v>
      </c>
      <c r="J5" s="3">
        <f>SUMIF(recipes!K:K,A5,recipes!S:S)</f>
        <v>0</v>
      </c>
      <c r="K5" s="3">
        <f>SUMIF(recipes!K:K,A5,recipes!T:T)</f>
        <v>0</v>
      </c>
      <c r="L5" s="96">
        <f>COUNTIF(recipes!K:K,A5)</f>
        <v>1</v>
      </c>
      <c r="M5" s="3"/>
      <c r="N5" s="10" t="s">
        <v>12</v>
      </c>
    </row>
    <row r="6" spans="1:18" x14ac:dyDescent="0.2">
      <c r="A6" s="18" t="s">
        <v>120</v>
      </c>
      <c r="B6" s="35" t="s">
        <v>206</v>
      </c>
      <c r="C6" s="4" t="s">
        <v>2</v>
      </c>
      <c r="D6" s="3">
        <v>1</v>
      </c>
      <c r="E6" s="3">
        <v>0.313</v>
      </c>
      <c r="F6" s="6"/>
      <c r="G6" s="3">
        <f>IF(D6&lt;&gt;0, E6/D6, 0)</f>
        <v>0.313</v>
      </c>
      <c r="H6" s="3">
        <f>IF(D6&lt;&gt;0, F6/D6, 0)</f>
        <v>0</v>
      </c>
      <c r="I6" s="3">
        <f>SUMIF(recipes!K:K,A6,recipes!R:R)</f>
        <v>1.0954999999999999</v>
      </c>
      <c r="J6" s="3">
        <f>SUMIF(recipes!K:K,A6,recipes!S:S)</f>
        <v>0.53232353212499994</v>
      </c>
      <c r="K6" s="3">
        <f>SUMIF(recipes!K:K,A6,recipes!T:T)</f>
        <v>0</v>
      </c>
      <c r="L6" s="96">
        <f>COUNTIF(recipes!K:K,A6)</f>
        <v>3</v>
      </c>
      <c r="M6" s="3"/>
      <c r="N6" s="10" t="s">
        <v>57</v>
      </c>
    </row>
    <row r="7" spans="1:18" x14ac:dyDescent="0.2">
      <c r="A7" s="18" t="s">
        <v>5</v>
      </c>
      <c r="B7" s="35" t="s">
        <v>206</v>
      </c>
      <c r="C7" s="4" t="s">
        <v>65</v>
      </c>
      <c r="D7" s="3">
        <v>3</v>
      </c>
      <c r="E7" s="3">
        <v>0.44500000000000001</v>
      </c>
      <c r="F7" s="3">
        <v>0.6</v>
      </c>
      <c r="G7" s="3">
        <f>IF(D7&lt;&gt;0, E7/D7, 0)</f>
        <v>0.14833333333333334</v>
      </c>
      <c r="H7" s="3">
        <f>IF(D7&lt;&gt;0, F7/D7, 0)</f>
        <v>0.19999999999999998</v>
      </c>
      <c r="I7" s="3">
        <f>SUMIF(recipes!K:K,A7,recipes!R:R)</f>
        <v>3.1186210797729168</v>
      </c>
      <c r="J7" s="3">
        <f>SUMIF(recipes!K:K,A7,recipes!S:S)</f>
        <v>0</v>
      </c>
      <c r="K7" s="3">
        <f>SUMIF(recipes!K:K,A7,recipes!T:T)</f>
        <v>0</v>
      </c>
      <c r="L7" s="96">
        <f>COUNTIF(recipes!K:K,A7)</f>
        <v>4</v>
      </c>
      <c r="M7" s="3"/>
      <c r="N7" s="10" t="s">
        <v>1</v>
      </c>
    </row>
    <row r="8" spans="1:18" x14ac:dyDescent="0.2">
      <c r="A8" s="18" t="s">
        <v>101</v>
      </c>
      <c r="B8" s="35" t="s">
        <v>206</v>
      </c>
      <c r="C8" s="4" t="s">
        <v>65</v>
      </c>
      <c r="D8" s="5"/>
      <c r="E8" s="5"/>
      <c r="F8" s="5"/>
      <c r="G8" s="3">
        <f>IF(D8&lt;&gt;0, E8/D8, 0)</f>
        <v>0</v>
      </c>
      <c r="H8" s="3">
        <f>IF(D8&lt;&gt;0, F8/D8, 0)</f>
        <v>0</v>
      </c>
      <c r="I8" s="3">
        <f>SUMIF(recipes!K:K,A8,recipes!R:R)</f>
        <v>0</v>
      </c>
      <c r="J8" s="3">
        <f>SUMIF(recipes!K:K,A8,recipes!S:S)</f>
        <v>0</v>
      </c>
      <c r="K8" s="3">
        <f>SUMIF(recipes!K:K,A8,recipes!T:T)</f>
        <v>18.5</v>
      </c>
      <c r="L8" s="96">
        <f>COUNTIF(recipes!K:K,A8)</f>
        <v>3</v>
      </c>
      <c r="M8" s="3"/>
      <c r="N8" s="10" t="s">
        <v>15</v>
      </c>
    </row>
    <row r="9" spans="1:18" x14ac:dyDescent="0.2">
      <c r="A9" s="18" t="s">
        <v>318</v>
      </c>
      <c r="B9" s="35" t="s">
        <v>206</v>
      </c>
      <c r="C9" s="4" t="s">
        <v>65</v>
      </c>
      <c r="D9" s="5"/>
      <c r="E9" s="5"/>
      <c r="F9" s="5"/>
      <c r="G9" s="3">
        <f>IF(D9&lt;&gt;0, E9/D9, 0)</f>
        <v>0</v>
      </c>
      <c r="H9" s="3">
        <f>IF(D9&lt;&gt;0, F9/D9, 0)</f>
        <v>0</v>
      </c>
      <c r="I9" s="3">
        <f>SUMIF(recipes!K:K,A9,recipes!R:R)</f>
        <v>0</v>
      </c>
      <c r="J9" s="3">
        <f>SUMIF(recipes!K:K,A9,recipes!S:S)</f>
        <v>0</v>
      </c>
      <c r="K9" s="3">
        <f>SUMIF(recipes!K:K,A9,recipes!T:T)</f>
        <v>3.3</v>
      </c>
      <c r="L9" s="96">
        <f>COUNTIF(recipes!K:K,A9)</f>
        <v>1</v>
      </c>
      <c r="M9" s="3"/>
      <c r="N9" s="10" t="s">
        <v>13</v>
      </c>
    </row>
    <row r="10" spans="1:18" ht="13.5" thickBot="1" x14ac:dyDescent="0.25">
      <c r="A10" s="18" t="s">
        <v>61</v>
      </c>
      <c r="B10" s="35" t="s">
        <v>206</v>
      </c>
      <c r="C10" s="4" t="s">
        <v>65</v>
      </c>
      <c r="D10" s="5"/>
      <c r="E10" s="5"/>
      <c r="F10" s="5"/>
      <c r="G10" s="3">
        <f>IF(D10&lt;&gt;0, E10/D10, 0)</f>
        <v>0</v>
      </c>
      <c r="H10" s="3">
        <f>IF(D10&lt;&gt;0, F10/D10, 0)</f>
        <v>0</v>
      </c>
      <c r="I10" s="3">
        <f>SUMIF(recipes!K:K,A10,recipes!R:R)</f>
        <v>0</v>
      </c>
      <c r="J10" s="3">
        <f>SUMIF(recipes!K:K,A10,recipes!S:S)</f>
        <v>0</v>
      </c>
      <c r="K10" s="3">
        <f>SUMIF(recipes!K:K,A10,recipes!T:T)</f>
        <v>6.75</v>
      </c>
      <c r="L10" s="96">
        <f>COUNTIF(recipes!K:K,A10)</f>
        <v>1</v>
      </c>
      <c r="M10" s="3"/>
      <c r="N10" s="8" t="s">
        <v>54</v>
      </c>
    </row>
    <row r="11" spans="1:18" s="31" customFormat="1" x14ac:dyDescent="0.2">
      <c r="A11" s="18" t="s">
        <v>187</v>
      </c>
      <c r="B11" s="35"/>
      <c r="C11" s="4" t="s">
        <v>187</v>
      </c>
      <c r="D11" s="4"/>
      <c r="E11" s="4"/>
      <c r="F11" s="4"/>
      <c r="G11" s="3">
        <f>IF(D11&lt;&gt;0, E11/D11, 0)</f>
        <v>0</v>
      </c>
      <c r="H11" s="3">
        <f>IF(D11&lt;&gt;0, F11/D11, 0)</f>
        <v>0</v>
      </c>
      <c r="I11" s="3">
        <f>SUMIF(recipes!K:K,A11,recipes!R:R)</f>
        <v>0</v>
      </c>
      <c r="J11" s="3">
        <f>SUMIF(recipes!K:K,A11,recipes!S:S)</f>
        <v>0.47317647299999999</v>
      </c>
      <c r="K11" s="3">
        <f>SUMIF(recipes!K:K,A11,recipes!T:T)</f>
        <v>0</v>
      </c>
      <c r="L11" s="96">
        <f>COUNTIF(recipes!K:K,A11)</f>
        <v>1</v>
      </c>
      <c r="M11" s="3"/>
      <c r="N11" s="1"/>
    </row>
    <row r="12" spans="1:18" s="31" customFormat="1" x14ac:dyDescent="0.2">
      <c r="A12" s="18" t="s">
        <v>167</v>
      </c>
      <c r="B12" s="35" t="s">
        <v>206</v>
      </c>
      <c r="C12" s="4" t="s">
        <v>164</v>
      </c>
      <c r="D12" s="4"/>
      <c r="E12" s="4"/>
      <c r="F12" s="4"/>
      <c r="G12" s="3">
        <f>IF(D12&lt;&gt;0, E12/D12, 0)</f>
        <v>0</v>
      </c>
      <c r="H12" s="3">
        <f>IF(D12&lt;&gt;0, F12/D12, 0)</f>
        <v>0</v>
      </c>
      <c r="I12" s="3">
        <f>SUMIF(recipes!K:K,A12,recipes!R:R)</f>
        <v>0</v>
      </c>
      <c r="J12" s="3">
        <f>SUMIF(recipes!K:K,A12,recipes!S:S)</f>
        <v>0</v>
      </c>
      <c r="K12" s="3">
        <f>SUMIF(recipes!K:K,A12,recipes!T:T)</f>
        <v>3</v>
      </c>
      <c r="L12" s="96">
        <f>COUNTIF(recipes!K:K,A12)</f>
        <v>3</v>
      </c>
      <c r="M12" s="3"/>
    </row>
    <row r="13" spans="1:18" s="31" customFormat="1" x14ac:dyDescent="0.2">
      <c r="A13" s="18" t="s">
        <v>155</v>
      </c>
      <c r="B13" s="35" t="s">
        <v>206</v>
      </c>
      <c r="C13" s="4" t="s">
        <v>64</v>
      </c>
      <c r="D13" s="4"/>
      <c r="E13" s="4"/>
      <c r="F13" s="4"/>
      <c r="G13" s="3">
        <f>IF(D13&lt;&gt;0, E13/D13, 0)</f>
        <v>0</v>
      </c>
      <c r="H13" s="3">
        <f>IF(D13&lt;&gt;0, F13/D13, 0)</f>
        <v>0</v>
      </c>
      <c r="I13" s="3">
        <f>SUMIF(recipes!K:K,A13,recipes!R:R)</f>
        <v>0</v>
      </c>
      <c r="J13" s="3">
        <f>SUMIF(recipes!K:K,A13,recipes!S:S)</f>
        <v>0</v>
      </c>
      <c r="K13" s="3">
        <f>SUMIF(recipes!K:K,A13,recipes!T:T)</f>
        <v>14.25</v>
      </c>
      <c r="L13" s="96">
        <f>COUNTIF(recipes!K:K,A13)</f>
        <v>2</v>
      </c>
      <c r="M13" s="3"/>
    </row>
    <row r="14" spans="1:18" s="31" customFormat="1" x14ac:dyDescent="0.2">
      <c r="A14" s="18" t="s">
        <v>102</v>
      </c>
      <c r="B14" s="35" t="s">
        <v>206</v>
      </c>
      <c r="C14" s="4" t="s">
        <v>64</v>
      </c>
      <c r="D14" s="4"/>
      <c r="E14" s="4"/>
      <c r="F14" s="4"/>
      <c r="G14" s="3">
        <f>IF(D14&lt;&gt;0, E14/D14, 0)</f>
        <v>0</v>
      </c>
      <c r="H14" s="3">
        <f>IF(D14&lt;&gt;0, F14/D14, 0)</f>
        <v>0</v>
      </c>
      <c r="I14" s="3">
        <f>SUMIF(recipes!K:K,A14,recipes!R:R)</f>
        <v>0</v>
      </c>
      <c r="J14" s="3">
        <f>SUMIF(recipes!K:K,A14,recipes!S:S)</f>
        <v>0</v>
      </c>
      <c r="K14" s="3">
        <f>SUMIF(recipes!K:K,A14,recipes!T:T)</f>
        <v>9.5</v>
      </c>
      <c r="L14" s="96">
        <f>COUNTIF(recipes!K:K,A14)</f>
        <v>3</v>
      </c>
      <c r="M14" s="3"/>
    </row>
    <row r="15" spans="1:18" s="31" customFormat="1" x14ac:dyDescent="0.2">
      <c r="A15" s="18" t="s">
        <v>177</v>
      </c>
      <c r="B15" s="35" t="s">
        <v>206</v>
      </c>
      <c r="C15" s="4" t="s">
        <v>64</v>
      </c>
      <c r="D15" s="4"/>
      <c r="E15" s="4"/>
      <c r="F15" s="4"/>
      <c r="G15" s="3">
        <f>IF(D15&lt;&gt;0, E15/D15, 0)</f>
        <v>0</v>
      </c>
      <c r="H15" s="3">
        <f>IF(D15&lt;&gt;0, F15/D15, 0)</f>
        <v>0</v>
      </c>
      <c r="I15" s="3">
        <f>SUMIF(recipes!K:K,A15,recipes!R:R)</f>
        <v>0</v>
      </c>
      <c r="J15" s="3">
        <f>SUMIF(recipes!K:K,A15,recipes!S:S)</f>
        <v>0</v>
      </c>
      <c r="K15" s="3">
        <f>SUMIF(recipes!K:K,A15,recipes!T:T)</f>
        <v>16.149999999999999</v>
      </c>
      <c r="L15" s="96">
        <f>COUNTIF(recipes!K:K,A15)</f>
        <v>2</v>
      </c>
      <c r="M15" s="3"/>
    </row>
    <row r="16" spans="1:18" x14ac:dyDescent="0.2">
      <c r="A16" s="18" t="s">
        <v>62</v>
      </c>
      <c r="B16" s="35" t="s">
        <v>206</v>
      </c>
      <c r="C16" s="4" t="s">
        <v>64</v>
      </c>
      <c r="D16" s="4"/>
      <c r="E16" s="4"/>
      <c r="F16" s="4"/>
      <c r="G16" s="3">
        <f>IF(D16&lt;&gt;0, E16/D16, 0)</f>
        <v>0</v>
      </c>
      <c r="H16" s="3">
        <f>IF(D16&lt;&gt;0, F16/D16, 0)</f>
        <v>0</v>
      </c>
      <c r="I16" s="3">
        <f>SUMIF(recipes!K:K,A16,recipes!R:R)</f>
        <v>0</v>
      </c>
      <c r="J16" s="3">
        <f>SUMIF(recipes!K:K,A16,recipes!S:S)</f>
        <v>0</v>
      </c>
      <c r="K16" s="3">
        <f>SUMIF(recipes!K:K,A16,recipes!T:T)</f>
        <v>3.25</v>
      </c>
      <c r="L16" s="96">
        <f>COUNTIF(recipes!K:K,A16)</f>
        <v>1</v>
      </c>
      <c r="M16" s="3"/>
      <c r="N16" s="31"/>
    </row>
    <row r="17" spans="1:13" s="31" customFormat="1" x14ac:dyDescent="0.2">
      <c r="A17" s="18" t="s">
        <v>118</v>
      </c>
      <c r="B17" s="35"/>
      <c r="C17" s="4" t="s">
        <v>118</v>
      </c>
      <c r="D17" s="4"/>
      <c r="E17" s="4"/>
      <c r="F17" s="4"/>
      <c r="G17" s="3">
        <f>IF(D17&lt;&gt;0, E17/D17, 0)</f>
        <v>0</v>
      </c>
      <c r="H17" s="3">
        <f>IF(D17&lt;&gt;0, F17/D17, 0)</f>
        <v>0</v>
      </c>
      <c r="I17" s="3">
        <f>SUMIF(recipes!K:K,A17,recipes!R:R)</f>
        <v>0</v>
      </c>
      <c r="J17" s="3">
        <f>SUMIF(recipes!K:K,A17,recipes!S:S)</f>
        <v>5.9147059124999998E-2</v>
      </c>
      <c r="K17" s="3">
        <f>SUMIF(recipes!K:K,A17,recipes!T:T)</f>
        <v>0</v>
      </c>
      <c r="L17" s="96">
        <f>COUNTIF(recipes!K:K,A17)</f>
        <v>1</v>
      </c>
      <c r="M17" s="3"/>
    </row>
    <row r="18" spans="1:13" x14ac:dyDescent="0.2">
      <c r="A18" s="18" t="s">
        <v>106</v>
      </c>
      <c r="B18" s="35"/>
      <c r="C18" s="4" t="s">
        <v>106</v>
      </c>
      <c r="D18" s="4">
        <v>1</v>
      </c>
      <c r="E18" s="4">
        <v>1.0999999999999999E-2</v>
      </c>
      <c r="F18" s="4">
        <v>2.2180100000000001E-2</v>
      </c>
      <c r="G18" s="3">
        <f>IF(D18&lt;&gt;0, E18/D18, 0)</f>
        <v>1.0999999999999999E-2</v>
      </c>
      <c r="H18" s="3">
        <f>IF(D18&lt;&gt;0, F18/D18, 0)</f>
        <v>2.2180100000000001E-2</v>
      </c>
      <c r="I18" s="3">
        <f>SUMIF(recipes!K:K,A18,recipes!R:R)</f>
        <v>1.0388910983621014E-2</v>
      </c>
      <c r="J18" s="3">
        <f>SUMIF(recipes!K:K,A18,recipes!S:S)</f>
        <v>0</v>
      </c>
      <c r="K18" s="3">
        <f>SUMIF(recipes!K:K,A18,recipes!T:T)</f>
        <v>0</v>
      </c>
      <c r="L18" s="96">
        <f>COUNTIF(recipes!K:K,A18)</f>
        <v>3</v>
      </c>
      <c r="M18" s="3"/>
    </row>
    <row r="19" spans="1:13" s="31" customFormat="1" x14ac:dyDescent="0.2">
      <c r="A19" s="18" t="s">
        <v>317</v>
      </c>
      <c r="B19" s="35" t="s">
        <v>206</v>
      </c>
      <c r="C19" s="4" t="s">
        <v>163</v>
      </c>
      <c r="D19" s="3">
        <v>1</v>
      </c>
      <c r="E19" s="3">
        <v>0.30599999999999999</v>
      </c>
      <c r="F19" s="3"/>
      <c r="G19" s="3">
        <f>IF(D19&lt;&gt;0, E19/D19, 0)</f>
        <v>0.30599999999999999</v>
      </c>
      <c r="H19" s="3">
        <f>IF(D19&lt;&gt;0, F19/D19, 0)</f>
        <v>0</v>
      </c>
      <c r="I19" s="3">
        <f>SUMIF(recipes!K:K,A19,recipes!R:R)</f>
        <v>1.0098</v>
      </c>
      <c r="J19" s="3">
        <f>SUMIF(recipes!K:K,A19,recipes!S:S)</f>
        <v>0</v>
      </c>
      <c r="K19" s="3">
        <f>SUMIF(recipes!K:K,A19,recipes!T:T)</f>
        <v>0</v>
      </c>
      <c r="L19" s="96">
        <f>COUNTIF(recipes!K:K,A19)</f>
        <v>1</v>
      </c>
      <c r="M19" s="3"/>
    </row>
    <row r="20" spans="1:13" x14ac:dyDescent="0.2">
      <c r="A20" s="18" t="s">
        <v>52</v>
      </c>
      <c r="B20" s="35"/>
      <c r="C20" s="4" t="s">
        <v>52</v>
      </c>
      <c r="D20" s="4">
        <v>1</v>
      </c>
      <c r="E20" s="4">
        <v>1.0999999999999999E-2</v>
      </c>
      <c r="F20" s="4">
        <v>2.2180100000000001E-2</v>
      </c>
      <c r="G20" s="3">
        <f>IF(D20&lt;&gt;0, E20/D20, 0)</f>
        <v>1.0999999999999999E-2</v>
      </c>
      <c r="H20" s="3">
        <f>IF(D20&lt;&gt;0, F20/D20, 0)</f>
        <v>2.2180100000000001E-2</v>
      </c>
      <c r="I20" s="3">
        <f>SUMIF(recipes!K:K,A20,recipes!R:R)</f>
        <v>2.5666721253651919E-2</v>
      </c>
      <c r="J20" s="3">
        <f>SUMIF(recipes!K:K,A20,recipes!S:S)</f>
        <v>0</v>
      </c>
      <c r="K20" s="3">
        <f>SUMIF(recipes!K:K,A20,recipes!T:T)</f>
        <v>0</v>
      </c>
      <c r="L20" s="96">
        <f>COUNTIF(recipes!K:K,A20)</f>
        <v>1</v>
      </c>
      <c r="M20" s="3"/>
    </row>
    <row r="21" spans="1:13" x14ac:dyDescent="0.2">
      <c r="A21" s="18" t="s">
        <v>9</v>
      </c>
      <c r="B21" s="35"/>
      <c r="C21" s="4" t="s">
        <v>9</v>
      </c>
      <c r="D21" s="4">
        <v>1</v>
      </c>
      <c r="E21" s="4">
        <v>1.2E-2</v>
      </c>
      <c r="F21" s="4">
        <v>2.2180100000000001E-2</v>
      </c>
      <c r="G21" s="3">
        <f>IF(D21&lt;&gt;0, E21/D21, 0)</f>
        <v>1.2E-2</v>
      </c>
      <c r="H21" s="3">
        <f>IF(D21&lt;&gt;0, F21/D21, 0)</f>
        <v>2.2180100000000001E-2</v>
      </c>
      <c r="I21" s="3">
        <f>SUMIF(recipes!K:K,A21,recipes!R:R)</f>
        <v>4.2000089324157684E-2</v>
      </c>
      <c r="J21" s="3">
        <f>SUMIF(recipes!K:K,A21,recipes!S:S)</f>
        <v>0</v>
      </c>
      <c r="K21" s="3">
        <f>SUMIF(recipes!K:K,A21,recipes!T:T)</f>
        <v>0</v>
      </c>
      <c r="L21" s="96">
        <f>COUNTIF(recipes!K:K,A21)</f>
        <v>2</v>
      </c>
      <c r="M21" s="3"/>
    </row>
    <row r="22" spans="1:13" x14ac:dyDescent="0.2">
      <c r="A22" s="18" t="s">
        <v>75</v>
      </c>
      <c r="B22" s="35"/>
      <c r="C22" s="4" t="s">
        <v>75</v>
      </c>
      <c r="D22" s="4"/>
      <c r="E22" s="4"/>
      <c r="F22" s="4"/>
      <c r="G22" s="3">
        <f>IF(D22&lt;&gt;0, E22/D22, 0)</f>
        <v>0</v>
      </c>
      <c r="H22" s="3">
        <f>IF(D22&lt;&gt;0, F22/D22, 0)</f>
        <v>0</v>
      </c>
      <c r="I22" s="3">
        <f>SUMIF(recipes!K:K,A22,recipes!R:R)</f>
        <v>0</v>
      </c>
      <c r="J22" s="3">
        <f>SUMIF(recipes!K:K,A22,recipes!S:S)</f>
        <v>8.7488358289062484E-2</v>
      </c>
      <c r="K22" s="3">
        <f>SUMIF(recipes!K:K,A22,recipes!T:T)</f>
        <v>0</v>
      </c>
      <c r="L22" s="96">
        <f>COUNTIF(recipes!K:K,A22)</f>
        <v>2</v>
      </c>
      <c r="M22" s="3"/>
    </row>
    <row r="23" spans="1:13" x14ac:dyDescent="0.2">
      <c r="A23" s="18" t="s">
        <v>105</v>
      </c>
      <c r="B23" s="35"/>
      <c r="C23" s="4" t="s">
        <v>105</v>
      </c>
      <c r="D23" s="4">
        <v>1</v>
      </c>
      <c r="E23" s="4">
        <v>3.0000000000000001E-3</v>
      </c>
      <c r="F23" s="4">
        <v>2.2180100000000001E-2</v>
      </c>
      <c r="G23" s="3">
        <f>IF(D23&lt;&gt;0, E23/D23, 0)</f>
        <v>3.0000000000000001E-3</v>
      </c>
      <c r="H23" s="3">
        <f>IF(D23&lt;&gt;0, F23/D23, 0)</f>
        <v>2.2180100000000001E-2</v>
      </c>
      <c r="I23" s="3">
        <f>SUMIF(recipes!K:K,A23,recipes!R:R)</f>
        <v>1.1666691478932692E-3</v>
      </c>
      <c r="J23" s="3">
        <f>SUMIF(recipes!K:K,A23,recipes!S:S)</f>
        <v>0</v>
      </c>
      <c r="K23" s="3">
        <f>SUMIF(recipes!K:K,A23,recipes!T:T)</f>
        <v>0</v>
      </c>
      <c r="L23" s="96">
        <f>COUNTIF(recipes!K:K,A23)</f>
        <v>1</v>
      </c>
      <c r="M23" s="3"/>
    </row>
    <row r="24" spans="1:13" x14ac:dyDescent="0.2">
      <c r="A24" s="18" t="s">
        <v>287</v>
      </c>
      <c r="B24" s="35"/>
      <c r="C24" s="4" t="s">
        <v>287</v>
      </c>
      <c r="D24" s="4"/>
      <c r="E24" s="4"/>
      <c r="F24" s="4"/>
      <c r="G24" s="3">
        <f>IF(D24&lt;&gt;0, E24/D24, 0)</f>
        <v>0</v>
      </c>
      <c r="H24" s="3">
        <f>IF(D24&lt;&gt;0, F24/D24, 0)</f>
        <v>0</v>
      </c>
      <c r="I24" s="3">
        <f>SUMIF(recipes!K:K,A24,recipes!R:R)</f>
        <v>0</v>
      </c>
      <c r="J24" s="3">
        <f>SUMIF(recipes!K:K,A24,recipes!S:S)</f>
        <v>0.47317647299999999</v>
      </c>
      <c r="K24" s="3">
        <f>SUMIF(recipes!K:K,A24,recipes!T:T)</f>
        <v>0</v>
      </c>
      <c r="L24" s="96">
        <f>COUNTIF(recipes!K:K,A24)</f>
        <v>1</v>
      </c>
      <c r="M24" s="3"/>
    </row>
    <row r="25" spans="1:13" x14ac:dyDescent="0.2">
      <c r="A25" s="18" t="s">
        <v>98</v>
      </c>
      <c r="B25" s="35" t="s">
        <v>207</v>
      </c>
      <c r="C25" s="4" t="s">
        <v>99</v>
      </c>
      <c r="D25" s="4">
        <v>1</v>
      </c>
      <c r="E25" s="4">
        <v>0.76300000000000001</v>
      </c>
      <c r="F25" s="4">
        <v>0.946353</v>
      </c>
      <c r="G25" s="3">
        <f>IF(D25&lt;&gt;0, E25/D25, 0)</f>
        <v>0.76300000000000001</v>
      </c>
      <c r="H25" s="3">
        <f>IF(D25&lt;&gt;0, F25/D25, 0)</f>
        <v>0.946353</v>
      </c>
      <c r="I25" s="3">
        <f>SUMIF(recipes!K:K,A25,recipes!R:R)</f>
        <v>0.28612498367337558</v>
      </c>
      <c r="J25" s="3">
        <f>SUMIF(recipes!K:K,A25,recipes!S:S)</f>
        <v>0</v>
      </c>
      <c r="K25" s="3">
        <f>SUMIF(recipes!K:K,A25,recipes!T:T)</f>
        <v>0</v>
      </c>
      <c r="L25" s="96">
        <f>COUNTIF(recipes!K:K,A25)</f>
        <v>1</v>
      </c>
      <c r="M25" s="3"/>
    </row>
    <row r="26" spans="1:13" s="31" customFormat="1" x14ac:dyDescent="0.2">
      <c r="A26" s="18" t="s">
        <v>45</v>
      </c>
      <c r="B26" s="35" t="s">
        <v>207</v>
      </c>
      <c r="C26" s="4" t="s">
        <v>100</v>
      </c>
      <c r="D26" s="4">
        <v>1</v>
      </c>
      <c r="E26" s="4">
        <v>0.80800000000000005</v>
      </c>
      <c r="F26" s="4">
        <v>0.946353</v>
      </c>
      <c r="G26" s="3">
        <f>IF(D26&lt;&gt;0, E26/D26, 0)</f>
        <v>0.80800000000000005</v>
      </c>
      <c r="H26" s="3">
        <f>IF(D26&lt;&gt;0, F26/D26, 0)</f>
        <v>0.946353</v>
      </c>
      <c r="I26" s="3">
        <f>SUMIF(recipes!K:K,A26,recipes!R:R)</f>
        <v>0.70699995965775986</v>
      </c>
      <c r="J26" s="3">
        <f>SUMIF(recipes!K:K,A26,recipes!S:S)</f>
        <v>0</v>
      </c>
      <c r="K26" s="3">
        <f>SUMIF(recipes!K:K,A26,recipes!T:T)</f>
        <v>0</v>
      </c>
      <c r="L26" s="96">
        <f>COUNTIF(recipes!K:K,A26)</f>
        <v>1</v>
      </c>
      <c r="M26" s="3"/>
    </row>
    <row r="27" spans="1:13" s="31" customFormat="1" x14ac:dyDescent="0.2">
      <c r="A27" s="18" t="s">
        <v>289</v>
      </c>
      <c r="B27" s="35"/>
      <c r="C27" s="4" t="s">
        <v>289</v>
      </c>
      <c r="D27" s="4"/>
      <c r="E27" s="4"/>
      <c r="F27" s="4"/>
      <c r="G27" s="3">
        <f>IF(D27&lt;&gt;0, E27/D27, 0)</f>
        <v>0</v>
      </c>
      <c r="H27" s="3">
        <f>IF(D27&lt;&gt;0, F27/D27, 0)</f>
        <v>0</v>
      </c>
      <c r="I27" s="3">
        <f>SUMIF(recipes!K:K,A27,recipes!R:R)</f>
        <v>0</v>
      </c>
      <c r="J27" s="3">
        <f>SUMIF(recipes!K:K,A27,recipes!S:S)</f>
        <v>1.478676478125E-2</v>
      </c>
      <c r="K27" s="3">
        <f>SUMIF(recipes!K:K,A27,recipes!T:T)</f>
        <v>0</v>
      </c>
      <c r="L27" s="96">
        <f>COUNTIF(recipes!K:K,A27)</f>
        <v>1</v>
      </c>
      <c r="M27" s="3"/>
    </row>
    <row r="28" spans="1:13" x14ac:dyDescent="0.2">
      <c r="A28" s="18" t="s">
        <v>7</v>
      </c>
      <c r="B28" s="35" t="s">
        <v>207</v>
      </c>
      <c r="C28" s="4" t="s">
        <v>203</v>
      </c>
      <c r="D28" s="4">
        <v>1</v>
      </c>
      <c r="E28" s="4">
        <v>0.84699999999999998</v>
      </c>
      <c r="F28" s="4">
        <v>0.946353</v>
      </c>
      <c r="G28" s="3">
        <f>IF(D28&lt;&gt;0, E28/D28, 0)</f>
        <v>0.84699999999999998</v>
      </c>
      <c r="H28" s="3">
        <f>IF(D28&lt;&gt;0, F28/D28, 0)</f>
        <v>0.946353</v>
      </c>
      <c r="I28" s="3">
        <f>SUMIF(recipes!K:K,A28,recipes!R:R)</f>
        <v>1.0587499395864968</v>
      </c>
      <c r="J28" s="3">
        <f>SUMIF(recipes!K:K,A28,recipes!S:S)</f>
        <v>0</v>
      </c>
      <c r="K28" s="3">
        <f>SUMIF(recipes!K:K,A28,recipes!T:T)</f>
        <v>0</v>
      </c>
      <c r="L28" s="96">
        <f>COUNTIF(recipes!K:K,A28)</f>
        <v>2</v>
      </c>
      <c r="M28" s="3"/>
    </row>
    <row r="29" spans="1:13" s="31" customFormat="1" x14ac:dyDescent="0.2">
      <c r="A29" s="18" t="s">
        <v>83</v>
      </c>
      <c r="B29" s="35" t="s">
        <v>206</v>
      </c>
      <c r="C29" s="4" t="s">
        <v>84</v>
      </c>
      <c r="D29" s="4"/>
      <c r="E29" s="4"/>
      <c r="F29" s="4"/>
      <c r="G29" s="3">
        <f>IF(D29&lt;&gt;0, E29/D29, 0)</f>
        <v>0</v>
      </c>
      <c r="H29" s="3">
        <f>IF(D29&lt;&gt;0, F29/D29, 0)</f>
        <v>0</v>
      </c>
      <c r="I29" s="3">
        <f>SUMIF(recipes!K:K,A29,recipes!R:R)</f>
        <v>0</v>
      </c>
      <c r="J29" s="3">
        <f>SUMIF(recipes!K:K,A29,recipes!S:S)</f>
        <v>0</v>
      </c>
      <c r="K29" s="3">
        <f>SUMIF(recipes!K:K,A29,recipes!T:T)</f>
        <v>0</v>
      </c>
      <c r="L29" s="96">
        <f>COUNTIF(recipes!K:K,A29)</f>
        <v>1</v>
      </c>
      <c r="M29" s="3"/>
    </row>
    <row r="30" spans="1:13" x14ac:dyDescent="0.2">
      <c r="A30" s="18" t="s">
        <v>398</v>
      </c>
      <c r="B30" s="35" t="s">
        <v>206</v>
      </c>
      <c r="C30" s="4" t="s">
        <v>79</v>
      </c>
      <c r="D30" s="4"/>
      <c r="E30" s="4"/>
      <c r="F30" s="4"/>
      <c r="G30" s="3">
        <f>IF(D30&lt;&gt;0, E30/D30, 0)</f>
        <v>0</v>
      </c>
      <c r="H30" s="3">
        <f>IF(D30&lt;&gt;0, F30/D30, 0)</f>
        <v>0</v>
      </c>
      <c r="I30" s="3">
        <f>SUMIF(recipes!K:K,A30,recipes!R:R)</f>
        <v>0</v>
      </c>
      <c r="J30" s="3">
        <f>SUMIF(recipes!K:K,A30,recipes!S:S)</f>
        <v>2.2180147171874998E-2</v>
      </c>
      <c r="K30" s="3">
        <f>SUMIF(recipes!K:K,A30,recipes!T:T)</f>
        <v>0</v>
      </c>
      <c r="L30" s="96">
        <f>COUNTIF(recipes!K:K,A30)</f>
        <v>1</v>
      </c>
      <c r="M30" s="3"/>
    </row>
    <row r="31" spans="1:13" x14ac:dyDescent="0.2">
      <c r="A31" s="18" t="s">
        <v>87</v>
      </c>
      <c r="B31" s="35"/>
      <c r="C31" s="4" t="s">
        <v>79</v>
      </c>
      <c r="D31" s="4"/>
      <c r="E31" s="4"/>
      <c r="F31" s="4"/>
      <c r="G31" s="3">
        <f>IF(D31&lt;&gt;0, E31/D31, 0)</f>
        <v>0</v>
      </c>
      <c r="H31" s="3">
        <f>IF(D31&lt;&gt;0, F31/D31, 0)</f>
        <v>0</v>
      </c>
      <c r="I31" s="3">
        <f>SUMIF(recipes!K:K,A31,recipes!R:R)</f>
        <v>0</v>
      </c>
      <c r="J31" s="3">
        <f>SUMIF(recipes!K:K,A31,recipes!S:S)</f>
        <v>0</v>
      </c>
      <c r="K31" s="3">
        <f>SUMIF(recipes!K:K,A31,recipes!T:T)</f>
        <v>0</v>
      </c>
      <c r="L31" s="96">
        <f>COUNTIF(recipes!K:K,A31)</f>
        <v>2</v>
      </c>
      <c r="M31" s="3"/>
    </row>
    <row r="32" spans="1:13" x14ac:dyDescent="0.2">
      <c r="A32" s="18" t="s">
        <v>321</v>
      </c>
      <c r="B32" s="35"/>
      <c r="C32" s="4" t="s">
        <v>321</v>
      </c>
      <c r="D32" s="4"/>
      <c r="E32" s="4"/>
      <c r="F32" s="4"/>
      <c r="G32" s="3">
        <f>IF(D32&lt;&gt;0, E32/D32, 0)</f>
        <v>0</v>
      </c>
      <c r="H32" s="3">
        <f>IF(D32&lt;&gt;0, F32/D32, 0)</f>
        <v>0</v>
      </c>
      <c r="I32" s="3">
        <f>SUMIF(recipes!K:K,A32,recipes!R:R)</f>
        <v>0</v>
      </c>
      <c r="J32" s="3">
        <f>SUMIF(recipes!K:K,A32,recipes!S:S)</f>
        <v>0</v>
      </c>
      <c r="K32" s="3">
        <f>SUMIF(recipes!K:K,A32,recipes!T:T)</f>
        <v>0</v>
      </c>
      <c r="L32" s="96">
        <f>COUNTIF(recipes!K:K,A32)</f>
        <v>1</v>
      </c>
      <c r="M32" s="3"/>
    </row>
    <row r="33" spans="1:14" s="31" customFormat="1" x14ac:dyDescent="0.2">
      <c r="A33" s="18" t="s">
        <v>88</v>
      </c>
      <c r="B33" s="35"/>
      <c r="C33" s="4" t="s">
        <v>91</v>
      </c>
      <c r="D33" s="4"/>
      <c r="E33" s="4"/>
      <c r="F33" s="4"/>
      <c r="G33" s="3">
        <f>IF(D33&lt;&gt;0, E33/D33, 0)</f>
        <v>0</v>
      </c>
      <c r="H33" s="3">
        <f>IF(D33&lt;&gt;0, F33/D33, 0)</f>
        <v>0</v>
      </c>
      <c r="I33" s="3">
        <f>SUMIF(recipes!K:K,A33,recipes!R:R)</f>
        <v>0</v>
      </c>
      <c r="J33" s="3">
        <f>SUMIF(recipes!K:K,A33,recipes!S:S)</f>
        <v>0</v>
      </c>
      <c r="K33" s="3">
        <f>SUMIF(recipes!K:K,A33,recipes!T:T)</f>
        <v>2.5</v>
      </c>
      <c r="L33" s="96">
        <f>COUNTIF(recipes!K:K,A33)</f>
        <v>1</v>
      </c>
      <c r="M33" s="3"/>
    </row>
    <row r="34" spans="1:14" s="31" customFormat="1" x14ac:dyDescent="0.2">
      <c r="A34" s="18" t="s">
        <v>320</v>
      </c>
      <c r="B34" s="35"/>
      <c r="C34" s="4" t="s">
        <v>320</v>
      </c>
      <c r="D34" s="4"/>
      <c r="E34" s="4"/>
      <c r="F34" s="4"/>
      <c r="G34" s="3">
        <f>IF(D34&lt;&gt;0, E34/D34, 0)</f>
        <v>0</v>
      </c>
      <c r="H34" s="3">
        <f>IF(D34&lt;&gt;0, F34/D34, 0)</f>
        <v>0</v>
      </c>
      <c r="I34" s="3">
        <f>SUMIF(recipes!K:K,A34,recipes!R:R)</f>
        <v>0</v>
      </c>
      <c r="J34" s="3">
        <f>SUMIF(recipes!K:K,A34,recipes!S:S)</f>
        <v>0</v>
      </c>
      <c r="K34" s="3">
        <f>SUMIF(recipes!K:K,A34,recipes!T:T)</f>
        <v>0</v>
      </c>
      <c r="L34" s="96">
        <f>COUNTIF(recipes!K:K,A34)</f>
        <v>1</v>
      </c>
      <c r="M34" s="3"/>
    </row>
    <row r="35" spans="1:14" x14ac:dyDescent="0.2">
      <c r="A35" s="18" t="s">
        <v>89</v>
      </c>
      <c r="B35" s="35"/>
      <c r="C35" s="4" t="s">
        <v>92</v>
      </c>
      <c r="D35" s="4"/>
      <c r="E35" s="4"/>
      <c r="F35" s="4"/>
      <c r="G35" s="3">
        <f>IF(D35&lt;&gt;0, E35/D35, 0)</f>
        <v>0</v>
      </c>
      <c r="H35" s="3">
        <f>IF(D35&lt;&gt;0, F35/D35, 0)</f>
        <v>0</v>
      </c>
      <c r="I35" s="3">
        <f>SUMIF(recipes!K:K,A35,recipes!R:R)</f>
        <v>0</v>
      </c>
      <c r="J35" s="3">
        <f>SUMIF(recipes!K:K,A35,recipes!S:S)</f>
        <v>0</v>
      </c>
      <c r="K35" s="3">
        <f>SUMIF(recipes!K:K,A35,recipes!T:T)</f>
        <v>2.5</v>
      </c>
      <c r="L35" s="96">
        <f>COUNTIF(recipes!K:K,A35)</f>
        <v>1</v>
      </c>
      <c r="M35" s="3"/>
    </row>
    <row r="36" spans="1:14" x14ac:dyDescent="0.2">
      <c r="A36" s="18" t="s">
        <v>10</v>
      </c>
      <c r="B36" s="35"/>
      <c r="C36" s="4" t="s">
        <v>10</v>
      </c>
      <c r="D36" s="4">
        <v>1</v>
      </c>
      <c r="E36" s="4">
        <v>0.01</v>
      </c>
      <c r="F36" s="4">
        <v>2.2180100000000001E-2</v>
      </c>
      <c r="G36" s="3">
        <f>IF(D36&lt;&gt;0, E36/D36, 0)</f>
        <v>0.01</v>
      </c>
      <c r="H36" s="3">
        <f>IF(D36&lt;&gt;0, F36/D36, 0)</f>
        <v>2.2180100000000001E-2</v>
      </c>
      <c r="I36" s="3">
        <f>SUMIF(recipes!K:K,A36,recipes!R:R)</f>
        <v>2.5000053169141483E-2</v>
      </c>
      <c r="J36" s="3">
        <f>SUMIF(recipes!K:K,A36,recipes!S:S)</f>
        <v>0</v>
      </c>
      <c r="K36" s="3">
        <f>SUMIF(recipes!K:K,A36,recipes!T:T)</f>
        <v>0</v>
      </c>
      <c r="L36" s="96">
        <f>COUNTIF(recipes!K:K,A36)</f>
        <v>1</v>
      </c>
      <c r="M36" s="3"/>
    </row>
    <row r="37" spans="1:14" x14ac:dyDescent="0.2">
      <c r="A37" s="18" t="s">
        <v>8</v>
      </c>
      <c r="B37" s="35"/>
      <c r="C37" s="4" t="s">
        <v>69</v>
      </c>
      <c r="D37" s="4"/>
      <c r="E37" s="4"/>
      <c r="F37" s="4"/>
      <c r="G37" s="3">
        <f>IF(D37&lt;&gt;0, E37/D37, 0)</f>
        <v>0</v>
      </c>
      <c r="H37" s="3">
        <f>IF(D37&lt;&gt;0, F37/D37, 0)</f>
        <v>0</v>
      </c>
      <c r="I37" s="3">
        <f>SUMIF(recipes!K:K,A37,recipes!R:R)</f>
        <v>0</v>
      </c>
      <c r="J37" s="3">
        <f>SUMIF(recipes!K:K,A37,recipes!S:S)</f>
        <v>0</v>
      </c>
      <c r="K37" s="3">
        <f>SUMIF(recipes!K:K,A37,recipes!T:T)</f>
        <v>29</v>
      </c>
      <c r="L37" s="96">
        <f>COUNTIF(recipes!K:K,A37)</f>
        <v>6</v>
      </c>
      <c r="M37" s="3"/>
    </row>
    <row r="38" spans="1:14" x14ac:dyDescent="0.2">
      <c r="A38" s="18" t="s">
        <v>231</v>
      </c>
      <c r="B38" s="35" t="s">
        <v>206</v>
      </c>
      <c r="C38" s="4" t="s">
        <v>70</v>
      </c>
      <c r="D38" s="3"/>
      <c r="E38" s="3"/>
      <c r="F38" s="3"/>
      <c r="G38" s="3">
        <f>IF(D38&lt;&gt;0, E38/D38, 0)</f>
        <v>0</v>
      </c>
      <c r="H38" s="3">
        <f>IF(D38&lt;&gt;0, F38/D38, 0)</f>
        <v>0</v>
      </c>
      <c r="I38" s="3">
        <f>SUMIF(recipes!K:K,A38,recipes!R:R)</f>
        <v>0</v>
      </c>
      <c r="J38" s="3">
        <f>SUMIF(recipes!K:K,A38,recipes!S:S)</f>
        <v>0.42142279626562501</v>
      </c>
      <c r="K38" s="3">
        <f>SUMIF(recipes!K:K,A38,recipes!T:T)</f>
        <v>0</v>
      </c>
      <c r="L38" s="96">
        <f>COUNTIF(recipes!K:K,A38)</f>
        <v>8</v>
      </c>
      <c r="M38" s="3"/>
    </row>
    <row r="39" spans="1:14" x14ac:dyDescent="0.2">
      <c r="A39" s="18" t="s">
        <v>196</v>
      </c>
      <c r="B39" s="35"/>
      <c r="C39" s="4" t="s">
        <v>196</v>
      </c>
      <c r="D39" s="4"/>
      <c r="E39" s="4"/>
      <c r="F39" s="4"/>
      <c r="G39" s="3">
        <f>IF(D39&lt;&gt;0, E39/D39, 0)</f>
        <v>0</v>
      </c>
      <c r="H39" s="3">
        <f>IF(D39&lt;&gt;0, F39/D39, 0)</f>
        <v>0</v>
      </c>
      <c r="I39" s="3">
        <f>SUMIF(recipes!K:K,A39,recipes!R:R)</f>
        <v>0</v>
      </c>
      <c r="J39" s="3">
        <f>SUMIF(recipes!K:K,A39,recipes!S:S)</f>
        <v>0.17744117737499998</v>
      </c>
      <c r="K39" s="3">
        <f>SUMIF(recipes!K:K,A39,recipes!T:T)</f>
        <v>0</v>
      </c>
      <c r="L39" s="96">
        <f>COUNTIF(recipes!K:K,A39)</f>
        <v>1</v>
      </c>
      <c r="M39" s="3"/>
    </row>
    <row r="40" spans="1:14" s="31" customFormat="1" x14ac:dyDescent="0.2">
      <c r="A40" s="18" t="s">
        <v>441</v>
      </c>
      <c r="B40" s="35"/>
      <c r="C40" s="4" t="s">
        <v>441</v>
      </c>
      <c r="D40" s="4"/>
      <c r="E40" s="4"/>
      <c r="F40" s="4"/>
      <c r="G40" s="3">
        <f>IF(D40&lt;&gt;0, E40/D40, 0)</f>
        <v>0</v>
      </c>
      <c r="H40" s="3">
        <f>IF(D40&lt;&gt;0, F40/D40, 0)</f>
        <v>0</v>
      </c>
      <c r="I40" s="3">
        <f>SUMIF(recipes!K:K,A40,recipes!R:R)</f>
        <v>0</v>
      </c>
      <c r="J40" s="3">
        <f>SUMIF(recipes!K:K,A40,recipes!S:S)</f>
        <v>0</v>
      </c>
      <c r="K40" s="3">
        <f>SUMIF(recipes!K:K,A40,recipes!T:T)</f>
        <v>0</v>
      </c>
      <c r="L40" s="96">
        <f>COUNTIF(recipes!K:K,A40)</f>
        <v>1</v>
      </c>
      <c r="M40" s="3"/>
    </row>
    <row r="41" spans="1:14" x14ac:dyDescent="0.2">
      <c r="A41" s="18" t="s">
        <v>182</v>
      </c>
      <c r="B41" s="35"/>
      <c r="C41" s="4" t="s">
        <v>182</v>
      </c>
      <c r="D41" s="4"/>
      <c r="E41" s="4"/>
      <c r="F41" s="4"/>
      <c r="G41" s="3">
        <f>IF(D41&lt;&gt;0, E41/D41, 0)</f>
        <v>0</v>
      </c>
      <c r="H41" s="3">
        <f>IF(D41&lt;&gt;0, F41/D41, 0)</f>
        <v>0</v>
      </c>
      <c r="I41" s="3">
        <f>SUMIF(recipes!K:K,A41,recipes!R:R)</f>
        <v>0.75</v>
      </c>
      <c r="J41" s="3">
        <f>SUMIF(recipes!K:K,A41,recipes!S:S)</f>
        <v>0</v>
      </c>
      <c r="K41" s="3">
        <f>SUMIF(recipes!K:K,A41,recipes!T:T)</f>
        <v>0</v>
      </c>
      <c r="L41" s="96">
        <f>COUNTIF(recipes!K:K,A41)</f>
        <v>1</v>
      </c>
      <c r="M41" s="3"/>
    </row>
    <row r="42" spans="1:14" x14ac:dyDescent="0.2">
      <c r="A42" s="18" t="s">
        <v>225</v>
      </c>
      <c r="B42" s="35" t="s">
        <v>206</v>
      </c>
      <c r="C42" s="4" t="s">
        <v>165</v>
      </c>
      <c r="D42" s="4"/>
      <c r="E42" s="4"/>
      <c r="F42" s="4"/>
      <c r="G42" s="3">
        <f>IF(D42&lt;&gt;0, E42/D42, 0)</f>
        <v>0</v>
      </c>
      <c r="H42" s="3">
        <f>IF(D42&lt;&gt;0, F42/D42, 0)</f>
        <v>0</v>
      </c>
      <c r="I42" s="3">
        <f>SUMIF(recipes!K:K,A42,recipes!R:R)</f>
        <v>0</v>
      </c>
      <c r="J42" s="3">
        <f>SUMIF(recipes!K:K,A42,recipes!S:S)</f>
        <v>0</v>
      </c>
      <c r="K42" s="3">
        <f>SUMIF(recipes!K:K,A42,recipes!T:T)</f>
        <v>0</v>
      </c>
      <c r="L42" s="96">
        <f>COUNTIF(recipes!K:K,A42)</f>
        <v>1</v>
      </c>
      <c r="M42" s="3"/>
    </row>
    <row r="43" spans="1:14" x14ac:dyDescent="0.2">
      <c r="A43" s="18" t="s">
        <v>319</v>
      </c>
      <c r="B43" s="35" t="s">
        <v>206</v>
      </c>
      <c r="C43" s="4" t="s">
        <v>165</v>
      </c>
      <c r="D43" s="4"/>
      <c r="E43" s="4"/>
      <c r="F43" s="4"/>
      <c r="G43" s="3">
        <f>IF(D43&lt;&gt;0, E43/D43, 0)</f>
        <v>0</v>
      </c>
      <c r="H43" s="3">
        <f>IF(D43&lt;&gt;0, F43/D43, 0)</f>
        <v>0</v>
      </c>
      <c r="I43" s="3">
        <f>SUMIF(recipes!K:K,A43,recipes!R:R)</f>
        <v>0</v>
      </c>
      <c r="J43" s="3">
        <f>SUMIF(recipes!K:K,A43,recipes!S:S)</f>
        <v>0</v>
      </c>
      <c r="K43" s="3">
        <f>SUMIF(recipes!K:K,A43,recipes!T:T)</f>
        <v>3.3</v>
      </c>
      <c r="L43" s="96">
        <f>COUNTIF(recipes!K:K,A43)</f>
        <v>1</v>
      </c>
      <c r="M43" s="3"/>
    </row>
    <row r="44" spans="1:14" s="31" customFormat="1" x14ac:dyDescent="0.2">
      <c r="A44" s="18" t="s">
        <v>50</v>
      </c>
      <c r="B44" s="35" t="s">
        <v>206</v>
      </c>
      <c r="C44" s="4" t="s">
        <v>49</v>
      </c>
      <c r="D44" s="4"/>
      <c r="E44" s="4"/>
      <c r="F44" s="4"/>
      <c r="G44" s="3">
        <f>IF(D44&lt;&gt;0, E44/D44, 0)</f>
        <v>0</v>
      </c>
      <c r="H44" s="3">
        <f>IF(D44&lt;&gt;0, F44/D44, 0)</f>
        <v>0</v>
      </c>
      <c r="I44" s="3">
        <f>SUMIF(recipes!K:K,A44,recipes!R:R)</f>
        <v>0</v>
      </c>
      <c r="J44" s="3">
        <f>SUMIF(recipes!K:K,A44,recipes!S:S)</f>
        <v>0</v>
      </c>
      <c r="K44" s="3">
        <f>SUMIF(recipes!K:K,A44,recipes!T:T)</f>
        <v>2.5</v>
      </c>
      <c r="L44" s="96">
        <f>COUNTIF(recipes!K:K,A44)</f>
        <v>1</v>
      </c>
      <c r="M44" s="3"/>
    </row>
    <row r="45" spans="1:14" x14ac:dyDescent="0.2">
      <c r="A45" s="18" t="s">
        <v>80</v>
      </c>
      <c r="B45" s="35"/>
      <c r="C45" s="4" t="s">
        <v>80</v>
      </c>
      <c r="D45" s="4">
        <v>1</v>
      </c>
      <c r="E45" s="4">
        <v>1.0999999999999999E-2</v>
      </c>
      <c r="F45" s="4">
        <v>2.2180100000000001E-2</v>
      </c>
      <c r="G45" s="3">
        <f>IF(D45&lt;&gt;0, E45/D45, 0)</f>
        <v>1.0999999999999999E-2</v>
      </c>
      <c r="H45" s="3">
        <f>IF(D45&lt;&gt;0, F45/D45, 0)</f>
        <v>2.2180100000000001E-2</v>
      </c>
      <c r="I45" s="3">
        <f>SUMIF(recipes!K:K,A45,recipes!R:R)</f>
        <v>0</v>
      </c>
      <c r="J45" s="3">
        <f>SUMIF(recipes!K:K,A45,recipes!S:S)</f>
        <v>0</v>
      </c>
      <c r="K45" s="3">
        <f>SUMIF(recipes!K:K,A45,recipes!T:T)</f>
        <v>0</v>
      </c>
      <c r="L45" s="96">
        <f>COUNTIF(recipes!K:K,A45)</f>
        <v>4</v>
      </c>
      <c r="M45" s="3"/>
    </row>
    <row r="46" spans="1:14" s="31" customFormat="1" x14ac:dyDescent="0.2">
      <c r="A46" s="18" t="s">
        <v>156</v>
      </c>
      <c r="B46" s="35"/>
      <c r="C46" s="4" t="s">
        <v>156</v>
      </c>
      <c r="D46" s="4"/>
      <c r="E46" s="4"/>
      <c r="F46" s="4"/>
      <c r="G46" s="3">
        <f>IF(D46&lt;&gt;0, E46/D46, 0)</f>
        <v>0</v>
      </c>
      <c r="H46" s="3">
        <f>IF(D46&lt;&gt;0, F46/D46, 0)</f>
        <v>0</v>
      </c>
      <c r="I46" s="3">
        <f>SUMIF(recipes!K:K,A46,recipes!R:R)</f>
        <v>0</v>
      </c>
      <c r="J46" s="3">
        <f>SUMIF(recipes!K:K,A46,recipes!S:S)</f>
        <v>3.3270220757812496E-2</v>
      </c>
      <c r="K46" s="3">
        <f>SUMIF(recipes!K:K,A46,recipes!T:T)</f>
        <v>0</v>
      </c>
      <c r="L46" s="96">
        <f>COUNTIF(recipes!K:K,A46)</f>
        <v>2</v>
      </c>
      <c r="M46" s="3"/>
      <c r="N46" s="1"/>
    </row>
    <row r="47" spans="1:14" s="31" customFormat="1" x14ac:dyDescent="0.2">
      <c r="A47" s="18" t="s">
        <v>14</v>
      </c>
      <c r="B47" s="35"/>
      <c r="C47" s="4" t="s">
        <v>14</v>
      </c>
      <c r="D47" s="4">
        <v>1</v>
      </c>
      <c r="E47" s="4">
        <v>1.0999999999999999E-2</v>
      </c>
      <c r="F47" s="4">
        <v>2.2180100000000001E-2</v>
      </c>
      <c r="G47" s="3">
        <f>IF(D47&lt;&gt;0, E47/D47, 0)</f>
        <v>1.0999999999999999E-2</v>
      </c>
      <c r="H47" s="3">
        <f>IF(D47&lt;&gt;0, F47/D47, 0)</f>
        <v>2.2180100000000001E-2</v>
      </c>
      <c r="I47" s="3">
        <f>SUMIF(recipes!K:K,A47,recipes!R:R)</f>
        <v>2.5666721253651922E-2</v>
      </c>
      <c r="J47" s="3">
        <f>SUMIF(recipes!K:K,A47,recipes!S:S)</f>
        <v>0</v>
      </c>
      <c r="K47" s="3">
        <f>SUMIF(recipes!K:K,A47,recipes!T:T)</f>
        <v>0</v>
      </c>
      <c r="L47" s="96">
        <f>COUNTIF(recipes!K:K,A47)</f>
        <v>3</v>
      </c>
      <c r="M47" s="3"/>
    </row>
    <row r="48" spans="1:14" x14ac:dyDescent="0.2">
      <c r="A48" s="18" t="s">
        <v>316</v>
      </c>
      <c r="B48" s="35"/>
      <c r="C48" s="4" t="s">
        <v>316</v>
      </c>
      <c r="D48" s="4">
        <v>1</v>
      </c>
      <c r="E48" s="4">
        <v>1.4E-2</v>
      </c>
      <c r="F48" s="4">
        <v>2.2180100000000001E-2</v>
      </c>
      <c r="G48" s="3">
        <f>IF(D48&lt;&gt;0, E48/D48, 0)</f>
        <v>1.4E-2</v>
      </c>
      <c r="H48" s="3">
        <f>IF(D48&lt;&gt;0, F48/D48, 0)</f>
        <v>2.2180100000000001E-2</v>
      </c>
      <c r="I48" s="3">
        <f>SUMIF(recipes!K:K,A48,recipes!R:R)</f>
        <v>6.9222369441667306E-2</v>
      </c>
      <c r="J48" s="3">
        <f>SUMIF(recipes!K:K,A48,recipes!S:S)</f>
        <v>0</v>
      </c>
      <c r="K48" s="3">
        <f>SUMIF(recipes!K:K,A48,recipes!T:T)</f>
        <v>0</v>
      </c>
      <c r="L48" s="96">
        <f>COUNTIF(recipes!K:K,A48)</f>
        <v>6</v>
      </c>
      <c r="M48" s="3"/>
      <c r="N48" s="31"/>
    </row>
    <row r="49" spans="1:14" x14ac:dyDescent="0.2">
      <c r="A49" s="18" t="s">
        <v>158</v>
      </c>
      <c r="B49" s="35" t="s">
        <v>206</v>
      </c>
      <c r="C49" s="4" t="s">
        <v>3</v>
      </c>
      <c r="D49" s="3">
        <v>1</v>
      </c>
      <c r="E49" s="3">
        <v>0.34</v>
      </c>
      <c r="F49" s="6"/>
      <c r="G49" s="3">
        <f>IF(D49&lt;&gt;0, E49/D49, 0)</f>
        <v>0.34</v>
      </c>
      <c r="H49" s="3">
        <f>IF(D49&lt;&gt;0, F49/D49, 0)</f>
        <v>0</v>
      </c>
      <c r="I49" s="3">
        <f>SUMIF(recipes!K:K,A49,recipes!R:R)</f>
        <v>7.2249999999999996</v>
      </c>
      <c r="J49" s="3">
        <f>SUMIF(recipes!K:K,A49,recipes!S:S)</f>
        <v>0.70976470949999992</v>
      </c>
      <c r="K49" s="3">
        <f>SUMIF(recipes!K:K,A49,recipes!T:T)</f>
        <v>0</v>
      </c>
      <c r="L49" s="96">
        <f>COUNTIF(recipes!K:K,A49)</f>
        <v>4</v>
      </c>
      <c r="M49" s="3"/>
    </row>
    <row r="50" spans="1:14" x14ac:dyDescent="0.2">
      <c r="A50" s="18" t="s">
        <v>430</v>
      </c>
      <c r="B50" s="35"/>
      <c r="C50" s="4" t="s">
        <v>430</v>
      </c>
      <c r="D50" s="4"/>
      <c r="E50" s="4"/>
      <c r="F50" s="4"/>
      <c r="G50" s="3">
        <f>IF(D50&lt;&gt;0, E50/D50, 0)</f>
        <v>0</v>
      </c>
      <c r="H50" s="3">
        <f>IF(D50&lt;&gt;0, F50/D50, 0)</f>
        <v>0</v>
      </c>
      <c r="I50" s="3">
        <f>SUMIF(recipes!K:K,A50,recipes!R:R)</f>
        <v>0</v>
      </c>
      <c r="J50" s="3">
        <f>SUMIF(recipes!K:K,A50,recipes!S:S)</f>
        <v>0</v>
      </c>
      <c r="K50" s="3">
        <f>SUMIF(recipes!K:K,A50,recipes!T:T)</f>
        <v>1.925</v>
      </c>
      <c r="L50" s="96">
        <f>COUNTIF(recipes!K:K,A50)</f>
        <v>1</v>
      </c>
      <c r="M50" s="3"/>
    </row>
    <row r="51" spans="1:14" x14ac:dyDescent="0.2">
      <c r="A51" s="18" t="s">
        <v>394</v>
      </c>
      <c r="B51" s="35"/>
      <c r="C51" s="4" t="s">
        <v>162</v>
      </c>
      <c r="D51" s="4"/>
      <c r="E51" s="4"/>
      <c r="F51" s="4"/>
      <c r="G51" s="3">
        <f>IF(D51&lt;&gt;0, E51/D51, 0)</f>
        <v>0</v>
      </c>
      <c r="H51" s="3">
        <f>IF(D51&lt;&gt;0, F51/D51, 0)</f>
        <v>0</v>
      </c>
      <c r="I51" s="3">
        <f>SUMIF(recipes!K:K,A51,recipes!R:R)</f>
        <v>0</v>
      </c>
      <c r="J51" s="3">
        <f>SUMIF(recipes!K:K,A51,recipes!S:S)</f>
        <v>0</v>
      </c>
      <c r="K51" s="3">
        <f>SUMIF(recipes!K:K,A51,recipes!T:T)</f>
        <v>1.25</v>
      </c>
      <c r="L51" s="96">
        <f>COUNTIF(recipes!K:K,A51)</f>
        <v>1</v>
      </c>
      <c r="M51" s="3"/>
    </row>
    <row r="52" spans="1:14" s="31" customFormat="1" x14ac:dyDescent="0.2">
      <c r="A52" s="18" t="s">
        <v>414</v>
      </c>
      <c r="B52" s="35" t="s">
        <v>206</v>
      </c>
      <c r="C52" s="4" t="s">
        <v>166</v>
      </c>
      <c r="D52" s="3">
        <v>1</v>
      </c>
      <c r="E52" s="3">
        <v>0.84399999999999997</v>
      </c>
      <c r="F52" s="3"/>
      <c r="G52" s="3">
        <f>IF(D52&lt;&gt;0, E52/D52, 0)</f>
        <v>0.84399999999999997</v>
      </c>
      <c r="H52" s="3">
        <f>IF(D52&lt;&gt;0, F52/D52, 0)</f>
        <v>0</v>
      </c>
      <c r="I52" s="3">
        <f>SUMIF(recipes!K:K,A52,recipes!R:R)</f>
        <v>5.5703999999999994</v>
      </c>
      <c r="J52" s="3">
        <f>SUMIF(recipes!K:K,A52,recipes!S:S)</f>
        <v>0</v>
      </c>
      <c r="K52" s="3">
        <f>SUMIF(recipes!K:K,A52,recipes!T:T)</f>
        <v>0</v>
      </c>
      <c r="L52" s="96">
        <f>COUNTIF(recipes!K:K,A52)</f>
        <v>1</v>
      </c>
      <c r="M52" s="3"/>
    </row>
    <row r="53" spans="1:14" x14ac:dyDescent="0.2">
      <c r="A53" s="18" t="s">
        <v>395</v>
      </c>
      <c r="B53" s="35" t="s">
        <v>206</v>
      </c>
      <c r="C53" s="4" t="s">
        <v>181</v>
      </c>
      <c r="D53" s="4"/>
      <c r="E53" s="4"/>
      <c r="F53" s="4"/>
      <c r="G53" s="3">
        <f>IF(D53&lt;&gt;0, E53/D53, 0)</f>
        <v>0</v>
      </c>
      <c r="H53" s="3">
        <f>IF(D53&lt;&gt;0, F53/D53, 0)</f>
        <v>0</v>
      </c>
      <c r="I53" s="3">
        <f>SUMIF(recipes!K:K,A53,recipes!R:R)</f>
        <v>0</v>
      </c>
      <c r="J53" s="3">
        <f>SUMIF(recipes!K:K,A53,recipes!S:S)</f>
        <v>0</v>
      </c>
      <c r="K53" s="3">
        <f>SUMIF(recipes!K:K,A53,recipes!T:T)</f>
        <v>3</v>
      </c>
      <c r="L53" s="96">
        <f>COUNTIF(recipes!K:K,A53)</f>
        <v>1</v>
      </c>
      <c r="M53" s="3"/>
    </row>
    <row r="54" spans="1:14" s="31" customFormat="1" x14ac:dyDescent="0.2">
      <c r="A54" s="18" t="s">
        <v>60</v>
      </c>
      <c r="B54" s="35"/>
      <c r="C54" s="4" t="s">
        <v>60</v>
      </c>
      <c r="D54" s="4"/>
      <c r="E54" s="4"/>
      <c r="F54" s="4"/>
      <c r="G54" s="3">
        <f>IF(D54&lt;&gt;0, E54/D54, 0)</f>
        <v>0</v>
      </c>
      <c r="H54" s="3">
        <f>IF(D54&lt;&gt;0, F54/D54, 0)</f>
        <v>0</v>
      </c>
      <c r="I54" s="3">
        <f>SUMIF(recipes!K:K,A54,recipes!R:R)</f>
        <v>0</v>
      </c>
      <c r="J54" s="3">
        <f>SUMIF(recipes!K:K,A54,recipes!S:S)</f>
        <v>4.8056985539062499E-2</v>
      </c>
      <c r="K54" s="3">
        <f>SUMIF(recipes!K:K,A54,recipes!T:T)</f>
        <v>0</v>
      </c>
      <c r="L54" s="96">
        <f>COUNTIF(recipes!K:K,A54)</f>
        <v>1</v>
      </c>
      <c r="M54" s="3"/>
    </row>
    <row r="55" spans="1:14" s="31" customFormat="1" x14ac:dyDescent="0.2">
      <c r="A55" s="18" t="s">
        <v>76</v>
      </c>
      <c r="B55" s="35"/>
      <c r="C55" s="4" t="s">
        <v>76</v>
      </c>
      <c r="D55" s="4"/>
      <c r="E55" s="4"/>
      <c r="F55" s="4"/>
      <c r="G55" s="3">
        <f>IF(D55&lt;&gt;0, E55/D55, 0)</f>
        <v>0</v>
      </c>
      <c r="H55" s="3">
        <f>IF(D55&lt;&gt;0, F55/D55, 0)</f>
        <v>0</v>
      </c>
      <c r="I55" s="3">
        <f>SUMIF(recipes!K:K,A55,recipes!R:R)</f>
        <v>0</v>
      </c>
      <c r="J55" s="3">
        <f>SUMIF(recipes!K:K,A55,recipes!S:S)</f>
        <v>5.9147059124999998E-2</v>
      </c>
      <c r="K55" s="3">
        <f>SUMIF(recipes!K:K,A55,recipes!T:T)</f>
        <v>0</v>
      </c>
      <c r="L55" s="96">
        <f>COUNTIF(recipes!K:K,A55)</f>
        <v>1</v>
      </c>
      <c r="M55" s="3"/>
    </row>
    <row r="56" spans="1:14" x14ac:dyDescent="0.2">
      <c r="A56" s="18" t="s">
        <v>46</v>
      </c>
      <c r="B56" s="35"/>
      <c r="C56" s="4" t="s">
        <v>46</v>
      </c>
      <c r="D56" s="4"/>
      <c r="E56" s="4"/>
      <c r="F56" s="4"/>
      <c r="G56" s="3">
        <f>IF(D56&lt;&gt;0, E56/D56, 0)</f>
        <v>0</v>
      </c>
      <c r="H56" s="3">
        <f>IF(D56&lt;&gt;0, F56/D56, 0)</f>
        <v>0</v>
      </c>
      <c r="I56" s="3">
        <f>SUMIF(recipes!K:K,A56,recipes!R:R)</f>
        <v>0</v>
      </c>
      <c r="J56" s="3">
        <f>SUMIF(recipes!K:K,A56,recipes!S:S)</f>
        <v>0.46578309060937501</v>
      </c>
      <c r="K56" s="3">
        <f>SUMIF(recipes!K:K,A56,recipes!T:T)</f>
        <v>0</v>
      </c>
      <c r="L56" s="96">
        <f>COUNTIF(recipes!K:K,A56)</f>
        <v>7</v>
      </c>
      <c r="M56" s="3"/>
      <c r="N56" s="31"/>
    </row>
    <row r="57" spans="1:14" s="31" customFormat="1" x14ac:dyDescent="0.2">
      <c r="A57" s="18" t="s">
        <v>77</v>
      </c>
      <c r="B57" s="35"/>
      <c r="C57" s="4" t="s">
        <v>77</v>
      </c>
      <c r="D57" s="4"/>
      <c r="E57" s="4"/>
      <c r="F57" s="4"/>
      <c r="G57" s="3">
        <f>IF(D57&lt;&gt;0, E57/D57, 0)</f>
        <v>0</v>
      </c>
      <c r="H57" s="3">
        <f>IF(D57&lt;&gt;0, F57/D57, 0)</f>
        <v>0</v>
      </c>
      <c r="I57" s="3">
        <f>SUMIF(recipes!K:K,A57,recipes!R:R)</f>
        <v>0</v>
      </c>
      <c r="J57" s="3">
        <f>SUMIF(recipes!K:K,A57,recipes!S:S)</f>
        <v>5.9147059124999998E-2</v>
      </c>
      <c r="K57" s="3">
        <f>SUMIF(recipes!K:K,A57,recipes!T:T)</f>
        <v>0</v>
      </c>
      <c r="L57" s="96">
        <f>COUNTIF(recipes!K:K,A57)</f>
        <v>1</v>
      </c>
      <c r="M57" s="3"/>
    </row>
    <row r="58" spans="1:14" x14ac:dyDescent="0.2">
      <c r="A58" s="18" t="s">
        <v>6</v>
      </c>
      <c r="B58" s="35" t="s">
        <v>206</v>
      </c>
      <c r="C58" s="4" t="s">
        <v>66</v>
      </c>
      <c r="D58" s="3">
        <v>2</v>
      </c>
      <c r="E58" s="3">
        <v>0.37</v>
      </c>
      <c r="F58" s="3">
        <v>0.6</v>
      </c>
      <c r="G58" s="3">
        <f>IF(D58&lt;&gt;0, E58/D58, 0)</f>
        <v>0.185</v>
      </c>
      <c r="H58" s="3">
        <f>IF(D58&lt;&gt;0, F58/D58, 0)</f>
        <v>0.3</v>
      </c>
      <c r="I58" s="3">
        <f>SUMIF(recipes!K:K,A58,recipes!R:R)</f>
        <v>1.5725000000000002</v>
      </c>
      <c r="J58" s="3">
        <f>SUMIF(recipes!K:K,A58,recipes!S:S)</f>
        <v>0</v>
      </c>
      <c r="K58" s="3">
        <f>SUMIF(recipes!K:K,A58,recipes!T:T)</f>
        <v>0</v>
      </c>
      <c r="L58" s="96">
        <f>COUNTIF(recipes!K:K,A58)</f>
        <v>4</v>
      </c>
      <c r="M58" s="3"/>
    </row>
    <row r="59" spans="1:14" s="31" customFormat="1" x14ac:dyDescent="0.2">
      <c r="A59" s="18" t="s">
        <v>439</v>
      </c>
      <c r="B59" s="35" t="s">
        <v>206</v>
      </c>
      <c r="C59" s="4" t="s">
        <v>435</v>
      </c>
      <c r="D59" s="4"/>
      <c r="E59" s="4"/>
      <c r="F59" s="4"/>
      <c r="G59" s="3">
        <f>IF(D59&lt;&gt;0, E59/D59, 0)</f>
        <v>0</v>
      </c>
      <c r="H59" s="3">
        <f>IF(D59&lt;&gt;0, F59/D59, 0)</f>
        <v>0</v>
      </c>
      <c r="I59" s="3">
        <f>SUMIF(recipes!K:K,A59,recipes!R:R)</f>
        <v>0</v>
      </c>
      <c r="J59" s="3">
        <f>SUMIF(recipes!K:K,A59,recipes!S:S)</f>
        <v>0</v>
      </c>
      <c r="K59" s="3">
        <f>SUMIF(recipes!K:K,A59,recipes!T:T)</f>
        <v>15.4</v>
      </c>
      <c r="L59" s="96">
        <f>COUNTIF(recipes!K:K,A59)</f>
        <v>1</v>
      </c>
      <c r="M59" s="3"/>
    </row>
    <row r="60" spans="1:14" s="31" customFormat="1" x14ac:dyDescent="0.2">
      <c r="A60" s="18" t="s">
        <v>104</v>
      </c>
      <c r="B60" s="35"/>
      <c r="C60" s="4" t="s">
        <v>104</v>
      </c>
      <c r="D60" s="4">
        <v>1</v>
      </c>
      <c r="E60" s="4">
        <v>1.2E-2</v>
      </c>
      <c r="F60" s="4">
        <v>2.2180100000000001E-2</v>
      </c>
      <c r="G60" s="3">
        <f>IF(D60&lt;&gt;0, E60/D60, 0)</f>
        <v>1.2E-2</v>
      </c>
      <c r="H60" s="3">
        <f>IF(D60&lt;&gt;0, F60/D60, 0)</f>
        <v>2.2180100000000001E-2</v>
      </c>
      <c r="I60" s="3">
        <f>SUMIF(recipes!K:K,A60,recipes!R:R)</f>
        <v>7.3333489296148356E-3</v>
      </c>
      <c r="J60" s="3">
        <f>SUMIF(recipes!K:K,A60,recipes!S:S)</f>
        <v>0</v>
      </c>
      <c r="K60" s="3">
        <f>SUMIF(recipes!K:K,A60,recipes!T:T)</f>
        <v>0</v>
      </c>
      <c r="L60" s="96">
        <f>COUNTIF(recipes!K:K,A60)</f>
        <v>1</v>
      </c>
      <c r="M60" s="3"/>
    </row>
    <row r="61" spans="1:14" s="31" customFormat="1" x14ac:dyDescent="0.2">
      <c r="A61" s="18" t="s">
        <v>109</v>
      </c>
      <c r="B61" s="35"/>
      <c r="C61" s="4" t="s">
        <v>109</v>
      </c>
      <c r="D61" s="4"/>
      <c r="E61" s="4"/>
      <c r="F61" s="4"/>
      <c r="G61" s="3">
        <f>IF(D61&lt;&gt;0, E61/D61, 0)</f>
        <v>0</v>
      </c>
      <c r="H61" s="3">
        <f>IF(D61&lt;&gt;0, F61/D61, 0)</f>
        <v>0</v>
      </c>
      <c r="I61" s="3">
        <f>SUMIF(recipes!K:K,A61,recipes!R:R)</f>
        <v>0</v>
      </c>
      <c r="J61" s="3">
        <f>SUMIF(recipes!K:K,A61,recipes!S:S)</f>
        <v>0.70976470949999992</v>
      </c>
      <c r="K61" s="3">
        <f>SUMIF(recipes!K:K,A61,recipes!T:T)</f>
        <v>0</v>
      </c>
      <c r="L61" s="96">
        <f>COUNTIF(recipes!K:K,A61)</f>
        <v>2</v>
      </c>
      <c r="M61" s="3"/>
    </row>
    <row r="62" spans="1:14" s="31" customFormat="1" x14ac:dyDescent="0.2">
      <c r="A62" s="18" t="s">
        <v>121</v>
      </c>
      <c r="B62" s="35"/>
      <c r="C62" s="4" t="s">
        <v>121</v>
      </c>
      <c r="D62" s="4"/>
      <c r="E62" s="4"/>
      <c r="F62" s="4"/>
      <c r="G62" s="3">
        <f>IF(D62&lt;&gt;0, E62/D62, 0)</f>
        <v>0</v>
      </c>
      <c r="H62" s="3">
        <f>IF(D62&lt;&gt;0, F62/D62, 0)</f>
        <v>0</v>
      </c>
      <c r="I62" s="3">
        <f>SUMIF(recipes!K:K,A62,recipes!R:R)</f>
        <v>0</v>
      </c>
      <c r="J62" s="3">
        <f>SUMIF(recipes!K:K,A62,recipes!S:S)</f>
        <v>0.23658823649999999</v>
      </c>
      <c r="K62" s="3">
        <f>SUMIF(recipes!K:K,A62,recipes!T:T)</f>
        <v>0</v>
      </c>
      <c r="L62" s="96">
        <f>COUNTIF(recipes!K:K,A62)</f>
        <v>1</v>
      </c>
      <c r="M62" s="3"/>
    </row>
    <row r="63" spans="1:14" s="31" customFormat="1" x14ac:dyDescent="0.2">
      <c r="A63" s="18" t="s">
        <v>438</v>
      </c>
      <c r="B63" s="35" t="s">
        <v>206</v>
      </c>
      <c r="C63" s="4" t="s">
        <v>434</v>
      </c>
      <c r="D63" s="4"/>
      <c r="E63" s="4"/>
      <c r="F63" s="4"/>
      <c r="G63" s="3">
        <f>IF(D63&lt;&gt;0, E63/D63, 0)</f>
        <v>0</v>
      </c>
      <c r="H63" s="3">
        <f>IF(D63&lt;&gt;0, F63/D63, 0)</f>
        <v>0</v>
      </c>
      <c r="I63" s="3">
        <f>SUMIF(recipes!K:K,A63,recipes!R:R)</f>
        <v>0</v>
      </c>
      <c r="J63" s="3">
        <f>SUMIF(recipes!K:K,A63,recipes!S:S)</f>
        <v>0</v>
      </c>
      <c r="K63" s="3">
        <f>SUMIF(recipes!K:K,A63,recipes!T:T)</f>
        <v>15.4</v>
      </c>
      <c r="L63" s="96">
        <f>COUNTIF(recipes!K:K,A63)</f>
        <v>1</v>
      </c>
      <c r="M63" s="3"/>
    </row>
    <row r="64" spans="1:14" x14ac:dyDescent="0.2">
      <c r="A64" s="18" t="s">
        <v>4</v>
      </c>
      <c r="B64" s="35" t="s">
        <v>206</v>
      </c>
      <c r="C64" s="4" t="s">
        <v>67</v>
      </c>
      <c r="D64" s="3">
        <v>4</v>
      </c>
      <c r="E64" s="3">
        <v>0.9</v>
      </c>
      <c r="F64" s="3">
        <v>1.35</v>
      </c>
      <c r="G64" s="3">
        <f>IF(D64&lt;&gt;0, E64/D64, 0)</f>
        <v>0.22500000000000001</v>
      </c>
      <c r="H64" s="3">
        <f>IF(D64&lt;&gt;0, F64/D64, 0)</f>
        <v>0.33750000000000002</v>
      </c>
      <c r="I64" s="3">
        <f>SUMIF(recipes!K:K,A64,recipes!R:R)</f>
        <v>4.6749999999999998</v>
      </c>
      <c r="J64" s="3">
        <f>SUMIF(recipes!K:K,A64,recipes!S:S)</f>
        <v>0</v>
      </c>
      <c r="K64" s="3">
        <f>SUMIF(recipes!K:K,A64,recipes!T:T)</f>
        <v>0</v>
      </c>
      <c r="L64" s="96">
        <f>COUNTIF(recipes!K:K,A64)</f>
        <v>3</v>
      </c>
      <c r="M64" s="3"/>
    </row>
    <row r="65" spans="1:14" x14ac:dyDescent="0.2">
      <c r="A65" s="18" t="s">
        <v>399</v>
      </c>
      <c r="B65" s="35" t="s">
        <v>206</v>
      </c>
      <c r="C65" s="4" t="s">
        <v>400</v>
      </c>
      <c r="D65" s="3">
        <v>2</v>
      </c>
      <c r="E65" s="3">
        <v>0.377</v>
      </c>
      <c r="F65" s="3">
        <v>0.5</v>
      </c>
      <c r="G65" s="3">
        <f>IF(D65&lt;&gt;0, E65/D65, 0)</f>
        <v>0.1885</v>
      </c>
      <c r="H65" s="3">
        <f>IF(D65&lt;&gt;0, F65/D65, 0)</f>
        <v>0.25</v>
      </c>
      <c r="I65" s="3">
        <f>SUMIF(recipes!K:K,A65,recipes!R:R)</f>
        <v>0.2675812954815</v>
      </c>
      <c r="J65" s="3">
        <f>SUMIF(recipes!K:K,A65,recipes!S:S)</f>
        <v>0</v>
      </c>
      <c r="K65" s="3">
        <f>SUMIF(recipes!K:K,A65,recipes!T:T)</f>
        <v>0</v>
      </c>
      <c r="L65" s="96">
        <f>COUNTIF(recipes!K:K,A65)</f>
        <v>1</v>
      </c>
      <c r="M65" s="3"/>
    </row>
    <row r="66" spans="1:14" x14ac:dyDescent="0.2">
      <c r="A66" s="18" t="s">
        <v>11</v>
      </c>
      <c r="B66" s="35"/>
      <c r="C66" s="4" t="s">
        <v>11</v>
      </c>
      <c r="D66" s="4">
        <v>1</v>
      </c>
      <c r="E66" s="4">
        <v>2.5000000000000001E-2</v>
      </c>
      <c r="F66" s="4">
        <v>2.2180100000000001E-2</v>
      </c>
      <c r="G66" s="3">
        <f>IF(D66&lt;&gt;0, E66/D66, 0)</f>
        <v>2.5000000000000001E-2</v>
      </c>
      <c r="H66" s="3">
        <f>IF(D66&lt;&gt;0, F66/D66, 0)</f>
        <v>2.2180100000000001E-2</v>
      </c>
      <c r="I66" s="3">
        <f>SUMIF(recipes!K:K,A66,recipes!R:R)</f>
        <v>5.6944565551933383E-2</v>
      </c>
      <c r="J66" s="3">
        <f>SUMIF(recipes!K:K,A66,recipes!S:S)</f>
        <v>0</v>
      </c>
      <c r="K66" s="3">
        <f>SUMIF(recipes!K:K,A66,recipes!T:T)</f>
        <v>0</v>
      </c>
      <c r="L66" s="96">
        <f>COUNTIF(recipes!K:K,A66)</f>
        <v>10</v>
      </c>
      <c r="M66" s="3"/>
    </row>
    <row r="67" spans="1:14" x14ac:dyDescent="0.2">
      <c r="A67" s="18" t="s">
        <v>173</v>
      </c>
      <c r="B67" s="35"/>
      <c r="C67" s="4" t="s">
        <v>173</v>
      </c>
      <c r="D67" s="4"/>
      <c r="E67" s="4"/>
      <c r="F67" s="4"/>
      <c r="G67" s="3">
        <f>IF(D67&lt;&gt;0, E67/D67, 0)</f>
        <v>0</v>
      </c>
      <c r="H67" s="3">
        <f>IF(D67&lt;&gt;0, F67/D67, 0)</f>
        <v>0</v>
      </c>
      <c r="I67" s="3">
        <f>SUMIF(recipes!K:K,A67,recipes!R:R)</f>
        <v>0</v>
      </c>
      <c r="J67" s="3">
        <f>SUMIF(recipes!K:K,A67,recipes!S:S)</f>
        <v>9.2417279882812495E-2</v>
      </c>
      <c r="K67" s="3">
        <f>SUMIF(recipes!K:K,A67,recipes!T:T)</f>
        <v>0</v>
      </c>
      <c r="L67" s="96">
        <f>COUNTIF(recipes!K:K,A67)</f>
        <v>1</v>
      </c>
      <c r="M67" s="3"/>
    </row>
    <row r="68" spans="1:14" s="31" customFormat="1" x14ac:dyDescent="0.2">
      <c r="A68" s="18" t="s">
        <v>191</v>
      </c>
      <c r="B68" s="35" t="s">
        <v>206</v>
      </c>
      <c r="C68" s="4" t="s">
        <v>93</v>
      </c>
      <c r="D68" s="4"/>
      <c r="E68" s="4"/>
      <c r="F68" s="4"/>
      <c r="G68" s="3">
        <f>IF(D68&lt;&gt;0, E68/D68, 0)</f>
        <v>0</v>
      </c>
      <c r="H68" s="3">
        <f>IF(D68&lt;&gt;0, F68/D68, 0)</f>
        <v>0</v>
      </c>
      <c r="I68" s="3">
        <f>SUMIF(recipes!K:K,A68,recipes!R:R)</f>
        <v>0</v>
      </c>
      <c r="J68" s="3">
        <f>SUMIF(recipes!K:K,A68,recipes!S:S)</f>
        <v>0</v>
      </c>
      <c r="K68" s="3">
        <f>SUMIF(recipes!K:K,A68,recipes!T:T)</f>
        <v>7</v>
      </c>
      <c r="L68" s="96">
        <f>COUNTIF(recipes!K:K,A68)</f>
        <v>1</v>
      </c>
      <c r="M68" s="3"/>
    </row>
    <row r="69" spans="1:14" x14ac:dyDescent="0.2">
      <c r="A69" s="18" t="s">
        <v>112</v>
      </c>
      <c r="B69" s="35" t="s">
        <v>206</v>
      </c>
      <c r="C69" s="4" t="s">
        <v>93</v>
      </c>
      <c r="D69" s="4"/>
      <c r="E69" s="4"/>
      <c r="F69" s="4"/>
      <c r="G69" s="3">
        <f>IF(D69&lt;&gt;0, E69/D69, 0)</f>
        <v>0</v>
      </c>
      <c r="H69" s="3">
        <f>IF(D69&lt;&gt;0, F69/D69, 0)</f>
        <v>0</v>
      </c>
      <c r="I69" s="3">
        <f>SUMIF(recipes!K:K,A69,recipes!R:R)</f>
        <v>0</v>
      </c>
      <c r="J69" s="3">
        <f>SUMIF(recipes!K:K,A69,recipes!S:S)</f>
        <v>0</v>
      </c>
      <c r="K69" s="3">
        <f>SUMIF(recipes!K:K,A69,recipes!T:T)</f>
        <v>7.25</v>
      </c>
      <c r="L69" s="96">
        <f>COUNTIF(recipes!K:K,A69)</f>
        <v>1</v>
      </c>
      <c r="M69" s="3"/>
    </row>
    <row r="70" spans="1:14" x14ac:dyDescent="0.2">
      <c r="A70" s="18" t="s">
        <v>94</v>
      </c>
      <c r="B70" s="35" t="s">
        <v>206</v>
      </c>
      <c r="C70" s="4" t="s">
        <v>93</v>
      </c>
      <c r="D70" s="4"/>
      <c r="E70" s="4"/>
      <c r="F70" s="4"/>
      <c r="G70" s="3">
        <f>IF(D70&lt;&gt;0, E70/D70, 0)</f>
        <v>0</v>
      </c>
      <c r="H70" s="3">
        <f>IF(D70&lt;&gt;0, F70/D70, 0)</f>
        <v>0</v>
      </c>
      <c r="I70" s="3">
        <f>SUMIF(recipes!K:K,A70,recipes!R:R)</f>
        <v>0</v>
      </c>
      <c r="J70" s="3">
        <f>SUMIF(recipes!K:K,A70,recipes!S:S)</f>
        <v>0</v>
      </c>
      <c r="K70" s="3">
        <f>SUMIF(recipes!K:K,A70,recipes!T:T)</f>
        <v>0</v>
      </c>
      <c r="L70" s="96">
        <f>COUNTIF(recipes!K:K,A70)</f>
        <v>1</v>
      </c>
      <c r="M70" s="3"/>
    </row>
    <row r="71" spans="1:14" x14ac:dyDescent="0.2">
      <c r="A71" s="18" t="s">
        <v>119</v>
      </c>
      <c r="B71" s="35"/>
      <c r="C71" s="4" t="s">
        <v>119</v>
      </c>
      <c r="D71" s="4"/>
      <c r="E71" s="4"/>
      <c r="F71" s="4"/>
      <c r="G71" s="3">
        <f>IF(D71&lt;&gt;0, E71/D71, 0)</f>
        <v>0</v>
      </c>
      <c r="H71" s="3">
        <f>IF(D71&lt;&gt;0, F71/D71, 0)</f>
        <v>0</v>
      </c>
      <c r="I71" s="3">
        <f>SUMIF(recipes!K:K,A71,recipes!R:R)</f>
        <v>0</v>
      </c>
      <c r="J71" s="3">
        <f>SUMIF(recipes!K:K,A71,recipes!S:S)</f>
        <v>5.9147059124999998E-2</v>
      </c>
      <c r="K71" s="3">
        <f>SUMIF(recipes!K:K,A71,recipes!T:T)</f>
        <v>0</v>
      </c>
      <c r="L71" s="96">
        <f>COUNTIF(recipes!K:K,A71)</f>
        <v>1</v>
      </c>
      <c r="M71" s="3"/>
    </row>
    <row r="72" spans="1:14" s="31" customFormat="1" x14ac:dyDescent="0.2">
      <c r="A72" s="18" t="s">
        <v>296</v>
      </c>
      <c r="B72" s="35"/>
      <c r="C72" s="4" t="s">
        <v>296</v>
      </c>
      <c r="D72" s="4"/>
      <c r="E72" s="4"/>
      <c r="F72" s="4"/>
      <c r="G72" s="3">
        <f>IF(D72&lt;&gt;0, E72/D72, 0)</f>
        <v>0</v>
      </c>
      <c r="H72" s="3">
        <f>IF(D72&lt;&gt;0, F72/D72, 0)</f>
        <v>0</v>
      </c>
      <c r="I72" s="3">
        <f>SUMIF(recipes!K:K,A72,recipes!R:R)</f>
        <v>0</v>
      </c>
      <c r="J72" s="3">
        <f>SUMIF(recipes!K:K,A72,recipes!S:S)</f>
        <v>0.47317647299999999</v>
      </c>
      <c r="K72" s="3">
        <f>SUMIF(recipes!K:K,A72,recipes!T:T)</f>
        <v>0</v>
      </c>
      <c r="L72" s="96">
        <f>COUNTIF(recipes!K:K,A72)</f>
        <v>1</v>
      </c>
      <c r="M72" s="3"/>
      <c r="N72" s="1"/>
    </row>
    <row r="73" spans="1:14" x14ac:dyDescent="0.2">
      <c r="A73" s="18" t="s">
        <v>404</v>
      </c>
      <c r="B73" s="35" t="s">
        <v>206</v>
      </c>
      <c r="C73" s="4" t="s">
        <v>403</v>
      </c>
      <c r="D73" s="4"/>
      <c r="E73" s="4"/>
      <c r="F73" s="4"/>
      <c r="G73" s="3">
        <f>IF(D73&lt;&gt;0, E73/D73, 0)</f>
        <v>0</v>
      </c>
      <c r="H73" s="3">
        <f>IF(D73&lt;&gt;0, F73/D73, 0)</f>
        <v>0</v>
      </c>
      <c r="I73" s="3">
        <f>SUMIF(recipes!K:K,A73,recipes!R:R)</f>
        <v>0</v>
      </c>
      <c r="J73" s="3">
        <f>SUMIF(recipes!K:K,A73,recipes!S:S)</f>
        <v>0.35488235474999996</v>
      </c>
      <c r="K73" s="3">
        <f>SUMIF(recipes!K:K,A73,recipes!T:T)</f>
        <v>0</v>
      </c>
      <c r="L73" s="96">
        <f>COUNTIF(recipes!K:K,A73)</f>
        <v>1</v>
      </c>
      <c r="M73" s="3"/>
      <c r="N73" s="31"/>
    </row>
    <row r="74" spans="1:14" x14ac:dyDescent="0.2">
      <c r="A74" s="18" t="s">
        <v>322</v>
      </c>
      <c r="B74" s="35"/>
      <c r="C74" s="4" t="s">
        <v>322</v>
      </c>
      <c r="D74" s="4"/>
      <c r="E74" s="4"/>
      <c r="F74" s="4"/>
      <c r="G74" s="3">
        <f>IF(D74&lt;&gt;0, E74/D74, 0)</f>
        <v>0</v>
      </c>
      <c r="H74" s="3">
        <f>IF(D74&lt;&gt;0, F74/D74, 0)</f>
        <v>0</v>
      </c>
      <c r="I74" s="3">
        <f>SUMIF(recipes!K:K,A74,recipes!R:R)</f>
        <v>0</v>
      </c>
      <c r="J74" s="3">
        <f>SUMIF(recipes!K:K,A74,recipes!S:S)</f>
        <v>0</v>
      </c>
      <c r="K74" s="3">
        <f>SUMIF(recipes!K:K,A74,recipes!T:T)</f>
        <v>0</v>
      </c>
      <c r="L74" s="96">
        <f>COUNTIF(recipes!K:K,A74)</f>
        <v>1</v>
      </c>
      <c r="M74" s="3"/>
    </row>
    <row r="75" spans="1:14" s="31" customFormat="1" x14ac:dyDescent="0.2">
      <c r="A75" s="18" t="s">
        <v>295</v>
      </c>
      <c r="B75" s="35"/>
      <c r="C75" s="4" t="s">
        <v>295</v>
      </c>
      <c r="D75" s="4"/>
      <c r="E75" s="4"/>
      <c r="F75" s="4"/>
      <c r="G75" s="3">
        <f>IF(D75&lt;&gt;0, E75/D75, 0)</f>
        <v>0</v>
      </c>
      <c r="H75" s="3">
        <f>IF(D75&lt;&gt;0, F75/D75, 0)</f>
        <v>0</v>
      </c>
      <c r="I75" s="3">
        <f>SUMIF(recipes!K:K,A75,recipes!R:R)</f>
        <v>0</v>
      </c>
      <c r="J75" s="3">
        <f>SUMIF(recipes!K:K,A75,recipes!S:S)</f>
        <v>2.9573529562499999E-2</v>
      </c>
      <c r="K75" s="3">
        <f>SUMIF(recipes!K:K,A75,recipes!T:T)</f>
        <v>0</v>
      </c>
      <c r="L75" s="96">
        <f>COUNTIF(recipes!K:K,A75)</f>
        <v>1</v>
      </c>
      <c r="M75" s="3"/>
      <c r="N75" s="1"/>
    </row>
    <row r="76" spans="1:14" s="31" customFormat="1" x14ac:dyDescent="0.2">
      <c r="A76" s="18" t="s">
        <v>171</v>
      </c>
      <c r="B76" s="35"/>
      <c r="C76" s="4" t="s">
        <v>171</v>
      </c>
      <c r="D76" s="4"/>
      <c r="E76" s="4"/>
      <c r="F76" s="4"/>
      <c r="G76" s="3">
        <f>IF(D76&lt;&gt;0, E76/D76, 0)</f>
        <v>0</v>
      </c>
      <c r="H76" s="3">
        <f>IF(D76&lt;&gt;0, F76/D76, 0)</f>
        <v>0</v>
      </c>
      <c r="I76" s="3">
        <f>SUMIF(recipes!K:K,A76,recipes!R:R)</f>
        <v>0</v>
      </c>
      <c r="J76" s="3">
        <f>SUMIF(recipes!K:K,A76,recipes!S:S)</f>
        <v>4.4360294343749995E-2</v>
      </c>
      <c r="K76" s="3">
        <f>SUMIF(recipes!K:K,A76,recipes!T:T)</f>
        <v>0</v>
      </c>
      <c r="L76" s="96">
        <f>COUNTIF(recipes!K:K,A76)</f>
        <v>1</v>
      </c>
      <c r="M76" s="3"/>
    </row>
    <row r="77" spans="1:14" x14ac:dyDescent="0.2">
      <c r="A77" s="18" t="s">
        <v>174</v>
      </c>
      <c r="B77" s="35"/>
      <c r="C77" s="4" t="s">
        <v>174</v>
      </c>
      <c r="D77" s="4"/>
      <c r="E77" s="4"/>
      <c r="F77" s="4"/>
      <c r="G77" s="3">
        <f>IF(D77&lt;&gt;0, E77/D77, 0)</f>
        <v>0</v>
      </c>
      <c r="H77" s="3">
        <f>IF(D77&lt;&gt;0, F77/D77, 0)</f>
        <v>0</v>
      </c>
      <c r="I77" s="3">
        <f>SUMIF(recipes!K:K,A77,recipes!R:R)</f>
        <v>0</v>
      </c>
      <c r="J77" s="3">
        <f>SUMIF(recipes!K:K,A77,recipes!S:S)</f>
        <v>4.4360294343749995E-2</v>
      </c>
      <c r="K77" s="3">
        <f>SUMIF(recipes!K:K,A77,recipes!T:T)</f>
        <v>0</v>
      </c>
      <c r="L77" s="96">
        <f>COUNTIF(recipes!K:K,A77)</f>
        <v>2</v>
      </c>
      <c r="M77" s="3"/>
      <c r="N77" s="31"/>
    </row>
    <row r="78" spans="1:14" s="31" customFormat="1" x14ac:dyDescent="0.2">
      <c r="A78" s="18" t="s">
        <v>179</v>
      </c>
      <c r="B78" s="35"/>
      <c r="C78" s="4" t="s">
        <v>179</v>
      </c>
      <c r="D78" s="4"/>
      <c r="E78" s="4"/>
      <c r="F78" s="4"/>
      <c r="G78" s="3">
        <f>IF(D78&lt;&gt;0, E78/D78, 0)</f>
        <v>0</v>
      </c>
      <c r="H78" s="3">
        <f>IF(D78&lt;&gt;0, F78/D78, 0)</f>
        <v>0</v>
      </c>
      <c r="I78" s="3">
        <f>SUMIF(recipes!K:K,A78,recipes!R:R)</f>
        <v>0</v>
      </c>
      <c r="J78" s="3">
        <f>SUMIF(recipes!K:K,A78,recipes!S:S)</f>
        <v>0</v>
      </c>
      <c r="K78" s="3">
        <f>SUMIF(recipes!K:K,A78,recipes!T:T)</f>
        <v>3.75</v>
      </c>
      <c r="L78" s="96">
        <f>COUNTIF(recipes!K:K,A78)</f>
        <v>1</v>
      </c>
      <c r="M78" s="3"/>
    </row>
    <row r="79" spans="1:14" s="31" customFormat="1" x14ac:dyDescent="0.2">
      <c r="A79" s="18" t="s">
        <v>159</v>
      </c>
      <c r="B79" s="35"/>
      <c r="C79" s="4" t="s">
        <v>159</v>
      </c>
      <c r="D79" s="4"/>
      <c r="E79" s="4"/>
      <c r="F79" s="4"/>
      <c r="G79" s="3">
        <f>IF(D79&lt;&gt;0, E79/D79, 0)</f>
        <v>0</v>
      </c>
      <c r="H79" s="3">
        <f>IF(D79&lt;&gt;0, F79/D79, 0)</f>
        <v>0</v>
      </c>
      <c r="I79" s="3">
        <f>SUMIF(recipes!K:K,A79,recipes!R:R)</f>
        <v>0</v>
      </c>
      <c r="J79" s="3">
        <f>SUMIF(recipes!K:K,A79,recipes!S:S)</f>
        <v>0</v>
      </c>
      <c r="K79" s="3">
        <f>SUMIF(recipes!K:K,A79,recipes!T:T)</f>
        <v>2</v>
      </c>
      <c r="L79" s="96">
        <f>COUNTIF(recipes!K:K,A79)</f>
        <v>1</v>
      </c>
      <c r="M79" s="3"/>
      <c r="N79" s="1"/>
    </row>
    <row r="80" spans="1:14" s="31" customFormat="1" x14ac:dyDescent="0.2">
      <c r="A80" s="18" t="s">
        <v>86</v>
      </c>
      <c r="B80" s="35"/>
      <c r="C80" s="4" t="s">
        <v>86</v>
      </c>
      <c r="D80" s="4"/>
      <c r="E80" s="4"/>
      <c r="F80" s="4"/>
      <c r="G80" s="3">
        <f>IF(D80&lt;&gt;0, E80/D80, 0)</f>
        <v>0</v>
      </c>
      <c r="H80" s="3">
        <f>IF(D80&lt;&gt;0, F80/D80, 0)</f>
        <v>0</v>
      </c>
      <c r="I80" s="3">
        <f>SUMIF(recipes!K:K,A80,recipes!R:R)</f>
        <v>0</v>
      </c>
      <c r="J80" s="3">
        <f>SUMIF(recipes!K:K,A80,recipes!S:S)</f>
        <v>0</v>
      </c>
      <c r="K80" s="3">
        <f>SUMIF(recipes!K:K,A80,recipes!T:T)</f>
        <v>4</v>
      </c>
      <c r="L80" s="96">
        <f>COUNTIF(recipes!K:K,A80)</f>
        <v>1</v>
      </c>
      <c r="M80" s="3"/>
    </row>
    <row r="81" spans="1:14" x14ac:dyDescent="0.2">
      <c r="A81" s="18" t="s">
        <v>47</v>
      </c>
      <c r="B81" s="35"/>
      <c r="C81" s="4" t="s">
        <v>47</v>
      </c>
      <c r="D81" s="4"/>
      <c r="E81" s="4"/>
      <c r="F81" s="4"/>
      <c r="G81" s="3">
        <f>IF(D81&lt;&gt;0, E81/D81, 0)</f>
        <v>0</v>
      </c>
      <c r="H81" s="3">
        <f>IF(D81&lt;&gt;0, F81/D81, 0)</f>
        <v>0</v>
      </c>
      <c r="I81" s="3">
        <f>SUMIF(recipes!K:K,A81,recipes!R:R)</f>
        <v>0</v>
      </c>
      <c r="J81" s="3">
        <f>SUMIF(recipes!K:K,A81,recipes!S:S)</f>
        <v>0</v>
      </c>
      <c r="K81" s="3">
        <f>SUMIF(recipes!K:K,A81,recipes!T:T)</f>
        <v>4</v>
      </c>
      <c r="L81" s="96">
        <f>COUNTIF(recipes!K:K,A81)</f>
        <v>2</v>
      </c>
      <c r="M81" s="3"/>
      <c r="N81" s="31"/>
    </row>
    <row r="82" spans="1:14" s="31" customFormat="1" x14ac:dyDescent="0.2">
      <c r="A82" s="18" t="s">
        <v>111</v>
      </c>
      <c r="B82" s="35"/>
      <c r="C82" s="4" t="s">
        <v>111</v>
      </c>
      <c r="D82" s="4"/>
      <c r="E82" s="4"/>
      <c r="F82" s="4"/>
      <c r="G82" s="3">
        <f>IF(D82&lt;&gt;0, E82/D82, 0)</f>
        <v>0</v>
      </c>
      <c r="H82" s="3">
        <f>IF(D82&lt;&gt;0, F82/D82, 0)</f>
        <v>0</v>
      </c>
      <c r="I82" s="3">
        <f>SUMIF(recipes!K:K,A82,recipes!R:R)</f>
        <v>0</v>
      </c>
      <c r="J82" s="3">
        <f>SUMIF(recipes!K:K,A82,recipes!S:S)</f>
        <v>0</v>
      </c>
      <c r="K82" s="3">
        <f>SUMIF(recipes!K:K,A82,recipes!T:T)</f>
        <v>4.75</v>
      </c>
      <c r="L82" s="96">
        <f>COUNTIF(recipes!K:K,A82)</f>
        <v>4</v>
      </c>
      <c r="M82" s="3"/>
      <c r="N82" s="1"/>
    </row>
    <row r="83" spans="1:14" x14ac:dyDescent="0.2">
      <c r="A83" s="18" t="s">
        <v>122</v>
      </c>
      <c r="B83" s="35"/>
      <c r="C83" s="4" t="s">
        <v>122</v>
      </c>
      <c r="D83" s="4"/>
      <c r="E83" s="4"/>
      <c r="F83" s="4"/>
      <c r="G83" s="3">
        <f>IF(D83&lt;&gt;0, E83/D83, 0)</f>
        <v>0</v>
      </c>
      <c r="H83" s="3">
        <f>IF(D83&lt;&gt;0, F83/D83, 0)</f>
        <v>0</v>
      </c>
      <c r="I83" s="3">
        <f>SUMIF(recipes!K:K,A83,recipes!R:R)</f>
        <v>0</v>
      </c>
      <c r="J83" s="3">
        <f>SUMIF(recipes!K:K,A83,recipes!S:S)</f>
        <v>0.8872058868749999</v>
      </c>
      <c r="K83" s="3">
        <f>SUMIF(recipes!K:K,A83,recipes!T:T)</f>
        <v>0</v>
      </c>
      <c r="L83" s="96">
        <f>COUNTIF(recipes!K:K,A83)</f>
        <v>2</v>
      </c>
      <c r="M83" s="3"/>
      <c r="N83" s="31"/>
    </row>
    <row r="84" spans="1:14" x14ac:dyDescent="0.2">
      <c r="A84" s="18" t="s">
        <v>74</v>
      </c>
      <c r="B84" s="35"/>
      <c r="C84" s="4" t="s">
        <v>74</v>
      </c>
      <c r="D84" s="4"/>
      <c r="E84" s="4"/>
      <c r="F84" s="4"/>
      <c r="G84" s="3">
        <f>IF(D84&lt;&gt;0, E84/D84, 0)</f>
        <v>0</v>
      </c>
      <c r="H84" s="3">
        <f>IF(D84&lt;&gt;0, F84/D84, 0)</f>
        <v>0</v>
      </c>
      <c r="I84" s="3">
        <f>SUMIF(recipes!K:K,A84,recipes!R:R)</f>
        <v>0</v>
      </c>
      <c r="J84" s="3">
        <f>SUMIF(recipes!K:K,A84,recipes!S:S)</f>
        <v>0</v>
      </c>
      <c r="K84" s="3">
        <f>SUMIF(recipes!K:K,A84,recipes!T:T)</f>
        <v>2</v>
      </c>
      <c r="L84" s="96">
        <f>COUNTIF(recipes!K:K,A84)</f>
        <v>1</v>
      </c>
      <c r="M84" s="3"/>
    </row>
    <row r="85" spans="1:14" s="31" customFormat="1" x14ac:dyDescent="0.2">
      <c r="A85" s="18" t="s">
        <v>290</v>
      </c>
      <c r="B85" s="35"/>
      <c r="C85" s="4" t="s">
        <v>290</v>
      </c>
      <c r="D85" s="4"/>
      <c r="E85" s="4"/>
      <c r="F85" s="4"/>
      <c r="G85" s="3">
        <f>IF(D85&lt;&gt;0, E85/D85, 0)</f>
        <v>0</v>
      </c>
      <c r="H85" s="3">
        <f>IF(D85&lt;&gt;0, F85/D85, 0)</f>
        <v>0</v>
      </c>
      <c r="I85" s="3">
        <f>SUMIF(recipes!K:K,A85,recipes!R:R)</f>
        <v>0</v>
      </c>
      <c r="J85" s="3">
        <f>SUMIF(recipes!K:K,A85,recipes!S:S)</f>
        <v>0.94635294599999997</v>
      </c>
      <c r="K85" s="3">
        <f>SUMIF(recipes!K:K,A85,recipes!T:T)</f>
        <v>0</v>
      </c>
      <c r="L85" s="96">
        <f>COUNTIF(recipes!K:K,A85)</f>
        <v>1</v>
      </c>
      <c r="M85" s="3"/>
    </row>
    <row r="86" spans="1:14" x14ac:dyDescent="0.2">
      <c r="A86" s="18" t="s">
        <v>270</v>
      </c>
      <c r="B86" s="35" t="s">
        <v>206</v>
      </c>
      <c r="C86" s="4" t="s">
        <v>63</v>
      </c>
      <c r="D86" s="5"/>
      <c r="E86" s="5"/>
      <c r="F86" s="5"/>
      <c r="G86" s="3">
        <f>IF(D86&lt;&gt;0, E86/D86, 0)</f>
        <v>0</v>
      </c>
      <c r="H86" s="3">
        <f>IF(D86&lt;&gt;0, F86/D86, 0)</f>
        <v>0</v>
      </c>
      <c r="I86" s="3">
        <f>SUMIF(recipes!K:K,A86,recipes!R:R)</f>
        <v>0.5</v>
      </c>
      <c r="J86" s="3">
        <f>SUMIF(recipes!K:K,A86,recipes!S:S)</f>
        <v>1.0646470642499999</v>
      </c>
      <c r="K86" s="3">
        <f>SUMIF(recipes!K:K,A86,recipes!T:T)</f>
        <v>2.25</v>
      </c>
      <c r="L86" s="96">
        <f>COUNTIF(recipes!K:K,A86)</f>
        <v>3</v>
      </c>
      <c r="M86" s="3"/>
    </row>
    <row r="87" spans="1:14" x14ac:dyDescent="0.2">
      <c r="A87" s="18" t="s">
        <v>271</v>
      </c>
      <c r="B87" s="35" t="s">
        <v>206</v>
      </c>
      <c r="C87" s="4" t="s">
        <v>63</v>
      </c>
      <c r="D87" s="5"/>
      <c r="E87" s="5"/>
      <c r="F87" s="5"/>
      <c r="G87" s="3">
        <f>IF(D87&lt;&gt;0, E87/D87, 0)</f>
        <v>0</v>
      </c>
      <c r="H87" s="3">
        <f>IF(D87&lt;&gt;0, F87/D87, 0)</f>
        <v>0</v>
      </c>
      <c r="I87" s="3">
        <f>SUMIF(recipes!K:K,A87,recipes!R:R)</f>
        <v>0.75</v>
      </c>
      <c r="J87" s="3">
        <f>SUMIF(recipes!K:K,A87,recipes!S:S)</f>
        <v>0</v>
      </c>
      <c r="K87" s="3">
        <f>SUMIF(recipes!K:K,A87,recipes!T:T)</f>
        <v>0</v>
      </c>
      <c r="L87" s="96">
        <f>COUNTIF(recipes!K:K,A87)</f>
        <v>1</v>
      </c>
      <c r="M87" s="3"/>
    </row>
    <row r="88" spans="1:14" x14ac:dyDescent="0.2">
      <c r="A88" s="18" t="s">
        <v>315</v>
      </c>
      <c r="B88" s="35" t="s">
        <v>206</v>
      </c>
      <c r="C88" s="4" t="s">
        <v>71</v>
      </c>
      <c r="D88" s="3">
        <v>4</v>
      </c>
      <c r="E88" s="3">
        <v>0.53</v>
      </c>
      <c r="F88" s="3"/>
      <c r="G88" s="3">
        <f>IF(D88&lt;&gt;0, E88/D88, 0)</f>
        <v>0.13250000000000001</v>
      </c>
      <c r="H88" s="3">
        <f>IF(D88&lt;&gt;0, F88/D88, 0)</f>
        <v>0</v>
      </c>
      <c r="I88" s="3">
        <f>SUMIF(recipes!K:K,A88,recipes!R:R)</f>
        <v>1.7489999999999999</v>
      </c>
      <c r="J88" s="3">
        <f>SUMIF(recipes!K:K,A88,recipes!S:S)</f>
        <v>0</v>
      </c>
      <c r="K88" s="3">
        <f>SUMIF(recipes!K:K,A88,recipes!T:T)</f>
        <v>0</v>
      </c>
      <c r="L88" s="96">
        <f>COUNTIF(recipes!K:K,A88)</f>
        <v>1</v>
      </c>
      <c r="M88" s="3"/>
    </row>
    <row r="89" spans="1:14" x14ac:dyDescent="0.2">
      <c r="A89" s="18" t="s">
        <v>58</v>
      </c>
      <c r="B89" s="35"/>
      <c r="C89" s="4" t="s">
        <v>58</v>
      </c>
      <c r="D89" s="4"/>
      <c r="E89" s="4"/>
      <c r="F89" s="4"/>
      <c r="G89" s="3">
        <f>IF(D89&lt;&gt;0, E89/D89, 0)</f>
        <v>0</v>
      </c>
      <c r="H89" s="3">
        <f>IF(D89&lt;&gt;0, F89/D89, 0)</f>
        <v>0</v>
      </c>
      <c r="I89" s="3">
        <f>SUMIF(recipes!K:K,A89,recipes!R:R)</f>
        <v>0</v>
      </c>
      <c r="J89" s="3">
        <f>SUMIF(recipes!K:K,A89,recipes!S:S)</f>
        <v>9.9012941489999999</v>
      </c>
      <c r="K89" s="3">
        <f>SUMIF(recipes!K:K,A89,recipes!T:T)</f>
        <v>0</v>
      </c>
      <c r="L89" s="96">
        <f>COUNTIF(recipes!K:K,A89)</f>
        <v>5</v>
      </c>
      <c r="M89" s="3"/>
    </row>
    <row r="90" spans="1:14" x14ac:dyDescent="0.2">
      <c r="A90" s="18" t="s">
        <v>59</v>
      </c>
      <c r="B90" s="35"/>
      <c r="C90" s="4" t="s">
        <v>59</v>
      </c>
      <c r="D90" s="5"/>
      <c r="E90" s="5"/>
      <c r="F90" s="5"/>
      <c r="G90" s="3">
        <f>IF(D90&lt;&gt;0, E90/D90, 0)</f>
        <v>0</v>
      </c>
      <c r="H90" s="3">
        <f>IF(D90&lt;&gt;0, F90/D90, 0)</f>
        <v>0</v>
      </c>
      <c r="I90" s="3">
        <f>SUMIF(recipes!K:K,A90,recipes!R:R)</f>
        <v>4.675E-2</v>
      </c>
      <c r="J90" s="3">
        <f>SUMIF(recipes!K:K,A90,recipes!S:S)</f>
        <v>0</v>
      </c>
      <c r="K90" s="3">
        <f>SUMIF(recipes!K:K,A90,recipes!T:T)</f>
        <v>0</v>
      </c>
      <c r="L90" s="96">
        <f>COUNTIF(recipes!K:K,A90)</f>
        <v>1</v>
      </c>
      <c r="M90" s="3"/>
    </row>
    <row r="91" spans="1:14" x14ac:dyDescent="0.2">
      <c r="A91" s="18" t="s">
        <v>117</v>
      </c>
      <c r="B91" s="35"/>
      <c r="C91" s="4" t="s">
        <v>48</v>
      </c>
      <c r="D91" s="4">
        <v>1</v>
      </c>
      <c r="E91" s="4">
        <v>1</v>
      </c>
      <c r="F91" s="4">
        <v>1</v>
      </c>
      <c r="G91" s="3">
        <f>IF(D91&lt;&gt;0, E91/D91, 0)</f>
        <v>1</v>
      </c>
      <c r="H91" s="3">
        <f>IF(D91&lt;&gt;0, F91/D91, 0)</f>
        <v>1</v>
      </c>
      <c r="I91" s="3">
        <f>SUMIF(recipes!K:K,A91,recipes!R:R)</f>
        <v>0.65061765037499997</v>
      </c>
      <c r="J91" s="3">
        <f>SUMIF(recipes!K:K,A91,recipes!S:S)</f>
        <v>0</v>
      </c>
      <c r="K91" s="3">
        <f>SUMIF(recipes!K:K,A91,recipes!T:T)</f>
        <v>0</v>
      </c>
      <c r="L91" s="96">
        <f>COUNTIF(recipes!K:K,A91)</f>
        <v>1</v>
      </c>
      <c r="M91" s="3"/>
    </row>
    <row r="92" spans="1:14" x14ac:dyDescent="0.2">
      <c r="A92" s="18" t="s">
        <v>48</v>
      </c>
      <c r="B92" s="35"/>
      <c r="C92" s="4" t="s">
        <v>48</v>
      </c>
      <c r="D92" s="4">
        <v>1</v>
      </c>
      <c r="E92" s="4">
        <v>1</v>
      </c>
      <c r="F92" s="4">
        <v>1</v>
      </c>
      <c r="G92" s="3">
        <f>IF(D92&lt;&gt;0, E92/D92, 0)</f>
        <v>1</v>
      </c>
      <c r="H92" s="3">
        <f>IF(D92&lt;&gt;0, F92/D92, 0)</f>
        <v>1</v>
      </c>
      <c r="I92" s="3">
        <f>SUMIF(recipes!K:K,A92,recipes!R:R)</f>
        <v>5.5811470796249996</v>
      </c>
      <c r="J92" s="3">
        <f>SUMIF(recipes!K:K,A92,recipes!S:S)</f>
        <v>0</v>
      </c>
      <c r="K92" s="3">
        <f>SUMIF(recipes!K:K,A92,recipes!T:T)</f>
        <v>0</v>
      </c>
      <c r="L92" s="96">
        <f>COUNTIF(recipes!K:K,A92)</f>
        <v>8</v>
      </c>
      <c r="M92" s="3"/>
    </row>
    <row r="93" spans="1:14" x14ac:dyDescent="0.2">
      <c r="A93" s="18" t="s">
        <v>103</v>
      </c>
      <c r="B93" s="35" t="s">
        <v>206</v>
      </c>
      <c r="C93" s="4" t="s">
        <v>72</v>
      </c>
      <c r="D93" s="4"/>
      <c r="E93" s="4"/>
      <c r="F93" s="3"/>
      <c r="G93" s="3">
        <f>IF(D93&lt;&gt;0, E93/D93, 0)</f>
        <v>0</v>
      </c>
      <c r="H93" s="3">
        <f>IF(D93&lt;&gt;0, F93/D93, 0)</f>
        <v>0</v>
      </c>
      <c r="I93" s="3">
        <f>SUMIF(recipes!K:K,A93,recipes!R:R)</f>
        <v>0</v>
      </c>
      <c r="J93" s="3">
        <f>SUMIF(recipes!K:K,A93,recipes!S:S)</f>
        <v>0</v>
      </c>
      <c r="K93" s="3">
        <f>SUMIF(recipes!K:K,A93,recipes!T:T)</f>
        <v>13.25</v>
      </c>
      <c r="L93" s="96">
        <f>COUNTIF(recipes!K:K,A93)</f>
        <v>1</v>
      </c>
      <c r="M93" s="3"/>
    </row>
    <row r="94" spans="1:14" x14ac:dyDescent="0.2">
      <c r="A94" s="18" t="s">
        <v>176</v>
      </c>
      <c r="B94" s="35" t="s">
        <v>206</v>
      </c>
      <c r="C94" s="4" t="s">
        <v>175</v>
      </c>
      <c r="D94" s="3">
        <v>2</v>
      </c>
      <c r="E94" s="3">
        <v>0.377</v>
      </c>
      <c r="F94" s="3">
        <v>0.5</v>
      </c>
      <c r="G94" s="3">
        <f>IF(D94&lt;&gt;0, E94/D94, 0)</f>
        <v>0.1885</v>
      </c>
      <c r="H94" s="3">
        <f>IF(D94&lt;&gt;0, F94/D94, 0)</f>
        <v>0.25</v>
      </c>
      <c r="I94" s="3">
        <f>SUMIF(recipes!K:K,A94,recipes!R:R)</f>
        <v>0.47125</v>
      </c>
      <c r="J94" s="3">
        <f>SUMIF(recipes!K:K,A94,recipes!S:S)</f>
        <v>0</v>
      </c>
      <c r="K94" s="3">
        <f>SUMIF(recipes!K:K,A94,recipes!T:T)</f>
        <v>0</v>
      </c>
      <c r="L94" s="96">
        <f>COUNTIF(recipes!K:K,A94)</f>
        <v>1</v>
      </c>
      <c r="M94" s="3"/>
    </row>
    <row r="95" spans="1:14" s="31" customFormat="1" x14ac:dyDescent="0.2">
      <c r="A95" s="18" t="s">
        <v>197</v>
      </c>
      <c r="B95" s="35" t="s">
        <v>206</v>
      </c>
      <c r="C95" s="4" t="s">
        <v>68</v>
      </c>
      <c r="D95" s="4"/>
      <c r="E95" s="4"/>
      <c r="F95" s="4"/>
      <c r="G95" s="3">
        <f>IF(D95&lt;&gt;0, E95/D95, 0)</f>
        <v>0</v>
      </c>
      <c r="H95" s="3">
        <f>IF(D95&lt;&gt;0, F95/D95, 0)</f>
        <v>0</v>
      </c>
      <c r="I95" s="3">
        <f>SUMIF(recipes!K:K,A95,recipes!R:R)</f>
        <v>0</v>
      </c>
      <c r="J95" s="3">
        <f>SUMIF(recipes!K:K,A95,recipes!S:S)</f>
        <v>0</v>
      </c>
      <c r="K95" s="3">
        <f>SUMIF(recipes!K:K,A95,recipes!T:T)</f>
        <v>4.75</v>
      </c>
      <c r="L95" s="96">
        <f>COUNTIF(recipes!K:K,A95)</f>
        <v>1</v>
      </c>
      <c r="M95" s="3"/>
    </row>
    <row r="96" spans="1:14" ht="13.5" thickBot="1" x14ac:dyDescent="0.25">
      <c r="A96" s="19" t="s">
        <v>110</v>
      </c>
      <c r="B96" s="36" t="s">
        <v>206</v>
      </c>
      <c r="C96" s="16" t="s">
        <v>68</v>
      </c>
      <c r="D96" s="116"/>
      <c r="E96" s="116"/>
      <c r="F96" s="116"/>
      <c r="G96" s="7">
        <f>IF(D96&lt;&gt;0, E96/D96, 0)</f>
        <v>0</v>
      </c>
      <c r="H96" s="7">
        <f>IF(D96&lt;&gt;0, F96/D96, 0)</f>
        <v>0</v>
      </c>
      <c r="I96" s="7">
        <f>SUMIF(recipes!K:K,A96,recipes!R:R)</f>
        <v>0</v>
      </c>
      <c r="J96" s="7">
        <f>SUMIF(recipes!K:K,A96,recipes!S:S)</f>
        <v>0</v>
      </c>
      <c r="K96" s="7">
        <f>SUMIF(recipes!K:K,A96,recipes!T:T)</f>
        <v>5.25</v>
      </c>
      <c r="L96" s="97">
        <f>COUNTIF(recipes!K:K,A96)</f>
        <v>1</v>
      </c>
      <c r="M96" s="3"/>
    </row>
    <row r="97" spans="1:13" ht="14.25" thickTop="1" thickBot="1" x14ac:dyDescent="0.25">
      <c r="A97" s="8" t="s">
        <v>53</v>
      </c>
      <c r="B97" s="37"/>
      <c r="M97" s="3"/>
    </row>
  </sheetData>
  <sortState ref="A2:L96">
    <sortCondition ref="C2:C96"/>
    <sortCondition ref="A2:A96"/>
  </sortState>
  <conditionalFormatting sqref="G29:J31 G68:J83 G26:J27 G57:J57 G44:J45 G34:J39 G47:J51 M48:M51 M35:M39 M58 M27:M28 M69:M84 M30:M32 G2:M11 M86:M97 G85:L96 M64:M67 G63:L66 M18:M25 G17:L24 M53:M56 G53:J55 M16 M41:M46 G41:J42">
    <cfRule type="cellIs" dxfId="99" priority="82" operator="equal">
      <formula>0</formula>
    </cfRule>
  </conditionalFormatting>
  <conditionalFormatting sqref="G28:J28 M29">
    <cfRule type="cellIs" dxfId="98" priority="80" operator="equal">
      <formula>0</formula>
    </cfRule>
  </conditionalFormatting>
  <conditionalFormatting sqref="G67:J67 M68">
    <cfRule type="cellIs" dxfId="97" priority="79" operator="equal">
      <formula>0</formula>
    </cfRule>
  </conditionalFormatting>
  <conditionalFormatting sqref="G25:J25 M26">
    <cfRule type="cellIs" dxfId="96" priority="78" operator="equal">
      <formula>0</formula>
    </cfRule>
  </conditionalFormatting>
  <conditionalFormatting sqref="G84:J84 M85">
    <cfRule type="cellIs" dxfId="95" priority="77" operator="equal">
      <formula>0</formula>
    </cfRule>
  </conditionalFormatting>
  <conditionalFormatting sqref="G58:J58 M59">
    <cfRule type="cellIs" dxfId="94" priority="75" operator="equal">
      <formula>0</formula>
    </cfRule>
  </conditionalFormatting>
  <conditionalFormatting sqref="G61:J61 M62">
    <cfRule type="cellIs" dxfId="93" priority="74" operator="equal">
      <formula>0</formula>
    </cfRule>
  </conditionalFormatting>
  <conditionalFormatting sqref="G62:J62 M63">
    <cfRule type="cellIs" dxfId="92" priority="73" operator="equal">
      <formula>0</formula>
    </cfRule>
  </conditionalFormatting>
  <conditionalFormatting sqref="G16:J16 M17">
    <cfRule type="cellIs" dxfId="91" priority="72" operator="equal">
      <formula>0</formula>
    </cfRule>
  </conditionalFormatting>
  <conditionalFormatting sqref="G43:J43">
    <cfRule type="cellIs" dxfId="90" priority="71" operator="equal">
      <formula>0</formula>
    </cfRule>
  </conditionalFormatting>
  <conditionalFormatting sqref="G56:J56 M57">
    <cfRule type="cellIs" dxfId="89" priority="70" operator="equal">
      <formula>0</formula>
    </cfRule>
  </conditionalFormatting>
  <conditionalFormatting sqref="G59:J59 M60">
    <cfRule type="cellIs" dxfId="88" priority="69" operator="equal">
      <formula>0</formula>
    </cfRule>
  </conditionalFormatting>
  <conditionalFormatting sqref="G60:J60 M61">
    <cfRule type="cellIs" dxfId="87" priority="68" operator="equal">
      <formula>0</formula>
    </cfRule>
  </conditionalFormatting>
  <conditionalFormatting sqref="G33:J33 M34">
    <cfRule type="cellIs" dxfId="86" priority="67" operator="equal">
      <formula>0</formula>
    </cfRule>
  </conditionalFormatting>
  <conditionalFormatting sqref="G46:J46 M47">
    <cfRule type="cellIs" dxfId="85" priority="66" operator="equal">
      <formula>0</formula>
    </cfRule>
  </conditionalFormatting>
  <conditionalFormatting sqref="G32:J32 M33">
    <cfRule type="cellIs" dxfId="84" priority="65" operator="equal">
      <formula>0</formula>
    </cfRule>
  </conditionalFormatting>
  <conditionalFormatting sqref="K32">
    <cfRule type="cellIs" dxfId="83" priority="30" operator="equal">
      <formula>0</formula>
    </cfRule>
  </conditionalFormatting>
  <conditionalFormatting sqref="L29:L31 L68:L83 L26:L27 L57 L44:L45 L34:L39 L47:L51 L53:L55 L41:L42">
    <cfRule type="cellIs" dxfId="82" priority="63" operator="equal">
      <formula>0</formula>
    </cfRule>
  </conditionalFormatting>
  <conditionalFormatting sqref="L28">
    <cfRule type="cellIs" dxfId="81" priority="61" operator="equal">
      <formula>0</formula>
    </cfRule>
  </conditionalFormatting>
  <conditionalFormatting sqref="L67">
    <cfRule type="cellIs" dxfId="80" priority="60" operator="equal">
      <formula>0</formula>
    </cfRule>
  </conditionalFormatting>
  <conditionalFormatting sqref="L25">
    <cfRule type="cellIs" dxfId="79" priority="59" operator="equal">
      <formula>0</formula>
    </cfRule>
  </conditionalFormatting>
  <conditionalFormatting sqref="L84">
    <cfRule type="cellIs" dxfId="78" priority="58" operator="equal">
      <formula>0</formula>
    </cfRule>
  </conditionalFormatting>
  <conditionalFormatting sqref="L58">
    <cfRule type="cellIs" dxfId="77" priority="57" operator="equal">
      <formula>0</formula>
    </cfRule>
  </conditionalFormatting>
  <conditionalFormatting sqref="L61">
    <cfRule type="cellIs" dxfId="76" priority="56" operator="equal">
      <formula>0</formula>
    </cfRule>
  </conditionalFormatting>
  <conditionalFormatting sqref="L62">
    <cfRule type="cellIs" dxfId="75" priority="55" operator="equal">
      <formula>0</formula>
    </cfRule>
  </conditionalFormatting>
  <conditionalFormatting sqref="L16">
    <cfRule type="cellIs" dxfId="74" priority="54" operator="equal">
      <formula>0</formula>
    </cfRule>
  </conditionalFormatting>
  <conditionalFormatting sqref="L43">
    <cfRule type="cellIs" dxfId="73" priority="53" operator="equal">
      <formula>0</formula>
    </cfRule>
  </conditionalFormatting>
  <conditionalFormatting sqref="L56">
    <cfRule type="cellIs" dxfId="72" priority="52" operator="equal">
      <formula>0</formula>
    </cfRule>
  </conditionalFormatting>
  <conditionalFormatting sqref="L59">
    <cfRule type="cellIs" dxfId="71" priority="51" operator="equal">
      <formula>0</formula>
    </cfRule>
  </conditionalFormatting>
  <conditionalFormatting sqref="L60">
    <cfRule type="cellIs" dxfId="70" priority="50" operator="equal">
      <formula>0</formula>
    </cfRule>
  </conditionalFormatting>
  <conditionalFormatting sqref="L33">
    <cfRule type="cellIs" dxfId="69" priority="49" operator="equal">
      <formula>0</formula>
    </cfRule>
  </conditionalFormatting>
  <conditionalFormatting sqref="L46">
    <cfRule type="cellIs" dxfId="68" priority="48" operator="equal">
      <formula>0</formula>
    </cfRule>
  </conditionalFormatting>
  <conditionalFormatting sqref="L32">
    <cfRule type="cellIs" dxfId="67" priority="47" operator="equal">
      <formula>0</formula>
    </cfRule>
  </conditionalFormatting>
  <conditionalFormatting sqref="K29:K31 K68:K83 K26:K27 K57 K44:K45 K34:K39 K47:K51 K53:K55 K41:K42">
    <cfRule type="cellIs" dxfId="66" priority="46" operator="equal">
      <formula>0</formula>
    </cfRule>
  </conditionalFormatting>
  <conditionalFormatting sqref="K28">
    <cfRule type="cellIs" dxfId="65" priority="44" operator="equal">
      <formula>0</formula>
    </cfRule>
  </conditionalFormatting>
  <conditionalFormatting sqref="K67">
    <cfRule type="cellIs" dxfId="64" priority="43" operator="equal">
      <formula>0</formula>
    </cfRule>
  </conditionalFormatting>
  <conditionalFormatting sqref="K25">
    <cfRule type="cellIs" dxfId="63" priority="42" operator="equal">
      <formula>0</formula>
    </cfRule>
  </conditionalFormatting>
  <conditionalFormatting sqref="K84">
    <cfRule type="cellIs" dxfId="62" priority="41" operator="equal">
      <formula>0</formula>
    </cfRule>
  </conditionalFormatting>
  <conditionalFormatting sqref="K58">
    <cfRule type="cellIs" dxfId="61" priority="40" operator="equal">
      <formula>0</formula>
    </cfRule>
  </conditionalFormatting>
  <conditionalFormatting sqref="K61">
    <cfRule type="cellIs" dxfId="60" priority="39" operator="equal">
      <formula>0</formula>
    </cfRule>
  </conditionalFormatting>
  <conditionalFormatting sqref="K62">
    <cfRule type="cellIs" dxfId="59" priority="38" operator="equal">
      <formula>0</formula>
    </cfRule>
  </conditionalFormatting>
  <conditionalFormatting sqref="K16">
    <cfRule type="cellIs" dxfId="58" priority="37" operator="equal">
      <formula>0</formula>
    </cfRule>
  </conditionalFormatting>
  <conditionalFormatting sqref="K43">
    <cfRule type="cellIs" dxfId="57" priority="36" operator="equal">
      <formula>0</formula>
    </cfRule>
  </conditionalFormatting>
  <conditionalFormatting sqref="K56">
    <cfRule type="cellIs" dxfId="56" priority="35" operator="equal">
      <formula>0</formula>
    </cfRule>
  </conditionalFormatting>
  <conditionalFormatting sqref="K59">
    <cfRule type="cellIs" dxfId="55" priority="34" operator="equal">
      <formula>0</formula>
    </cfRule>
  </conditionalFormatting>
  <conditionalFormatting sqref="K60">
    <cfRule type="cellIs" dxfId="54" priority="33" operator="equal">
      <formula>0</formula>
    </cfRule>
  </conditionalFormatting>
  <conditionalFormatting sqref="K33">
    <cfRule type="cellIs" dxfId="53" priority="32" operator="equal">
      <formula>0</formula>
    </cfRule>
  </conditionalFormatting>
  <conditionalFormatting sqref="K46">
    <cfRule type="cellIs" dxfId="52" priority="31" operator="equal">
      <formula>0</formula>
    </cfRule>
  </conditionalFormatting>
  <conditionalFormatting sqref="L2:L11 L53:L96 L16:L39 L41:L51">
    <cfRule type="cellIs" dxfId="51" priority="29" operator="equal">
      <formula>0</formula>
    </cfRule>
  </conditionalFormatting>
  <conditionalFormatting sqref="M52 G52:J52">
    <cfRule type="cellIs" dxfId="50" priority="28" operator="equal">
      <formula>0</formula>
    </cfRule>
  </conditionalFormatting>
  <conditionalFormatting sqref="L52">
    <cfRule type="cellIs" dxfId="49" priority="27" operator="equal">
      <formula>0</formula>
    </cfRule>
  </conditionalFormatting>
  <conditionalFormatting sqref="K52">
    <cfRule type="cellIs" dxfId="48" priority="26" operator="equal">
      <formula>0</formula>
    </cfRule>
  </conditionalFormatting>
  <conditionalFormatting sqref="L52">
    <cfRule type="cellIs" dxfId="47" priority="25" operator="equal">
      <formula>0</formula>
    </cfRule>
  </conditionalFormatting>
  <conditionalFormatting sqref="M15">
    <cfRule type="cellIs" dxfId="46" priority="24" operator="equal">
      <formula>0</formula>
    </cfRule>
  </conditionalFormatting>
  <conditionalFormatting sqref="G15:J15">
    <cfRule type="cellIs" dxfId="45" priority="23" operator="equal">
      <formula>0</formula>
    </cfRule>
  </conditionalFormatting>
  <conditionalFormatting sqref="L15">
    <cfRule type="cellIs" dxfId="44" priority="22" operator="equal">
      <formula>0</formula>
    </cfRule>
  </conditionalFormatting>
  <conditionalFormatting sqref="K15">
    <cfRule type="cellIs" dxfId="43" priority="21" operator="equal">
      <formula>0</formula>
    </cfRule>
  </conditionalFormatting>
  <conditionalFormatting sqref="L15">
    <cfRule type="cellIs" dxfId="42" priority="20" operator="equal">
      <formula>0</formula>
    </cfRule>
  </conditionalFormatting>
  <conditionalFormatting sqref="M13">
    <cfRule type="cellIs" dxfId="41" priority="19" operator="equal">
      <formula>0</formula>
    </cfRule>
  </conditionalFormatting>
  <conditionalFormatting sqref="G13:J13">
    <cfRule type="cellIs" dxfId="40" priority="18" operator="equal">
      <formula>0</formula>
    </cfRule>
  </conditionalFormatting>
  <conditionalFormatting sqref="L13">
    <cfRule type="cellIs" dxfId="39" priority="17" operator="equal">
      <formula>0</formula>
    </cfRule>
  </conditionalFormatting>
  <conditionalFormatting sqref="K13">
    <cfRule type="cellIs" dxfId="38" priority="16" operator="equal">
      <formula>0</formula>
    </cfRule>
  </conditionalFormatting>
  <conditionalFormatting sqref="L13">
    <cfRule type="cellIs" dxfId="37" priority="15" operator="equal">
      <formula>0</formula>
    </cfRule>
  </conditionalFormatting>
  <conditionalFormatting sqref="M12">
    <cfRule type="cellIs" dxfId="36" priority="14" operator="equal">
      <formula>0</formula>
    </cfRule>
  </conditionalFormatting>
  <conditionalFormatting sqref="G12:J12">
    <cfRule type="cellIs" dxfId="35" priority="13" operator="equal">
      <formula>0</formula>
    </cfRule>
  </conditionalFormatting>
  <conditionalFormatting sqref="L12">
    <cfRule type="cellIs" dxfId="34" priority="12" operator="equal">
      <formula>0</formula>
    </cfRule>
  </conditionalFormatting>
  <conditionalFormatting sqref="K12">
    <cfRule type="cellIs" dxfId="33" priority="11" operator="equal">
      <formula>0</formula>
    </cfRule>
  </conditionalFormatting>
  <conditionalFormatting sqref="L12">
    <cfRule type="cellIs" dxfId="32" priority="10" operator="equal">
      <formula>0</formula>
    </cfRule>
  </conditionalFormatting>
  <conditionalFormatting sqref="M14">
    <cfRule type="cellIs" dxfId="31" priority="9" operator="equal">
      <formula>0</formula>
    </cfRule>
  </conditionalFormatting>
  <conditionalFormatting sqref="G14:J14">
    <cfRule type="cellIs" dxfId="30" priority="8" operator="equal">
      <formula>0</formula>
    </cfRule>
  </conditionalFormatting>
  <conditionalFormatting sqref="L14">
    <cfRule type="cellIs" dxfId="29" priority="7" operator="equal">
      <formula>0</formula>
    </cfRule>
  </conditionalFormatting>
  <conditionalFormatting sqref="K14">
    <cfRule type="cellIs" dxfId="28" priority="6" operator="equal">
      <formula>0</formula>
    </cfRule>
  </conditionalFormatting>
  <conditionalFormatting sqref="L14">
    <cfRule type="cellIs" dxfId="27" priority="5" operator="equal">
      <formula>0</formula>
    </cfRule>
  </conditionalFormatting>
  <conditionalFormatting sqref="M40 G40:J40">
    <cfRule type="cellIs" dxfId="26" priority="4" operator="equal">
      <formula>0</formula>
    </cfRule>
  </conditionalFormatting>
  <conditionalFormatting sqref="L40">
    <cfRule type="cellIs" dxfId="25" priority="3" operator="equal">
      <formula>0</formula>
    </cfRule>
  </conditionalFormatting>
  <conditionalFormatting sqref="K40">
    <cfRule type="cellIs" dxfId="24" priority="2" operator="equal">
      <formula>0</formula>
    </cfRule>
  </conditionalFormatting>
  <conditionalFormatting sqref="L40">
    <cfRule type="cellIs" dxfId="23" priority="1" operator="equal">
      <formula>0</formula>
    </cfRule>
  </conditionalFormatting>
  <dataValidations count="2">
    <dataValidation type="list" showInputMessage="1" showErrorMessage="1" sqref="C2:C96" xr:uid="{124AB2BC-86CC-4B23-9BC2-BB9FD1721E5B}">
      <formula1>shoppingNames</formula1>
    </dataValidation>
    <dataValidation type="list" allowBlank="1" showInputMessage="1" showErrorMessage="1" sqref="B2:B96" xr:uid="{719B68A9-48D6-496A-B9EA-4C7B9E5D27A4}">
      <formula1>prepMethods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4F1E-C26E-4F90-A95D-D6E10706BE4A}">
  <dimension ref="A1:J84"/>
  <sheetViews>
    <sheetView zoomScale="85" zoomScaleNormal="85" workbookViewId="0">
      <selection activeCell="K14" sqref="K14"/>
    </sheetView>
  </sheetViews>
  <sheetFormatPr defaultRowHeight="12.75" x14ac:dyDescent="0.2"/>
  <cols>
    <col min="1" max="1" width="19.140625" style="1" bestFit="1" customWidth="1"/>
    <col min="2" max="3" width="6" style="2" bestFit="1" customWidth="1"/>
    <col min="4" max="4" width="6.42578125" style="2" bestFit="1" customWidth="1"/>
    <col min="5" max="5" width="6.42578125" style="98" customWidth="1"/>
    <col min="6" max="6" width="26" style="2" bestFit="1" customWidth="1"/>
    <col min="7" max="7" width="6.42578125" style="98" customWidth="1"/>
    <col min="8" max="16384" width="9.140625" style="1"/>
  </cols>
  <sheetData>
    <row r="1" spans="1:10" ht="26.25" thickBot="1" x14ac:dyDescent="0.25">
      <c r="A1" s="12" t="s">
        <v>73</v>
      </c>
      <c r="B1" s="13" t="s">
        <v>115</v>
      </c>
      <c r="C1" s="13" t="s">
        <v>116</v>
      </c>
      <c r="D1" s="13" t="s">
        <v>114</v>
      </c>
      <c r="E1" s="94" t="s">
        <v>423</v>
      </c>
      <c r="F1" s="13" t="s">
        <v>178</v>
      </c>
      <c r="G1" s="94" t="s">
        <v>424</v>
      </c>
    </row>
    <row r="2" spans="1:10" x14ac:dyDescent="0.2">
      <c r="A2" s="20" t="s">
        <v>432</v>
      </c>
      <c r="B2" s="23">
        <f>SUMIF(support!C:C,A2,support!I:I)</f>
        <v>0</v>
      </c>
      <c r="C2" s="24">
        <f>SUMIF(support!C:C,A2,support!J:J)</f>
        <v>0</v>
      </c>
      <c r="D2" s="24">
        <f>SUMIF(support!C:C,A2,support!K:K)</f>
        <v>15.4</v>
      </c>
      <c r="E2" s="99">
        <f>SUMIF(support!C:C,A2,support!L:L)</f>
        <v>1</v>
      </c>
      <c r="F2" s="114" t="s">
        <v>447</v>
      </c>
      <c r="G2" s="25" t="b">
        <f>OR(COUNTIF(B2:D2, "&lt;&gt;0") &gt; 1, E2 = 0)</f>
        <v>0</v>
      </c>
      <c r="J2" s="1" t="s">
        <v>407</v>
      </c>
    </row>
    <row r="3" spans="1:10" x14ac:dyDescent="0.2">
      <c r="A3" s="21" t="s">
        <v>433</v>
      </c>
      <c r="B3" s="26">
        <f>SUMIF(support!C:C,A3,support!I:I)</f>
        <v>0</v>
      </c>
      <c r="C3" s="3">
        <f>SUMIF(support!C:C,A3,support!J:J)</f>
        <v>0</v>
      </c>
      <c r="D3" s="3">
        <f>SUMIF(support!C:C,A3,support!K:K)</f>
        <v>15.4</v>
      </c>
      <c r="E3" s="100">
        <f>SUMIF(support!C:C,A3,support!L:L)</f>
        <v>1</v>
      </c>
      <c r="F3" s="3"/>
      <c r="G3" s="27" t="b">
        <f>OR(COUNTIF(B3:D3, "&lt;&gt;0") &gt; 1, E3 = 0)</f>
        <v>0</v>
      </c>
      <c r="J3" s="1" t="s">
        <v>409</v>
      </c>
    </row>
    <row r="4" spans="1:10" x14ac:dyDescent="0.2">
      <c r="A4" s="21" t="s">
        <v>90</v>
      </c>
      <c r="B4" s="26">
        <f>SUMIF(support!C:C,A4,support!I:I)</f>
        <v>0</v>
      </c>
      <c r="C4" s="3">
        <f>SUMIF(support!C:C,A4,support!J:J)</f>
        <v>0</v>
      </c>
      <c r="D4" s="3">
        <f>SUMIF(support!C:C,A4,support!K:K)</f>
        <v>4.25</v>
      </c>
      <c r="E4" s="100">
        <f>SUMIF(support!C:C,A4,support!L:L)</f>
        <v>2</v>
      </c>
      <c r="F4" s="3"/>
      <c r="G4" s="27" t="b">
        <f>OR(COUNTIF(B4:D4, "&lt;&gt;0") &gt; 1, E4 = 0)</f>
        <v>0</v>
      </c>
      <c r="J4" s="1" t="s">
        <v>410</v>
      </c>
    </row>
    <row r="5" spans="1:10" x14ac:dyDescent="0.2">
      <c r="A5" s="21" t="s">
        <v>51</v>
      </c>
      <c r="B5" s="26">
        <f>SUMIF(support!C:C,A5,support!I:I)</f>
        <v>3.7333412732584614E-2</v>
      </c>
      <c r="C5" s="3">
        <f>SUMIF(support!C:C,A5,support!J:J)</f>
        <v>0</v>
      </c>
      <c r="D5" s="3">
        <f>SUMIF(support!C:C,A5,support!K:K)</f>
        <v>0</v>
      </c>
      <c r="E5" s="100">
        <f>SUMIF(support!C:C,A5,support!L:L)</f>
        <v>1</v>
      </c>
      <c r="F5" s="3"/>
      <c r="G5" s="27" t="b">
        <f>OR(COUNTIF(B5:D5, "&lt;&gt;0") &gt; 1, E5 = 0)</f>
        <v>0</v>
      </c>
      <c r="J5" s="1" t="s">
        <v>411</v>
      </c>
    </row>
    <row r="6" spans="1:10" x14ac:dyDescent="0.2">
      <c r="A6" s="21" t="s">
        <v>2</v>
      </c>
      <c r="B6" s="26">
        <f>SUMIF(support!C:C,A6,support!I:I)</f>
        <v>1.0954999999999999</v>
      </c>
      <c r="C6" s="3">
        <f>SUMIF(support!C:C,A6,support!J:J)</f>
        <v>0.53232353212499994</v>
      </c>
      <c r="D6" s="3">
        <f>SUMIF(support!C:C,A6,support!K:K)</f>
        <v>0</v>
      </c>
      <c r="E6" s="100">
        <f>SUMIF(support!C:C,A6,support!L:L)</f>
        <v>3</v>
      </c>
      <c r="F6" s="3"/>
      <c r="G6" s="27" t="b">
        <f>OR(COUNTIF(B6:D6, "&lt;&gt;0") &gt; 1, E6 = 0)</f>
        <v>1</v>
      </c>
      <c r="J6" s="31" t="s">
        <v>408</v>
      </c>
    </row>
    <row r="7" spans="1:10" s="31" customFormat="1" x14ac:dyDescent="0.2">
      <c r="A7" s="21" t="s">
        <v>65</v>
      </c>
      <c r="B7" s="26">
        <f>SUMIF(support!C:C,A7,support!I:I)</f>
        <v>3.1186210797729168</v>
      </c>
      <c r="C7" s="3">
        <f>SUMIF(support!C:C,A7,support!J:J)</f>
        <v>0</v>
      </c>
      <c r="D7" s="3">
        <f>SUMIF(support!C:C,A7,support!K:K)</f>
        <v>28.55</v>
      </c>
      <c r="E7" s="100">
        <f>SUMIF(support!C:C,A7,support!L:L)</f>
        <v>9</v>
      </c>
      <c r="F7" s="3"/>
      <c r="G7" s="27" t="b">
        <f>OR(COUNTIF(B7:D7, "&lt;&gt;0") &gt; 1, E7 = 0)</f>
        <v>1</v>
      </c>
    </row>
    <row r="8" spans="1:10" x14ac:dyDescent="0.2">
      <c r="A8" s="21" t="s">
        <v>187</v>
      </c>
      <c r="B8" s="26">
        <f>SUMIF(support!C:C,A8,support!I:I)</f>
        <v>0</v>
      </c>
      <c r="C8" s="3">
        <f>SUMIF(support!C:C,A8,support!J:J)</f>
        <v>0.47317647299999999</v>
      </c>
      <c r="D8" s="3">
        <f>SUMIF(support!C:C,A8,support!K:K)</f>
        <v>0</v>
      </c>
      <c r="E8" s="100">
        <f>SUMIF(support!C:C,A8,support!L:L)</f>
        <v>1</v>
      </c>
      <c r="F8" s="3"/>
      <c r="G8" s="27" t="b">
        <f>OR(COUNTIF(B8:D8, "&lt;&gt;0") &gt; 1, E8 = 0)</f>
        <v>0</v>
      </c>
    </row>
    <row r="9" spans="1:10" s="31" customFormat="1" x14ac:dyDescent="0.2">
      <c r="A9" s="21" t="s">
        <v>164</v>
      </c>
      <c r="B9" s="26">
        <f>SUMIF(support!C:C,A9,support!I:I)</f>
        <v>0</v>
      </c>
      <c r="C9" s="3">
        <f>SUMIF(support!C:C,A9,support!J:J)</f>
        <v>0</v>
      </c>
      <c r="D9" s="3">
        <f>SUMIF(support!C:C,A9,support!K:K)</f>
        <v>3</v>
      </c>
      <c r="E9" s="100">
        <f>SUMIF(support!C:C,A9,support!L:L)</f>
        <v>3</v>
      </c>
      <c r="F9" s="3"/>
      <c r="G9" s="27" t="b">
        <f>OR(COUNTIF(B9:D9, "&lt;&gt;0") &gt; 1, E9 = 0)</f>
        <v>0</v>
      </c>
    </row>
    <row r="10" spans="1:10" s="31" customFormat="1" x14ac:dyDescent="0.2">
      <c r="A10" s="21" t="s">
        <v>64</v>
      </c>
      <c r="B10" s="26">
        <f>SUMIF(support!C:C,A10,support!I:I)</f>
        <v>0</v>
      </c>
      <c r="C10" s="3">
        <f>SUMIF(support!C:C,A10,support!J:J)</f>
        <v>0</v>
      </c>
      <c r="D10" s="3">
        <f>SUMIF(support!C:C,A10,support!K:K)</f>
        <v>43.15</v>
      </c>
      <c r="E10" s="100">
        <f>SUMIF(support!C:C,A10,support!L:L)</f>
        <v>8</v>
      </c>
      <c r="F10" s="3"/>
      <c r="G10" s="27" t="b">
        <f>OR(COUNTIF(B10:D10, "&lt;&gt;0") &gt; 1, E10 = 0)</f>
        <v>0</v>
      </c>
    </row>
    <row r="11" spans="1:10" s="31" customFormat="1" x14ac:dyDescent="0.2">
      <c r="A11" s="21" t="s">
        <v>118</v>
      </c>
      <c r="B11" s="26">
        <f>SUMIF(support!C:C,A11,support!I:I)</f>
        <v>0</v>
      </c>
      <c r="C11" s="3">
        <f>SUMIF(support!C:C,A11,support!J:J)</f>
        <v>5.9147059124999998E-2</v>
      </c>
      <c r="D11" s="3">
        <f>SUMIF(support!C:C,A11,support!K:K)</f>
        <v>0</v>
      </c>
      <c r="E11" s="100">
        <f>SUMIF(support!C:C,A11,support!L:L)</f>
        <v>1</v>
      </c>
      <c r="F11" s="3"/>
      <c r="G11" s="27" t="b">
        <f>OR(COUNTIF(B11:D11, "&lt;&gt;0") &gt; 1, E11 = 0)</f>
        <v>0</v>
      </c>
    </row>
    <row r="12" spans="1:10" s="31" customFormat="1" x14ac:dyDescent="0.2">
      <c r="A12" s="21" t="s">
        <v>106</v>
      </c>
      <c r="B12" s="26">
        <f>SUMIF(support!C:C,A12,support!I:I)</f>
        <v>1.0388910983621014E-2</v>
      </c>
      <c r="C12" s="3">
        <f>SUMIF(support!C:C,A12,support!J:J)</f>
        <v>0</v>
      </c>
      <c r="D12" s="3">
        <f>SUMIF(support!C:C,A12,support!K:K)</f>
        <v>0</v>
      </c>
      <c r="E12" s="100">
        <f>SUMIF(support!C:C,A12,support!L:L)</f>
        <v>3</v>
      </c>
      <c r="F12" s="3"/>
      <c r="G12" s="27" t="b">
        <f>OR(COUNTIF(B12:D12, "&lt;&gt;0") &gt; 1, E12 = 0)</f>
        <v>0</v>
      </c>
    </row>
    <row r="13" spans="1:10" s="31" customFormat="1" x14ac:dyDescent="0.2">
      <c r="A13" s="21" t="s">
        <v>163</v>
      </c>
      <c r="B13" s="26">
        <f>SUMIF(support!C:C,A13,support!I:I)</f>
        <v>1.0098</v>
      </c>
      <c r="C13" s="3">
        <f>SUMIF(support!C:C,A13,support!J:J)</f>
        <v>0</v>
      </c>
      <c r="D13" s="3">
        <f>SUMIF(support!C:C,A13,support!K:K)</f>
        <v>0</v>
      </c>
      <c r="E13" s="100">
        <f>SUMIF(support!C:C,A13,support!L:L)</f>
        <v>1</v>
      </c>
      <c r="F13" s="3"/>
      <c r="G13" s="27" t="b">
        <f>OR(COUNTIF(B13:D13, "&lt;&gt;0") &gt; 1, E13 = 0)</f>
        <v>0</v>
      </c>
    </row>
    <row r="14" spans="1:10" x14ac:dyDescent="0.2">
      <c r="A14" s="21" t="s">
        <v>52</v>
      </c>
      <c r="B14" s="26">
        <f>SUMIF(support!C:C,A14,support!I:I)</f>
        <v>2.5666721253651919E-2</v>
      </c>
      <c r="C14" s="3">
        <f>SUMIF(support!C:C,A14,support!J:J)</f>
        <v>0</v>
      </c>
      <c r="D14" s="3">
        <f>SUMIF(support!C:C,A14,support!K:K)</f>
        <v>0</v>
      </c>
      <c r="E14" s="100">
        <f>SUMIF(support!C:C,A14,support!L:L)</f>
        <v>1</v>
      </c>
      <c r="F14" s="3"/>
      <c r="G14" s="27" t="b">
        <f>OR(COUNTIF(B14:D14, "&lt;&gt;0") &gt; 1, E14 = 0)</f>
        <v>0</v>
      </c>
    </row>
    <row r="15" spans="1:10" x14ac:dyDescent="0.2">
      <c r="A15" s="21" t="s">
        <v>9</v>
      </c>
      <c r="B15" s="26">
        <f>SUMIF(support!C:C,A15,support!I:I)</f>
        <v>4.2000089324157684E-2</v>
      </c>
      <c r="C15" s="3">
        <f>SUMIF(support!C:C,A15,support!J:J)</f>
        <v>0</v>
      </c>
      <c r="D15" s="3">
        <f>SUMIF(support!C:C,A15,support!K:K)</f>
        <v>0</v>
      </c>
      <c r="E15" s="100">
        <f>SUMIF(support!C:C,A15,support!L:L)</f>
        <v>2</v>
      </c>
      <c r="F15" s="3"/>
      <c r="G15" s="27" t="b">
        <f>OR(COUNTIF(B15:D15, "&lt;&gt;0") &gt; 1, E15 = 0)</f>
        <v>0</v>
      </c>
    </row>
    <row r="16" spans="1:10" x14ac:dyDescent="0.2">
      <c r="A16" s="21" t="s">
        <v>75</v>
      </c>
      <c r="B16" s="26">
        <f>SUMIF(support!C:C,A16,support!I:I)</f>
        <v>0</v>
      </c>
      <c r="C16" s="3">
        <f>SUMIF(support!C:C,A16,support!J:J)</f>
        <v>8.7488358289062484E-2</v>
      </c>
      <c r="D16" s="3">
        <f>SUMIF(support!C:C,A16,support!K:K)</f>
        <v>0</v>
      </c>
      <c r="E16" s="100">
        <f>SUMIF(support!C:C,A16,support!L:L)</f>
        <v>2</v>
      </c>
      <c r="F16" s="3"/>
      <c r="G16" s="27" t="b">
        <f>OR(COUNTIF(B16:D16, "&lt;&gt;0") &gt; 1, E16 = 0)</f>
        <v>0</v>
      </c>
    </row>
    <row r="17" spans="1:7" x14ac:dyDescent="0.2">
      <c r="A17" s="21" t="s">
        <v>105</v>
      </c>
      <c r="B17" s="26">
        <f>SUMIF(support!C:C,A17,support!I:I)</f>
        <v>1.1666691478932692E-3</v>
      </c>
      <c r="C17" s="3">
        <f>SUMIF(support!C:C,A17,support!J:J)</f>
        <v>0</v>
      </c>
      <c r="D17" s="3">
        <f>SUMIF(support!C:C,A17,support!K:K)</f>
        <v>0</v>
      </c>
      <c r="E17" s="100">
        <f>SUMIF(support!C:C,A17,support!L:L)</f>
        <v>1</v>
      </c>
      <c r="F17" s="3"/>
      <c r="G17" s="27" t="b">
        <f>OR(COUNTIF(B17:D17, "&lt;&gt;0") &gt; 1, E17 = 0)</f>
        <v>0</v>
      </c>
    </row>
    <row r="18" spans="1:7" x14ac:dyDescent="0.2">
      <c r="A18" s="21" t="s">
        <v>287</v>
      </c>
      <c r="B18" s="26">
        <f>SUMIF(support!C:C,A18,support!I:I)</f>
        <v>0</v>
      </c>
      <c r="C18" s="3">
        <f>SUMIF(support!C:C,A18,support!J:J)</f>
        <v>0.47317647299999999</v>
      </c>
      <c r="D18" s="3">
        <f>SUMIF(support!C:C,A18,support!K:K)</f>
        <v>0</v>
      </c>
      <c r="E18" s="100">
        <f>SUMIF(support!C:C,A18,support!L:L)</f>
        <v>1</v>
      </c>
      <c r="F18" s="3"/>
      <c r="G18" s="27" t="b">
        <f>OR(COUNTIF(B18:D18, "&lt;&gt;0") &gt; 1, E18 = 0)</f>
        <v>0</v>
      </c>
    </row>
    <row r="19" spans="1:7" s="31" customFormat="1" x14ac:dyDescent="0.2">
      <c r="A19" s="21" t="s">
        <v>99</v>
      </c>
      <c r="B19" s="26">
        <f>SUMIF(support!C:C,A19,support!I:I)</f>
        <v>0.28612498367337558</v>
      </c>
      <c r="C19" s="3">
        <f>SUMIF(support!C:C,A19,support!J:J)</f>
        <v>0</v>
      </c>
      <c r="D19" s="3">
        <f>SUMIF(support!C:C,A19,support!K:K)</f>
        <v>0</v>
      </c>
      <c r="E19" s="100">
        <f>SUMIF(support!C:C,A19,support!L:L)</f>
        <v>1</v>
      </c>
      <c r="F19" s="3"/>
      <c r="G19" s="27" t="b">
        <f>OR(COUNTIF(B19:D19, "&lt;&gt;0") &gt; 1, E19 = 0)</f>
        <v>0</v>
      </c>
    </row>
    <row r="20" spans="1:7" s="31" customFormat="1" x14ac:dyDescent="0.2">
      <c r="A20" s="21" t="s">
        <v>100</v>
      </c>
      <c r="B20" s="26">
        <f>SUMIF(support!C:C,A20,support!I:I)</f>
        <v>0.70699995965775986</v>
      </c>
      <c r="C20" s="3">
        <f>SUMIF(support!C:C,A20,support!J:J)</f>
        <v>0</v>
      </c>
      <c r="D20" s="3">
        <f>SUMIF(support!C:C,A20,support!K:K)</f>
        <v>0</v>
      </c>
      <c r="E20" s="100">
        <f>SUMIF(support!C:C,A20,support!L:L)</f>
        <v>1</v>
      </c>
      <c r="F20" s="3"/>
      <c r="G20" s="27" t="b">
        <f>OR(COUNTIF(B20:D20, "&lt;&gt;0") &gt; 1, E20 = 0)</f>
        <v>0</v>
      </c>
    </row>
    <row r="21" spans="1:7" x14ac:dyDescent="0.2">
      <c r="A21" s="21" t="s">
        <v>289</v>
      </c>
      <c r="B21" s="26">
        <f>SUMIF(support!C:C,A21,support!I:I)</f>
        <v>0</v>
      </c>
      <c r="C21" s="3">
        <f>SUMIF(support!C:C,A21,support!J:J)</f>
        <v>1.478676478125E-2</v>
      </c>
      <c r="D21" s="3">
        <f>SUMIF(support!C:C,A21,support!K:K)</f>
        <v>0</v>
      </c>
      <c r="E21" s="100">
        <f>SUMIF(support!C:C,A21,support!L:L)</f>
        <v>1</v>
      </c>
      <c r="F21" s="3"/>
      <c r="G21" s="27" t="b">
        <f>OR(COUNTIF(B21:D21, "&lt;&gt;0") &gt; 1, E21 = 0)</f>
        <v>0</v>
      </c>
    </row>
    <row r="22" spans="1:7" s="31" customFormat="1" x14ac:dyDescent="0.2">
      <c r="A22" s="21" t="s">
        <v>203</v>
      </c>
      <c r="B22" s="26">
        <f>SUMIF(support!C:C,A22,support!I:I)</f>
        <v>1.0587499395864968</v>
      </c>
      <c r="C22" s="3">
        <f>SUMIF(support!C:C,A22,support!J:J)</f>
        <v>0</v>
      </c>
      <c r="D22" s="3">
        <f>SUMIF(support!C:C,A22,support!K:K)</f>
        <v>0</v>
      </c>
      <c r="E22" s="100">
        <f>SUMIF(support!C:C,A22,support!L:L)</f>
        <v>2</v>
      </c>
      <c r="F22" s="3"/>
      <c r="G22" s="27" t="b">
        <f>OR(COUNTIF(B22:D22, "&lt;&gt;0") &gt; 1, E22 = 0)</f>
        <v>0</v>
      </c>
    </row>
    <row r="23" spans="1:7" x14ac:dyDescent="0.2">
      <c r="A23" s="21" t="s">
        <v>84</v>
      </c>
      <c r="B23" s="26">
        <f>SUMIF(support!C:C,A23,support!I:I)</f>
        <v>0</v>
      </c>
      <c r="C23" s="3">
        <f>SUMIF(support!C:C,A23,support!J:J)</f>
        <v>0</v>
      </c>
      <c r="D23" s="3">
        <f>SUMIF(support!C:C,A23,support!K:K)</f>
        <v>0</v>
      </c>
      <c r="E23" s="100">
        <f>SUMIF(support!C:C,A23,support!L:L)</f>
        <v>1</v>
      </c>
      <c r="F23" s="3"/>
      <c r="G23" s="27" t="b">
        <f>OR(COUNTIF(B23:D23, "&lt;&gt;0") &gt; 1, E23 = 0)</f>
        <v>0</v>
      </c>
    </row>
    <row r="24" spans="1:7" x14ac:dyDescent="0.2">
      <c r="A24" s="21" t="s">
        <v>79</v>
      </c>
      <c r="B24" s="26">
        <f>SUMIF(support!C:C,A24,support!I:I)</f>
        <v>0</v>
      </c>
      <c r="C24" s="3">
        <f>SUMIF(support!C:C,A24,support!J:J)</f>
        <v>2.2180147171874998E-2</v>
      </c>
      <c r="D24" s="3">
        <f>SUMIF(support!C:C,A24,support!K:K)</f>
        <v>0</v>
      </c>
      <c r="E24" s="100">
        <f>SUMIF(support!C:C,A24,support!L:L)</f>
        <v>3</v>
      </c>
      <c r="F24" s="3"/>
      <c r="G24" s="27" t="b">
        <f>OR(COUNTIF(B24:D24, "&lt;&gt;0") &gt; 1, E24 = 0)</f>
        <v>0</v>
      </c>
    </row>
    <row r="25" spans="1:7" x14ac:dyDescent="0.2">
      <c r="A25" s="21" t="s">
        <v>321</v>
      </c>
      <c r="B25" s="26">
        <f>SUMIF(support!C:C,A25,support!I:I)</f>
        <v>0</v>
      </c>
      <c r="C25" s="3">
        <f>SUMIF(support!C:C,A25,support!J:J)</f>
        <v>0</v>
      </c>
      <c r="D25" s="3">
        <f>SUMIF(support!C:C,A25,support!K:K)</f>
        <v>0</v>
      </c>
      <c r="E25" s="100">
        <f>SUMIF(support!C:C,A25,support!L:L)</f>
        <v>1</v>
      </c>
      <c r="F25" s="3"/>
      <c r="G25" s="27" t="b">
        <f>OR(COUNTIF(B25:D25, "&lt;&gt;0") &gt; 1, E25 = 0)</f>
        <v>0</v>
      </c>
    </row>
    <row r="26" spans="1:7" x14ac:dyDescent="0.2">
      <c r="A26" s="21" t="s">
        <v>91</v>
      </c>
      <c r="B26" s="26">
        <f>SUMIF(support!C:C,A26,support!I:I)</f>
        <v>0</v>
      </c>
      <c r="C26" s="3">
        <f>SUMIF(support!C:C,A26,support!J:J)</f>
        <v>0</v>
      </c>
      <c r="D26" s="3">
        <f>SUMIF(support!C:C,A26,support!K:K)</f>
        <v>2.5</v>
      </c>
      <c r="E26" s="100">
        <f>SUMIF(support!C:C,A26,support!L:L)</f>
        <v>1</v>
      </c>
      <c r="F26" s="3"/>
      <c r="G26" s="27" t="b">
        <f>OR(COUNTIF(B26:D26, "&lt;&gt;0") &gt; 1, E26 = 0)</f>
        <v>0</v>
      </c>
    </row>
    <row r="27" spans="1:7" x14ac:dyDescent="0.2">
      <c r="A27" s="21" t="s">
        <v>320</v>
      </c>
      <c r="B27" s="26">
        <f>SUMIF(support!C:C,A27,support!I:I)</f>
        <v>0</v>
      </c>
      <c r="C27" s="3">
        <f>SUMIF(support!C:C,A27,support!J:J)</f>
        <v>0</v>
      </c>
      <c r="D27" s="3">
        <f>SUMIF(support!C:C,A27,support!K:K)</f>
        <v>0</v>
      </c>
      <c r="E27" s="100">
        <f>SUMIF(support!C:C,A27,support!L:L)</f>
        <v>1</v>
      </c>
      <c r="F27" s="3"/>
      <c r="G27" s="27" t="b">
        <f>OR(COUNTIF(B27:D27, "&lt;&gt;0") &gt; 1, E27 = 0)</f>
        <v>0</v>
      </c>
    </row>
    <row r="28" spans="1:7" x14ac:dyDescent="0.2">
      <c r="A28" s="21" t="s">
        <v>92</v>
      </c>
      <c r="B28" s="26">
        <f>SUMIF(support!C:C,A28,support!I:I)</f>
        <v>0</v>
      </c>
      <c r="C28" s="3">
        <f>SUMIF(support!C:C,A28,support!J:J)</f>
        <v>0</v>
      </c>
      <c r="D28" s="3">
        <f>SUMIF(support!C:C,A28,support!K:K)</f>
        <v>2.5</v>
      </c>
      <c r="E28" s="100">
        <f>SUMIF(support!C:C,A28,support!L:L)</f>
        <v>1</v>
      </c>
      <c r="F28" s="3"/>
      <c r="G28" s="27" t="b">
        <f>OR(COUNTIF(B28:D28, "&lt;&gt;0") &gt; 1, E28 = 0)</f>
        <v>0</v>
      </c>
    </row>
    <row r="29" spans="1:7" x14ac:dyDescent="0.2">
      <c r="A29" s="21" t="s">
        <v>10</v>
      </c>
      <c r="B29" s="26">
        <f>SUMIF(support!C:C,A29,support!I:I)</f>
        <v>2.5000053169141483E-2</v>
      </c>
      <c r="C29" s="3">
        <f>SUMIF(support!C:C,A29,support!J:J)</f>
        <v>0</v>
      </c>
      <c r="D29" s="3">
        <f>SUMIF(support!C:C,A29,support!K:K)</f>
        <v>0</v>
      </c>
      <c r="E29" s="100">
        <f>SUMIF(support!C:C,A29,support!L:L)</f>
        <v>1</v>
      </c>
      <c r="F29" s="3"/>
      <c r="G29" s="27" t="b">
        <f>OR(COUNTIF(B29:D29, "&lt;&gt;0") &gt; 1, E29 = 0)</f>
        <v>0</v>
      </c>
    </row>
    <row r="30" spans="1:7" x14ac:dyDescent="0.2">
      <c r="A30" s="21" t="s">
        <v>69</v>
      </c>
      <c r="B30" s="26">
        <f>SUMIF(support!C:C,A30,support!I:I)</f>
        <v>0</v>
      </c>
      <c r="C30" s="3">
        <f>SUMIF(support!C:C,A30,support!J:J)</f>
        <v>0</v>
      </c>
      <c r="D30" s="3">
        <f>SUMIF(support!C:C,A30,support!K:K)</f>
        <v>29</v>
      </c>
      <c r="E30" s="100">
        <f>SUMIF(support!C:C,A30,support!L:L)</f>
        <v>6</v>
      </c>
      <c r="F30" s="3"/>
      <c r="G30" s="27" t="b">
        <f>OR(COUNTIF(B30:D30, "&lt;&gt;0") &gt; 1, E30 = 0)</f>
        <v>0</v>
      </c>
    </row>
    <row r="31" spans="1:7" x14ac:dyDescent="0.2">
      <c r="A31" s="21" t="s">
        <v>70</v>
      </c>
      <c r="B31" s="26">
        <f>SUMIF(support!C:C,A31,support!I:I)</f>
        <v>0</v>
      </c>
      <c r="C31" s="3">
        <f>SUMIF(support!C:C,A31,support!J:J)</f>
        <v>0.42142279626562501</v>
      </c>
      <c r="D31" s="3">
        <f>SUMIF(support!C:C,A31,support!K:K)</f>
        <v>0</v>
      </c>
      <c r="E31" s="100">
        <f>SUMIF(support!C:C,A31,support!L:L)</f>
        <v>8</v>
      </c>
      <c r="F31" s="3"/>
      <c r="G31" s="27" t="b">
        <f>OR(COUNTIF(B31:D31, "&lt;&gt;0") &gt; 1, E31 = 0)</f>
        <v>0</v>
      </c>
    </row>
    <row r="32" spans="1:7" x14ac:dyDescent="0.2">
      <c r="A32" s="21" t="s">
        <v>196</v>
      </c>
      <c r="B32" s="26">
        <f>SUMIF(support!C:C,A32,support!I:I)</f>
        <v>0</v>
      </c>
      <c r="C32" s="3">
        <f>SUMIF(support!C:C,A32,support!J:J)</f>
        <v>0.17744117737499998</v>
      </c>
      <c r="D32" s="3">
        <f>SUMIF(support!C:C,A32,support!K:K)</f>
        <v>0</v>
      </c>
      <c r="E32" s="100">
        <f>SUMIF(support!C:C,A32,support!L:L)</f>
        <v>1</v>
      </c>
      <c r="F32" s="102" t="s">
        <v>190</v>
      </c>
      <c r="G32" s="32" t="b">
        <f>OR(COUNTIF(B32:D32, "&lt;&gt;0") &gt; 1, E32 = 0)</f>
        <v>0</v>
      </c>
    </row>
    <row r="33" spans="1:7" s="31" customFormat="1" x14ac:dyDescent="0.2">
      <c r="A33" s="21" t="s">
        <v>441</v>
      </c>
      <c r="B33" s="26">
        <f>SUMIF(support!C:C,A33,support!I:I)</f>
        <v>0</v>
      </c>
      <c r="C33" s="3">
        <f>SUMIF(support!C:C,A33,support!J:J)</f>
        <v>0</v>
      </c>
      <c r="D33" s="3">
        <f>SUMIF(support!C:C,A33,support!K:K)</f>
        <v>0</v>
      </c>
      <c r="E33" s="100">
        <f>SUMIF(support!C:C,A33,support!L:L)</f>
        <v>1</v>
      </c>
      <c r="F33" s="3" t="s">
        <v>440</v>
      </c>
      <c r="G33" s="27" t="b">
        <f>OR(COUNTIF(B33:D33, "&lt;&gt;0") &gt; 1, E33 = 0)</f>
        <v>0</v>
      </c>
    </row>
    <row r="34" spans="1:7" x14ac:dyDescent="0.2">
      <c r="A34" s="21" t="s">
        <v>182</v>
      </c>
      <c r="B34" s="26">
        <f>SUMIF(support!C:C,A34,support!I:I)</f>
        <v>0.75</v>
      </c>
      <c r="C34" s="3">
        <f>SUMIF(support!C:C,A34,support!J:J)</f>
        <v>0</v>
      </c>
      <c r="D34" s="3">
        <f>SUMIF(support!C:C,A34,support!K:K)</f>
        <v>0</v>
      </c>
      <c r="E34" s="100">
        <f>SUMIF(support!C:C,A34,support!L:L)</f>
        <v>1</v>
      </c>
      <c r="F34" s="6" t="s">
        <v>183</v>
      </c>
      <c r="G34" s="27" t="b">
        <f>OR(COUNTIF(B34:D34, "&lt;&gt;0") &gt; 1, E34 = 0)</f>
        <v>0</v>
      </c>
    </row>
    <row r="35" spans="1:7" x14ac:dyDescent="0.2">
      <c r="A35" s="21" t="s">
        <v>165</v>
      </c>
      <c r="B35" s="26">
        <f>SUMIF(support!C:C,A35,support!I:I)</f>
        <v>0</v>
      </c>
      <c r="C35" s="3">
        <f>SUMIF(support!C:C,A35,support!J:J)</f>
        <v>0</v>
      </c>
      <c r="D35" s="3">
        <f>SUMIF(support!C:C,A35,support!K:K)</f>
        <v>3.3</v>
      </c>
      <c r="E35" s="100">
        <f>SUMIF(support!C:C,A35,support!L:L)</f>
        <v>2</v>
      </c>
      <c r="F35" s="3"/>
      <c r="G35" s="27" t="b">
        <f>OR(COUNTIF(B35:D35, "&lt;&gt;0") &gt; 1, E35 = 0)</f>
        <v>0</v>
      </c>
    </row>
    <row r="36" spans="1:7" x14ac:dyDescent="0.2">
      <c r="A36" s="21" t="s">
        <v>49</v>
      </c>
      <c r="B36" s="26">
        <f>SUMIF(support!C:C,A36,support!I:I)</f>
        <v>0</v>
      </c>
      <c r="C36" s="3">
        <f>SUMIF(support!C:C,A36,support!J:J)</f>
        <v>0</v>
      </c>
      <c r="D36" s="3">
        <f>SUMIF(support!C:C,A36,support!K:K)</f>
        <v>2.5</v>
      </c>
      <c r="E36" s="100">
        <f>SUMIF(support!C:C,A36,support!L:L)</f>
        <v>1</v>
      </c>
      <c r="F36" s="3"/>
      <c r="G36" s="27" t="b">
        <f>OR(COUNTIF(B36:D36, "&lt;&gt;0") &gt; 1, E36 = 0)</f>
        <v>0</v>
      </c>
    </row>
    <row r="37" spans="1:7" s="31" customFormat="1" x14ac:dyDescent="0.2">
      <c r="A37" s="21" t="s">
        <v>80</v>
      </c>
      <c r="B37" s="26">
        <f>SUMIF(support!C:C,A37,support!I:I)</f>
        <v>0</v>
      </c>
      <c r="C37" s="3">
        <f>SUMIF(support!C:C,A37,support!J:J)</f>
        <v>0</v>
      </c>
      <c r="D37" s="3">
        <f>SUMIF(support!C:C,A37,support!K:K)</f>
        <v>0</v>
      </c>
      <c r="E37" s="100">
        <f>SUMIF(support!C:C,A37,support!L:L)</f>
        <v>4</v>
      </c>
      <c r="F37" s="3"/>
      <c r="G37" s="27" t="b">
        <f>OR(COUNTIF(B37:D37, "&lt;&gt;0") &gt; 1, E37 = 0)</f>
        <v>0</v>
      </c>
    </row>
    <row r="38" spans="1:7" s="31" customFormat="1" x14ac:dyDescent="0.2">
      <c r="A38" s="21" t="s">
        <v>156</v>
      </c>
      <c r="B38" s="26">
        <f>SUMIF(support!C:C,A38,support!I:I)</f>
        <v>0</v>
      </c>
      <c r="C38" s="3">
        <f>SUMIF(support!C:C,A38,support!J:J)</f>
        <v>3.3270220757812496E-2</v>
      </c>
      <c r="D38" s="3">
        <f>SUMIF(support!C:C,A38,support!K:K)</f>
        <v>0</v>
      </c>
      <c r="E38" s="100">
        <f>SUMIF(support!C:C,A38,support!L:L)</f>
        <v>2</v>
      </c>
      <c r="F38" s="3"/>
      <c r="G38" s="27" t="b">
        <f>OR(COUNTIF(B38:D38, "&lt;&gt;0") &gt; 1, E38 = 0)</f>
        <v>0</v>
      </c>
    </row>
    <row r="39" spans="1:7" x14ac:dyDescent="0.2">
      <c r="A39" s="21" t="s">
        <v>14</v>
      </c>
      <c r="B39" s="26">
        <f>SUMIF(support!C:C,A39,support!I:I)</f>
        <v>2.5666721253651922E-2</v>
      </c>
      <c r="C39" s="3">
        <f>SUMIF(support!C:C,A39,support!J:J)</f>
        <v>0</v>
      </c>
      <c r="D39" s="3">
        <f>SUMIF(support!C:C,A39,support!K:K)</f>
        <v>0</v>
      </c>
      <c r="E39" s="100">
        <f>SUMIF(support!C:C,A39,support!L:L)</f>
        <v>3</v>
      </c>
      <c r="F39" s="3"/>
      <c r="G39" s="27" t="b">
        <f>OR(COUNTIF(B39:D39, "&lt;&gt;0") &gt; 1, E39 = 0)</f>
        <v>0</v>
      </c>
    </row>
    <row r="40" spans="1:7" x14ac:dyDescent="0.2">
      <c r="A40" s="21" t="s">
        <v>316</v>
      </c>
      <c r="B40" s="26">
        <f>SUMIF(support!C:C,A40,support!I:I)</f>
        <v>6.9222369441667306E-2</v>
      </c>
      <c r="C40" s="3">
        <f>SUMIF(support!C:C,A40,support!J:J)</f>
        <v>0</v>
      </c>
      <c r="D40" s="3">
        <f>SUMIF(support!C:C,A40,support!K:K)</f>
        <v>0</v>
      </c>
      <c r="E40" s="100">
        <f>SUMIF(support!C:C,A40,support!L:L)</f>
        <v>6</v>
      </c>
      <c r="F40" s="3"/>
      <c r="G40" s="27" t="b">
        <f>OR(COUNTIF(B40:D40, "&lt;&gt;0") &gt; 1, E40 = 0)</f>
        <v>0</v>
      </c>
    </row>
    <row r="41" spans="1:7" s="31" customFormat="1" x14ac:dyDescent="0.2">
      <c r="A41" s="21" t="s">
        <v>3</v>
      </c>
      <c r="B41" s="26">
        <f>SUMIF(support!C:C,A41,support!I:I)</f>
        <v>7.2249999999999996</v>
      </c>
      <c r="C41" s="3">
        <f>SUMIF(support!C:C,A41,support!J:J)</f>
        <v>0.70976470949999992</v>
      </c>
      <c r="D41" s="3">
        <f>SUMIF(support!C:C,A41,support!K:K)</f>
        <v>0</v>
      </c>
      <c r="E41" s="100">
        <f>SUMIF(support!C:C,A41,support!L:L)</f>
        <v>4</v>
      </c>
      <c r="F41" s="3"/>
      <c r="G41" s="27" t="b">
        <f>OR(COUNTIF(B41:D41, "&lt;&gt;0") &gt; 1, E41 = 0)</f>
        <v>1</v>
      </c>
    </row>
    <row r="42" spans="1:7" x14ac:dyDescent="0.2">
      <c r="A42" s="21" t="s">
        <v>430</v>
      </c>
      <c r="B42" s="26">
        <f>SUMIF(support!C:C,A42,support!I:I)</f>
        <v>0</v>
      </c>
      <c r="C42" s="3">
        <f>SUMIF(support!C:C,A42,support!J:J)</f>
        <v>0</v>
      </c>
      <c r="D42" s="3">
        <f>SUMIF(support!C:C,A42,support!K:K)</f>
        <v>1.925</v>
      </c>
      <c r="E42" s="100">
        <f>SUMIF(support!C:C,A42,support!L:L)</f>
        <v>1</v>
      </c>
      <c r="F42" s="3"/>
      <c r="G42" s="27" t="b">
        <f>OR(COUNTIF(B42:D42, "&lt;&gt;0") &gt; 1, E42 = 0)</f>
        <v>0</v>
      </c>
    </row>
    <row r="43" spans="1:7" x14ac:dyDescent="0.2">
      <c r="A43" s="21" t="s">
        <v>162</v>
      </c>
      <c r="B43" s="26">
        <f>SUMIF(support!C:C,A43,support!I:I)</f>
        <v>0</v>
      </c>
      <c r="C43" s="3">
        <f>SUMIF(support!C:C,A43,support!J:J)</f>
        <v>0</v>
      </c>
      <c r="D43" s="3">
        <f>SUMIF(support!C:C,A43,support!K:K)</f>
        <v>1.25</v>
      </c>
      <c r="E43" s="100">
        <f>SUMIF(support!C:C,A43,support!L:L)</f>
        <v>1</v>
      </c>
      <c r="F43" s="3"/>
      <c r="G43" s="27" t="b">
        <f>OR(COUNTIF(B43:D43, "&lt;&gt;0") &gt; 1, E43 = 0)</f>
        <v>0</v>
      </c>
    </row>
    <row r="44" spans="1:7" s="31" customFormat="1" x14ac:dyDescent="0.2">
      <c r="A44" s="21" t="s">
        <v>166</v>
      </c>
      <c r="B44" s="26">
        <f>SUMIF(support!C:C,A44,support!I:I)</f>
        <v>5.5703999999999994</v>
      </c>
      <c r="C44" s="3">
        <f>SUMIF(support!C:C,A44,support!J:J)</f>
        <v>0</v>
      </c>
      <c r="D44" s="3">
        <f>SUMIF(support!C:C,A44,support!K:K)</f>
        <v>0</v>
      </c>
      <c r="E44" s="100">
        <f>SUMIF(support!C:C,A44,support!L:L)</f>
        <v>1</v>
      </c>
      <c r="F44" s="3"/>
      <c r="G44" s="27" t="b">
        <f>OR(COUNTIF(B44:D44, "&lt;&gt;0") &gt; 1, E44 = 0)</f>
        <v>0</v>
      </c>
    </row>
    <row r="45" spans="1:7" x14ac:dyDescent="0.2">
      <c r="A45" s="21" t="s">
        <v>181</v>
      </c>
      <c r="B45" s="26">
        <f>SUMIF(support!C:C,A45,support!I:I)</f>
        <v>0</v>
      </c>
      <c r="C45" s="3">
        <f>SUMIF(support!C:C,A45,support!J:J)</f>
        <v>0</v>
      </c>
      <c r="D45" s="3">
        <f>SUMIF(support!C:C,A45,support!K:K)</f>
        <v>3</v>
      </c>
      <c r="E45" s="100">
        <f>SUMIF(support!C:C,A45,support!L:L)</f>
        <v>1</v>
      </c>
      <c r="F45" s="6" t="s">
        <v>431</v>
      </c>
      <c r="G45" s="27" t="b">
        <f>OR(COUNTIF(B45:D45, "&lt;&gt;0") &gt; 1, E45 = 0)</f>
        <v>0</v>
      </c>
    </row>
    <row r="46" spans="1:7" x14ac:dyDescent="0.2">
      <c r="A46" s="21" t="s">
        <v>60</v>
      </c>
      <c r="B46" s="26">
        <f>SUMIF(support!C:C,A46,support!I:I)</f>
        <v>0</v>
      </c>
      <c r="C46" s="3">
        <f>SUMIF(support!C:C,A46,support!J:J)</f>
        <v>4.8056985539062499E-2</v>
      </c>
      <c r="D46" s="3">
        <f>SUMIF(support!C:C,A46,support!K:K)</f>
        <v>0</v>
      </c>
      <c r="E46" s="100">
        <f>SUMIF(support!C:C,A46,support!L:L)</f>
        <v>1</v>
      </c>
      <c r="F46" s="3"/>
      <c r="G46" s="27" t="b">
        <f>OR(COUNTIF(B46:D46, "&lt;&gt;0") &gt; 1, E46 = 0)</f>
        <v>0</v>
      </c>
    </row>
    <row r="47" spans="1:7" s="31" customFormat="1" x14ac:dyDescent="0.2">
      <c r="A47" s="21" t="s">
        <v>76</v>
      </c>
      <c r="B47" s="26">
        <f>SUMIF(support!C:C,A47,support!I:I)</f>
        <v>0</v>
      </c>
      <c r="C47" s="3">
        <f>SUMIF(support!C:C,A47,support!J:J)</f>
        <v>5.9147059124999998E-2</v>
      </c>
      <c r="D47" s="3">
        <f>SUMIF(support!C:C,A47,support!K:K)</f>
        <v>0</v>
      </c>
      <c r="E47" s="100">
        <f>SUMIF(support!C:C,A47,support!L:L)</f>
        <v>1</v>
      </c>
      <c r="F47" s="3"/>
      <c r="G47" s="27" t="b">
        <f>OR(COUNTIF(B47:D47, "&lt;&gt;0") &gt; 1, E47 = 0)</f>
        <v>0</v>
      </c>
    </row>
    <row r="48" spans="1:7" s="31" customFormat="1" x14ac:dyDescent="0.2">
      <c r="A48" s="21" t="s">
        <v>46</v>
      </c>
      <c r="B48" s="26">
        <f>SUMIF(support!C:C,A48,support!I:I)</f>
        <v>0</v>
      </c>
      <c r="C48" s="3">
        <f>SUMIF(support!C:C,A48,support!J:J)</f>
        <v>0.46578309060937501</v>
      </c>
      <c r="D48" s="3">
        <f>SUMIF(support!C:C,A48,support!K:K)</f>
        <v>0</v>
      </c>
      <c r="E48" s="100">
        <f>SUMIF(support!C:C,A48,support!L:L)</f>
        <v>7</v>
      </c>
      <c r="F48" s="3"/>
      <c r="G48" s="27" t="b">
        <f>OR(COUNTIF(B48:D48, "&lt;&gt;0") &gt; 1, E48 = 0)</f>
        <v>0</v>
      </c>
    </row>
    <row r="49" spans="1:7" x14ac:dyDescent="0.2">
      <c r="A49" s="21" t="s">
        <v>77</v>
      </c>
      <c r="B49" s="26">
        <f>SUMIF(support!C:C,A49,support!I:I)</f>
        <v>0</v>
      </c>
      <c r="C49" s="3">
        <f>SUMIF(support!C:C,A49,support!J:J)</f>
        <v>5.9147059124999998E-2</v>
      </c>
      <c r="D49" s="3">
        <f>SUMIF(support!C:C,A49,support!K:K)</f>
        <v>0</v>
      </c>
      <c r="E49" s="100">
        <f>SUMIF(support!C:C,A49,support!L:L)</f>
        <v>1</v>
      </c>
      <c r="F49" s="3"/>
      <c r="G49" s="27" t="b">
        <f>OR(COUNTIF(B49:D49, "&lt;&gt;0") &gt; 1, E49 = 0)</f>
        <v>0</v>
      </c>
    </row>
    <row r="50" spans="1:7" x14ac:dyDescent="0.2">
      <c r="A50" s="21" t="s">
        <v>66</v>
      </c>
      <c r="B50" s="26">
        <f>SUMIF(support!C:C,A50,support!I:I)</f>
        <v>1.5725000000000002</v>
      </c>
      <c r="C50" s="3">
        <f>SUMIF(support!C:C,A50,support!J:J)</f>
        <v>0</v>
      </c>
      <c r="D50" s="3">
        <f>SUMIF(support!C:C,A50,support!K:K)</f>
        <v>0</v>
      </c>
      <c r="E50" s="100">
        <f>SUMIF(support!C:C,A50,support!L:L)</f>
        <v>4</v>
      </c>
      <c r="F50" s="3"/>
      <c r="G50" s="27" t="b">
        <f>OR(COUNTIF(B50:D50, "&lt;&gt;0") &gt; 1, E50 = 0)</f>
        <v>0</v>
      </c>
    </row>
    <row r="51" spans="1:7" x14ac:dyDescent="0.2">
      <c r="A51" s="21" t="s">
        <v>435</v>
      </c>
      <c r="B51" s="26">
        <f>SUMIF(support!C:C,A51,support!I:I)</f>
        <v>0</v>
      </c>
      <c r="C51" s="3">
        <f>SUMIF(support!C:C,A51,support!J:J)</f>
        <v>0</v>
      </c>
      <c r="D51" s="3">
        <f>SUMIF(support!C:C,A51,support!K:K)</f>
        <v>15.4</v>
      </c>
      <c r="E51" s="100">
        <f>SUMIF(support!C:C,A51,support!L:L)</f>
        <v>1</v>
      </c>
      <c r="F51" s="3"/>
      <c r="G51" s="27" t="b">
        <f>OR(COUNTIF(B51:D51, "&lt;&gt;0") &gt; 1, E51 = 0)</f>
        <v>0</v>
      </c>
    </row>
    <row r="52" spans="1:7" x14ac:dyDescent="0.2">
      <c r="A52" s="21" t="s">
        <v>104</v>
      </c>
      <c r="B52" s="26">
        <f>SUMIF(support!C:C,A52,support!I:I)</f>
        <v>7.3333489296148356E-3</v>
      </c>
      <c r="C52" s="3">
        <f>SUMIF(support!C:C,A52,support!J:J)</f>
        <v>0</v>
      </c>
      <c r="D52" s="3">
        <f>SUMIF(support!C:C,A52,support!K:K)</f>
        <v>0</v>
      </c>
      <c r="E52" s="100">
        <f>SUMIF(support!C:C,A52,support!L:L)</f>
        <v>1</v>
      </c>
      <c r="F52" s="3"/>
      <c r="G52" s="27" t="b">
        <f>OR(COUNTIF(B52:D52, "&lt;&gt;0") &gt; 1, E52 = 0)</f>
        <v>0</v>
      </c>
    </row>
    <row r="53" spans="1:7" x14ac:dyDescent="0.2">
      <c r="A53" s="21" t="s">
        <v>109</v>
      </c>
      <c r="B53" s="26">
        <f>SUMIF(support!C:C,A53,support!I:I)</f>
        <v>0</v>
      </c>
      <c r="C53" s="3">
        <f>SUMIF(support!C:C,A53,support!J:J)</f>
        <v>0.70976470949999992</v>
      </c>
      <c r="D53" s="3">
        <f>SUMIF(support!C:C,A53,support!K:K)</f>
        <v>0</v>
      </c>
      <c r="E53" s="100">
        <f>SUMIF(support!C:C,A53,support!L:L)</f>
        <v>2</v>
      </c>
      <c r="F53" s="3"/>
      <c r="G53" s="27" t="b">
        <f>OR(COUNTIF(B53:D53, "&lt;&gt;0") &gt; 1, E53 = 0)</f>
        <v>0</v>
      </c>
    </row>
    <row r="54" spans="1:7" x14ac:dyDescent="0.2">
      <c r="A54" s="21" t="s">
        <v>121</v>
      </c>
      <c r="B54" s="26">
        <f>SUMIF(support!C:C,A54,support!I:I)</f>
        <v>0</v>
      </c>
      <c r="C54" s="3">
        <f>SUMIF(support!C:C,A54,support!J:J)</f>
        <v>0.23658823649999999</v>
      </c>
      <c r="D54" s="3">
        <f>SUMIF(support!C:C,A54,support!K:K)</f>
        <v>0</v>
      </c>
      <c r="E54" s="100">
        <f>SUMIF(support!C:C,A54,support!L:L)</f>
        <v>1</v>
      </c>
      <c r="F54" s="3"/>
      <c r="G54" s="27" t="b">
        <f>OR(COUNTIF(B54:D54, "&lt;&gt;0") &gt; 1, E54 = 0)</f>
        <v>0</v>
      </c>
    </row>
    <row r="55" spans="1:7" x14ac:dyDescent="0.2">
      <c r="A55" s="21" t="s">
        <v>434</v>
      </c>
      <c r="B55" s="26">
        <f>SUMIF(support!C:C,A55,support!I:I)</f>
        <v>0</v>
      </c>
      <c r="C55" s="3">
        <f>SUMIF(support!C:C,A55,support!J:J)</f>
        <v>0</v>
      </c>
      <c r="D55" s="3">
        <f>SUMIF(support!C:C,A55,support!K:K)</f>
        <v>15.4</v>
      </c>
      <c r="E55" s="100">
        <f>SUMIF(support!C:C,A55,support!L:L)</f>
        <v>1</v>
      </c>
      <c r="F55" s="3"/>
      <c r="G55" s="27" t="b">
        <f>OR(COUNTIF(B55:D55, "&lt;&gt;0") &gt; 1, E55 = 0)</f>
        <v>0</v>
      </c>
    </row>
    <row r="56" spans="1:7" s="31" customFormat="1" x14ac:dyDescent="0.2">
      <c r="A56" s="21" t="s">
        <v>67</v>
      </c>
      <c r="B56" s="26">
        <f>SUMIF(support!C:C,A56,support!I:I)</f>
        <v>4.6749999999999998</v>
      </c>
      <c r="C56" s="3">
        <f>SUMIF(support!C:C,A56,support!J:J)</f>
        <v>0</v>
      </c>
      <c r="D56" s="3">
        <f>SUMIF(support!C:C,A56,support!K:K)</f>
        <v>0</v>
      </c>
      <c r="E56" s="100">
        <f>SUMIF(support!C:C,A56,support!L:L)</f>
        <v>3</v>
      </c>
      <c r="F56" s="3"/>
      <c r="G56" s="27" t="b">
        <f>OR(COUNTIF(B56:D56, "&lt;&gt;0") &gt; 1, E56 = 0)</f>
        <v>0</v>
      </c>
    </row>
    <row r="57" spans="1:7" s="31" customFormat="1" x14ac:dyDescent="0.2">
      <c r="A57" s="21" t="s">
        <v>400</v>
      </c>
      <c r="B57" s="26">
        <f>SUMIF(support!C:C,A57,support!I:I)</f>
        <v>0.2675812954815</v>
      </c>
      <c r="C57" s="3">
        <f>SUMIF(support!C:C,A57,support!J:J)</f>
        <v>0</v>
      </c>
      <c r="D57" s="3">
        <f>SUMIF(support!C:C,A57,support!K:K)</f>
        <v>0</v>
      </c>
      <c r="E57" s="100">
        <f>SUMIF(support!C:C,A57,support!L:L)</f>
        <v>1</v>
      </c>
      <c r="F57" s="3"/>
      <c r="G57" s="27" t="b">
        <f>OR(COUNTIF(B57:D57, "&lt;&gt;0") &gt; 1, E57 = 0)</f>
        <v>0</v>
      </c>
    </row>
    <row r="58" spans="1:7" s="31" customFormat="1" x14ac:dyDescent="0.2">
      <c r="A58" s="21" t="s">
        <v>11</v>
      </c>
      <c r="B58" s="26">
        <f>SUMIF(support!C:C,A58,support!I:I)</f>
        <v>5.6944565551933383E-2</v>
      </c>
      <c r="C58" s="3">
        <f>SUMIF(support!C:C,A58,support!J:J)</f>
        <v>0</v>
      </c>
      <c r="D58" s="3">
        <f>SUMIF(support!C:C,A58,support!K:K)</f>
        <v>0</v>
      </c>
      <c r="E58" s="100">
        <f>SUMIF(support!C:C,A58,support!L:L)</f>
        <v>10</v>
      </c>
      <c r="F58" s="3"/>
      <c r="G58" s="27" t="b">
        <f>OR(COUNTIF(B58:D58, "&lt;&gt;0") &gt; 1, E58 = 0)</f>
        <v>0</v>
      </c>
    </row>
    <row r="59" spans="1:7" s="31" customFormat="1" x14ac:dyDescent="0.2">
      <c r="A59" s="21" t="s">
        <v>173</v>
      </c>
      <c r="B59" s="26">
        <f>SUMIF(support!C:C,A59,support!I:I)</f>
        <v>0</v>
      </c>
      <c r="C59" s="3">
        <f>SUMIF(support!C:C,A59,support!J:J)</f>
        <v>9.2417279882812495E-2</v>
      </c>
      <c r="D59" s="3">
        <f>SUMIF(support!C:C,A59,support!K:K)</f>
        <v>0</v>
      </c>
      <c r="E59" s="100">
        <f>SUMIF(support!C:C,A59,support!L:L)</f>
        <v>1</v>
      </c>
      <c r="F59" s="3"/>
      <c r="G59" s="27" t="b">
        <f>OR(COUNTIF(B59:D59, "&lt;&gt;0") &gt; 1, E59 = 0)</f>
        <v>0</v>
      </c>
    </row>
    <row r="60" spans="1:7" s="31" customFormat="1" x14ac:dyDescent="0.2">
      <c r="A60" s="21" t="s">
        <v>93</v>
      </c>
      <c r="B60" s="26">
        <f>SUMIF(support!C:C,A60,support!I:I)</f>
        <v>0</v>
      </c>
      <c r="C60" s="3">
        <f>SUMIF(support!C:C,A60,support!J:J)</f>
        <v>0</v>
      </c>
      <c r="D60" s="3">
        <f>SUMIF(support!C:C,A60,support!K:K)</f>
        <v>14.25</v>
      </c>
      <c r="E60" s="100">
        <f>SUMIF(support!C:C,A60,support!L:L)</f>
        <v>3</v>
      </c>
      <c r="F60" s="3"/>
      <c r="G60" s="27" t="b">
        <f>OR(COUNTIF(B60:D60, "&lt;&gt;0") &gt; 1, E60 = 0)</f>
        <v>0</v>
      </c>
    </row>
    <row r="61" spans="1:7" s="31" customFormat="1" x14ac:dyDescent="0.2">
      <c r="A61" s="21" t="s">
        <v>119</v>
      </c>
      <c r="B61" s="26">
        <f>SUMIF(support!C:C,A61,support!I:I)</f>
        <v>0</v>
      </c>
      <c r="C61" s="3">
        <f>SUMIF(support!C:C,A61,support!J:J)</f>
        <v>5.9147059124999998E-2</v>
      </c>
      <c r="D61" s="3">
        <f>SUMIF(support!C:C,A61,support!K:K)</f>
        <v>0</v>
      </c>
      <c r="E61" s="100">
        <f>SUMIF(support!C:C,A61,support!L:L)</f>
        <v>1</v>
      </c>
      <c r="F61" s="102" t="s">
        <v>190</v>
      </c>
      <c r="G61" s="32" t="b">
        <f>OR(COUNTIF(B61:D61, "&lt;&gt;0") &gt; 1, E61 = 0)</f>
        <v>0</v>
      </c>
    </row>
    <row r="62" spans="1:7" x14ac:dyDescent="0.2">
      <c r="A62" s="21" t="s">
        <v>296</v>
      </c>
      <c r="B62" s="26">
        <f>SUMIF(support!C:C,A62,support!I:I)</f>
        <v>0</v>
      </c>
      <c r="C62" s="3">
        <f>SUMIF(support!C:C,A62,support!J:J)</f>
        <v>0.47317647299999999</v>
      </c>
      <c r="D62" s="3">
        <f>SUMIF(support!C:C,A62,support!K:K)</f>
        <v>0</v>
      </c>
      <c r="E62" s="100">
        <f>SUMIF(support!C:C,A62,support!L:L)</f>
        <v>1</v>
      </c>
      <c r="F62" s="3"/>
      <c r="G62" s="27" t="b">
        <f>OR(COUNTIF(B62:D62, "&lt;&gt;0") &gt; 1, E62 = 0)</f>
        <v>0</v>
      </c>
    </row>
    <row r="63" spans="1:7" s="31" customFormat="1" x14ac:dyDescent="0.2">
      <c r="A63" s="21" t="s">
        <v>403</v>
      </c>
      <c r="B63" s="26">
        <f>SUMIF(support!C:C,A63,support!I:I)</f>
        <v>0</v>
      </c>
      <c r="C63" s="3">
        <f>SUMIF(support!C:C,A63,support!J:J)</f>
        <v>0.35488235474999996</v>
      </c>
      <c r="D63" s="3">
        <f>SUMIF(support!C:C,A63,support!K:K)</f>
        <v>0</v>
      </c>
      <c r="E63" s="100">
        <f>SUMIF(support!C:C,A63,support!L:L)</f>
        <v>1</v>
      </c>
      <c r="F63" s="3"/>
      <c r="G63" s="27" t="b">
        <f>OR(COUNTIF(B63:D63, "&lt;&gt;0") &gt; 1, E63 = 0)</f>
        <v>0</v>
      </c>
    </row>
    <row r="64" spans="1:7" x14ac:dyDescent="0.2">
      <c r="A64" s="21" t="s">
        <v>322</v>
      </c>
      <c r="B64" s="26">
        <f>SUMIF(support!C:C,A64,support!I:I)</f>
        <v>0</v>
      </c>
      <c r="C64" s="3">
        <f>SUMIF(support!C:C,A64,support!J:J)</f>
        <v>0</v>
      </c>
      <c r="D64" s="3">
        <f>SUMIF(support!C:C,A64,support!K:K)</f>
        <v>0</v>
      </c>
      <c r="E64" s="100">
        <f>SUMIF(support!C:C,A64,support!L:L)</f>
        <v>1</v>
      </c>
      <c r="F64" s="3"/>
      <c r="G64" s="27" t="b">
        <f>OR(COUNTIF(B64:D64, "&lt;&gt;0") &gt; 1, E64 = 0)</f>
        <v>0</v>
      </c>
    </row>
    <row r="65" spans="1:7" x14ac:dyDescent="0.2">
      <c r="A65" s="21" t="s">
        <v>295</v>
      </c>
      <c r="B65" s="26">
        <f>SUMIF(support!C:C,A65,support!I:I)</f>
        <v>0</v>
      </c>
      <c r="C65" s="3">
        <f>SUMIF(support!C:C,A65,support!J:J)</f>
        <v>2.9573529562499999E-2</v>
      </c>
      <c r="D65" s="3">
        <f>SUMIF(support!C:C,A65,support!K:K)</f>
        <v>0</v>
      </c>
      <c r="E65" s="100">
        <f>SUMIF(support!C:C,A65,support!L:L)</f>
        <v>1</v>
      </c>
      <c r="F65" s="3"/>
      <c r="G65" s="27" t="b">
        <f>OR(COUNTIF(B65:D65, "&lt;&gt;0") &gt; 1, E65 = 0)</f>
        <v>0</v>
      </c>
    </row>
    <row r="66" spans="1:7" x14ac:dyDescent="0.2">
      <c r="A66" s="21" t="s">
        <v>171</v>
      </c>
      <c r="B66" s="26">
        <f>SUMIF(support!C:C,A66,support!I:I)</f>
        <v>0</v>
      </c>
      <c r="C66" s="3">
        <f>SUMIF(support!C:C,A66,support!J:J)</f>
        <v>4.4360294343749995E-2</v>
      </c>
      <c r="D66" s="3">
        <f>SUMIF(support!C:C,A66,support!K:K)</f>
        <v>0</v>
      </c>
      <c r="E66" s="100">
        <f>SUMIF(support!C:C,A66,support!L:L)</f>
        <v>1</v>
      </c>
      <c r="F66" s="3"/>
      <c r="G66" s="27" t="b">
        <f>OR(COUNTIF(B66:D66, "&lt;&gt;0") &gt; 1, E66 = 0)</f>
        <v>0</v>
      </c>
    </row>
    <row r="67" spans="1:7" s="31" customFormat="1" x14ac:dyDescent="0.2">
      <c r="A67" s="21" t="s">
        <v>174</v>
      </c>
      <c r="B67" s="26">
        <f>SUMIF(support!C:C,A67,support!I:I)</f>
        <v>0</v>
      </c>
      <c r="C67" s="3">
        <f>SUMIF(support!C:C,A67,support!J:J)</f>
        <v>4.4360294343749995E-2</v>
      </c>
      <c r="D67" s="3">
        <f>SUMIF(support!C:C,A67,support!K:K)</f>
        <v>0</v>
      </c>
      <c r="E67" s="100">
        <f>SUMIF(support!C:C,A67,support!L:L)</f>
        <v>2</v>
      </c>
      <c r="F67" s="3"/>
      <c r="G67" s="27" t="b">
        <f>OR(COUNTIF(B67:D67, "&lt;&gt;0") &gt; 1, E67 = 0)</f>
        <v>0</v>
      </c>
    </row>
    <row r="68" spans="1:7" x14ac:dyDescent="0.2">
      <c r="A68" s="21" t="s">
        <v>179</v>
      </c>
      <c r="B68" s="26">
        <f>SUMIF(support!C:C,A68,support!I:I)</f>
        <v>0</v>
      </c>
      <c r="C68" s="3">
        <f>SUMIF(support!C:C,A68,support!J:J)</f>
        <v>0</v>
      </c>
      <c r="D68" s="3">
        <f>SUMIF(support!C:C,A68,support!K:K)</f>
        <v>3.75</v>
      </c>
      <c r="E68" s="100">
        <f>SUMIF(support!C:C,A68,support!L:L)</f>
        <v>1</v>
      </c>
      <c r="F68" s="3" t="s">
        <v>180</v>
      </c>
      <c r="G68" s="27" t="b">
        <f>OR(COUNTIF(B68:D68, "&lt;&gt;0") &gt; 1, E68 = 0)</f>
        <v>0</v>
      </c>
    </row>
    <row r="69" spans="1:7" s="31" customFormat="1" x14ac:dyDescent="0.2">
      <c r="A69" s="21" t="s">
        <v>159</v>
      </c>
      <c r="B69" s="26">
        <f>SUMIF(support!C:C,A69,support!I:I)</f>
        <v>0</v>
      </c>
      <c r="C69" s="3">
        <f>SUMIF(support!C:C,A69,support!J:J)</f>
        <v>0</v>
      </c>
      <c r="D69" s="3">
        <f>SUMIF(support!C:C,A69,support!K:K)</f>
        <v>2</v>
      </c>
      <c r="E69" s="100">
        <f>SUMIF(support!C:C,A69,support!L:L)</f>
        <v>1</v>
      </c>
      <c r="F69" s="3"/>
      <c r="G69" s="27" t="b">
        <f>OR(COUNTIF(B69:D69, "&lt;&gt;0") &gt; 1, E69 = 0)</f>
        <v>0</v>
      </c>
    </row>
    <row r="70" spans="1:7" x14ac:dyDescent="0.2">
      <c r="A70" s="21" t="s">
        <v>86</v>
      </c>
      <c r="B70" s="26">
        <f>SUMIF(support!C:C,A70,support!I:I)</f>
        <v>0</v>
      </c>
      <c r="C70" s="3">
        <f>SUMIF(support!C:C,A70,support!J:J)</f>
        <v>0</v>
      </c>
      <c r="D70" s="3">
        <f>SUMIF(support!C:C,A70,support!K:K)</f>
        <v>4</v>
      </c>
      <c r="E70" s="100">
        <f>SUMIF(support!C:C,A70,support!L:L)</f>
        <v>1</v>
      </c>
      <c r="F70" s="3"/>
      <c r="G70" s="27" t="b">
        <f>OR(COUNTIF(B70:D70, "&lt;&gt;0") &gt; 1, E70 = 0)</f>
        <v>0</v>
      </c>
    </row>
    <row r="71" spans="1:7" s="31" customFormat="1" x14ac:dyDescent="0.2">
      <c r="A71" s="21" t="s">
        <v>47</v>
      </c>
      <c r="B71" s="26">
        <f>SUMIF(support!C:C,A71,support!I:I)</f>
        <v>0</v>
      </c>
      <c r="C71" s="3">
        <f>SUMIF(support!C:C,A71,support!J:J)</f>
        <v>0</v>
      </c>
      <c r="D71" s="3">
        <f>SUMIF(support!C:C,A71,support!K:K)</f>
        <v>4</v>
      </c>
      <c r="E71" s="100">
        <f>SUMIF(support!C:C,A71,support!L:L)</f>
        <v>2</v>
      </c>
      <c r="F71" s="3"/>
      <c r="G71" s="27" t="b">
        <f>OR(COUNTIF(B71:D71, "&lt;&gt;0") &gt; 1, E71 = 0)</f>
        <v>0</v>
      </c>
    </row>
    <row r="72" spans="1:7" x14ac:dyDescent="0.2">
      <c r="A72" s="21" t="s">
        <v>111</v>
      </c>
      <c r="B72" s="26">
        <f>SUMIF(support!C:C,A72,support!I:I)</f>
        <v>0</v>
      </c>
      <c r="C72" s="3">
        <f>SUMIF(support!C:C,A72,support!J:J)</f>
        <v>0</v>
      </c>
      <c r="D72" s="3">
        <f>SUMIF(support!C:C,A72,support!K:K)</f>
        <v>4.75</v>
      </c>
      <c r="E72" s="100">
        <f>SUMIF(support!C:C,A72,support!L:L)</f>
        <v>4</v>
      </c>
      <c r="F72" s="3" t="s">
        <v>405</v>
      </c>
      <c r="G72" s="27" t="b">
        <f>OR(COUNTIF(B72:D72, "&lt;&gt;0") &gt; 1, E72 = 0)</f>
        <v>0</v>
      </c>
    </row>
    <row r="73" spans="1:7" x14ac:dyDescent="0.2">
      <c r="A73" s="21" t="s">
        <v>122</v>
      </c>
      <c r="B73" s="26">
        <f>SUMIF(support!C:C,A73,support!I:I)</f>
        <v>0</v>
      </c>
      <c r="C73" s="3">
        <f>SUMIF(support!C:C,A73,support!J:J)</f>
        <v>0.8872058868749999</v>
      </c>
      <c r="D73" s="3">
        <f>SUMIF(support!C:C,A73,support!K:K)</f>
        <v>0</v>
      </c>
      <c r="E73" s="100">
        <f>SUMIF(support!C:C,A73,support!L:L)</f>
        <v>2</v>
      </c>
      <c r="F73" s="3" t="s">
        <v>405</v>
      </c>
      <c r="G73" s="27" t="b">
        <f>OR(COUNTIF(B73:D73, "&lt;&gt;0") &gt; 1, E73 = 0)</f>
        <v>0</v>
      </c>
    </row>
    <row r="74" spans="1:7" s="31" customFormat="1" x14ac:dyDescent="0.2">
      <c r="A74" s="21" t="s">
        <v>74</v>
      </c>
      <c r="B74" s="26">
        <f>SUMIF(support!C:C,A74,support!I:I)</f>
        <v>0</v>
      </c>
      <c r="C74" s="3">
        <f>SUMIF(support!C:C,A74,support!J:J)</f>
        <v>0</v>
      </c>
      <c r="D74" s="3">
        <f>SUMIF(support!C:C,A74,support!K:K)</f>
        <v>2</v>
      </c>
      <c r="E74" s="100">
        <f>SUMIF(support!C:C,A74,support!L:L)</f>
        <v>1</v>
      </c>
      <c r="F74" s="3"/>
      <c r="G74" s="27" t="b">
        <f>OR(COUNTIF(B74:D74, "&lt;&gt;0") &gt; 1, E74 = 0)</f>
        <v>0</v>
      </c>
    </row>
    <row r="75" spans="1:7" x14ac:dyDescent="0.2">
      <c r="A75" s="21" t="s">
        <v>290</v>
      </c>
      <c r="B75" s="26">
        <f>SUMIF(support!C:C,A75,support!I:I)</f>
        <v>0</v>
      </c>
      <c r="C75" s="3">
        <f>SUMIF(support!C:C,A75,support!J:J)</f>
        <v>0.94635294599999997</v>
      </c>
      <c r="D75" s="3">
        <f>SUMIF(support!C:C,A75,support!K:K)</f>
        <v>0</v>
      </c>
      <c r="E75" s="100">
        <f>SUMIF(support!C:C,A75,support!L:L)</f>
        <v>1</v>
      </c>
      <c r="F75" s="6" t="s">
        <v>306</v>
      </c>
      <c r="G75" s="27" t="b">
        <f>OR(COUNTIF(B75:D75, "&lt;&gt;0") &gt; 1, E75 = 0)</f>
        <v>0</v>
      </c>
    </row>
    <row r="76" spans="1:7" x14ac:dyDescent="0.2">
      <c r="A76" s="21" t="s">
        <v>63</v>
      </c>
      <c r="B76" s="26">
        <f>SUMIF(support!C:C,A76,support!I:I)</f>
        <v>1.25</v>
      </c>
      <c r="C76" s="3">
        <f>SUMIF(support!C:C,A76,support!J:J)</f>
        <v>1.0646470642499999</v>
      </c>
      <c r="D76" s="3">
        <f>SUMIF(support!C:C,A76,support!K:K)</f>
        <v>2.25</v>
      </c>
      <c r="E76" s="100">
        <f>SUMIF(support!C:C,A76,support!L:L)</f>
        <v>4</v>
      </c>
      <c r="F76" s="3"/>
      <c r="G76" s="27" t="b">
        <f>OR(COUNTIF(B76:D76, "&lt;&gt;0") &gt; 1, E76 = 0)</f>
        <v>1</v>
      </c>
    </row>
    <row r="77" spans="1:7" x14ac:dyDescent="0.2">
      <c r="A77" s="21" t="s">
        <v>71</v>
      </c>
      <c r="B77" s="26">
        <f>SUMIF(support!C:C,A77,support!I:I)</f>
        <v>1.7489999999999999</v>
      </c>
      <c r="C77" s="3">
        <f>SUMIF(support!C:C,A77,support!J:J)</f>
        <v>0</v>
      </c>
      <c r="D77" s="3">
        <f>SUMIF(support!C:C,A77,support!K:K)</f>
        <v>0</v>
      </c>
      <c r="E77" s="100">
        <f>SUMIF(support!C:C,A77,support!L:L)</f>
        <v>1</v>
      </c>
      <c r="F77" s="3"/>
      <c r="G77" s="27" t="b">
        <f>OR(COUNTIF(B77:D77, "&lt;&gt;0") &gt; 1, E77 = 0)</f>
        <v>0</v>
      </c>
    </row>
    <row r="78" spans="1:7" x14ac:dyDescent="0.2">
      <c r="A78" s="21" t="s">
        <v>58</v>
      </c>
      <c r="B78" s="26">
        <f>SUMIF(support!C:C,A78,support!I:I)</f>
        <v>0</v>
      </c>
      <c r="C78" s="3">
        <f>SUMIF(support!C:C,A78,support!J:J)</f>
        <v>9.9012941489999999</v>
      </c>
      <c r="D78" s="3">
        <f>SUMIF(support!C:C,A78,support!K:K)</f>
        <v>0</v>
      </c>
      <c r="E78" s="100">
        <f>SUMIF(support!C:C,A78,support!L:L)</f>
        <v>5</v>
      </c>
      <c r="F78" s="6" t="s">
        <v>304</v>
      </c>
      <c r="G78" s="27" t="b">
        <f>OR(COUNTIF(B78:D78, "&lt;&gt;0") &gt; 1, E78 = 0)</f>
        <v>0</v>
      </c>
    </row>
    <row r="79" spans="1:7" x14ac:dyDescent="0.2">
      <c r="A79" s="21" t="s">
        <v>59</v>
      </c>
      <c r="B79" s="26">
        <f>SUMIF(support!C:C,A79,support!I:I)</f>
        <v>4.675E-2</v>
      </c>
      <c r="C79" s="3">
        <f>SUMIF(support!C:C,A79,support!J:J)</f>
        <v>0</v>
      </c>
      <c r="D79" s="3">
        <f>SUMIF(support!C:C,A79,support!K:K)</f>
        <v>0</v>
      </c>
      <c r="E79" s="100">
        <f>SUMIF(support!C:C,A79,support!L:L)</f>
        <v>1</v>
      </c>
      <c r="F79" s="3"/>
      <c r="G79" s="27" t="b">
        <f>OR(COUNTIF(B79:D79, "&lt;&gt;0") &gt; 1, E79 = 0)</f>
        <v>0</v>
      </c>
    </row>
    <row r="80" spans="1:7" x14ac:dyDescent="0.2">
      <c r="A80" s="21" t="s">
        <v>48</v>
      </c>
      <c r="B80" s="26">
        <f>SUMIF(support!C:C,A80,support!I:I)</f>
        <v>6.2317647299999992</v>
      </c>
      <c r="C80" s="3">
        <f>SUMIF(support!C:C,A80,support!J:J)</f>
        <v>0</v>
      </c>
      <c r="D80" s="3">
        <f>SUMIF(support!C:C,A80,support!K:K)</f>
        <v>0</v>
      </c>
      <c r="E80" s="100">
        <f>SUMIF(support!C:C,A80,support!L:L)</f>
        <v>9</v>
      </c>
      <c r="F80" s="3"/>
      <c r="G80" s="27" t="b">
        <f>OR(COUNTIF(B80:D80, "&lt;&gt;0") &gt; 1, E80 = 0)</f>
        <v>0</v>
      </c>
    </row>
    <row r="81" spans="1:7" x14ac:dyDescent="0.2">
      <c r="A81" s="21" t="s">
        <v>72</v>
      </c>
      <c r="B81" s="26">
        <f>SUMIF(support!C:C,A81,support!I:I)</f>
        <v>0</v>
      </c>
      <c r="C81" s="3">
        <f>SUMIF(support!C:C,A81,support!J:J)</f>
        <v>0</v>
      </c>
      <c r="D81" s="3">
        <f>SUMIF(support!C:C,A81,support!K:K)</f>
        <v>13.25</v>
      </c>
      <c r="E81" s="100">
        <f>SUMIF(support!C:C,A81,support!L:L)</f>
        <v>1</v>
      </c>
      <c r="F81" s="3"/>
      <c r="G81" s="27" t="b">
        <f>OR(COUNTIF(B81:D81, "&lt;&gt;0") &gt; 1, E81 = 0)</f>
        <v>0</v>
      </c>
    </row>
    <row r="82" spans="1:7" x14ac:dyDescent="0.2">
      <c r="A82" s="21" t="s">
        <v>175</v>
      </c>
      <c r="B82" s="26">
        <f>SUMIF(support!C:C,A82,support!I:I)</f>
        <v>0.47125</v>
      </c>
      <c r="C82" s="3">
        <f>SUMIF(support!C:C,A82,support!J:J)</f>
        <v>0</v>
      </c>
      <c r="D82" s="3">
        <f>SUMIF(support!C:C,A82,support!K:K)</f>
        <v>0</v>
      </c>
      <c r="E82" s="100">
        <f>SUMIF(support!C:C,A82,support!L:L)</f>
        <v>1</v>
      </c>
      <c r="F82" s="3"/>
      <c r="G82" s="27" t="b">
        <f>OR(COUNTIF(B82:D82, "&lt;&gt;0") &gt; 1, E82 = 0)</f>
        <v>0</v>
      </c>
    </row>
    <row r="83" spans="1:7" ht="13.5" thickBot="1" x14ac:dyDescent="0.25">
      <c r="A83" s="22" t="s">
        <v>68</v>
      </c>
      <c r="B83" s="28">
        <f>SUMIF(support!C:C,A83,support!I:I)</f>
        <v>0</v>
      </c>
      <c r="C83" s="29">
        <f>SUMIF(support!C:C,A83,support!J:J)</f>
        <v>0</v>
      </c>
      <c r="D83" s="29">
        <f>SUMIF(support!C:C,A83,support!K:K)</f>
        <v>10</v>
      </c>
      <c r="E83" s="101">
        <f>SUMIF(support!C:C,A83,support!L:L)</f>
        <v>2</v>
      </c>
      <c r="F83" s="29"/>
      <c r="G83" s="30" t="b">
        <f>OR(COUNTIF(B83:D83, "&lt;&gt;0") &gt; 1, E83 = 0)</f>
        <v>0</v>
      </c>
    </row>
    <row r="84" spans="1:7" ht="13.5" thickBot="1" x14ac:dyDescent="0.25">
      <c r="A84" s="8" t="s">
        <v>113</v>
      </c>
    </row>
  </sheetData>
  <sortState ref="A2:G83">
    <sortCondition ref="A2:A83"/>
  </sortState>
  <conditionalFormatting sqref="B20:D32 B62:D73 B38:D43 B84:E1048576 G1 G84:G1048576 B75:D83 B1:E8 E45:E83 B45:D55 E13:E32 B13:D18 E34:E43 B34:D36">
    <cfRule type="cellIs" dxfId="22" priority="39" operator="equal">
      <formula>0</formula>
    </cfRule>
  </conditionalFormatting>
  <conditionalFormatting sqref="B19:D19">
    <cfRule type="cellIs" dxfId="21" priority="38" operator="equal">
      <formula>0</formula>
    </cfRule>
  </conditionalFormatting>
  <conditionalFormatting sqref="B74:D74">
    <cfRule type="cellIs" dxfId="20" priority="37" operator="equal">
      <formula>0</formula>
    </cfRule>
  </conditionalFormatting>
  <conditionalFormatting sqref="B58:D58">
    <cfRule type="cellIs" dxfId="19" priority="36" operator="equal">
      <formula>0</formula>
    </cfRule>
  </conditionalFormatting>
  <conditionalFormatting sqref="B59:D59">
    <cfRule type="cellIs" dxfId="18" priority="35" operator="equal">
      <formula>0</formula>
    </cfRule>
  </conditionalFormatting>
  <conditionalFormatting sqref="B61:D61">
    <cfRule type="cellIs" dxfId="17" priority="34" operator="equal">
      <formula>0</formula>
    </cfRule>
  </conditionalFormatting>
  <conditionalFormatting sqref="B57:D57">
    <cfRule type="cellIs" dxfId="16" priority="33" operator="equal">
      <formula>0</formula>
    </cfRule>
  </conditionalFormatting>
  <conditionalFormatting sqref="B56:D56">
    <cfRule type="cellIs" dxfId="15" priority="31" operator="equal">
      <formula>0</formula>
    </cfRule>
  </conditionalFormatting>
  <conditionalFormatting sqref="B37:D37">
    <cfRule type="cellIs" dxfId="14" priority="30" operator="equal">
      <formula>0</formula>
    </cfRule>
  </conditionalFormatting>
  <conditionalFormatting sqref="B60:D60">
    <cfRule type="cellIs" dxfId="13" priority="29" operator="equal">
      <formula>0</formula>
    </cfRule>
  </conditionalFormatting>
  <conditionalFormatting sqref="G2:G8 G45:G83 G13:G32 G34:G43">
    <cfRule type="cellIs" dxfId="12" priority="13" operator="equal">
      <formula>TRUE</formula>
    </cfRule>
  </conditionalFormatting>
  <conditionalFormatting sqref="B44:E44">
    <cfRule type="cellIs" dxfId="11" priority="12" operator="equal">
      <formula>0</formula>
    </cfRule>
  </conditionalFormatting>
  <conditionalFormatting sqref="G44">
    <cfRule type="cellIs" dxfId="10" priority="11" operator="equal">
      <formula>TRUE</formula>
    </cfRule>
  </conditionalFormatting>
  <conditionalFormatting sqref="B11:E11">
    <cfRule type="cellIs" dxfId="9" priority="10" operator="equal">
      <formula>0</formula>
    </cfRule>
  </conditionalFormatting>
  <conditionalFormatting sqref="G11">
    <cfRule type="cellIs" dxfId="8" priority="9" operator="equal">
      <formula>TRUE</formula>
    </cfRule>
  </conditionalFormatting>
  <conditionalFormatting sqref="G12">
    <cfRule type="cellIs" dxfId="7" priority="7" operator="equal">
      <formula>TRUE</formula>
    </cfRule>
  </conditionalFormatting>
  <conditionalFormatting sqref="B12:E12">
    <cfRule type="cellIs" dxfId="6" priority="8" operator="equal">
      <formula>0</formula>
    </cfRule>
  </conditionalFormatting>
  <conditionalFormatting sqref="G9">
    <cfRule type="cellIs" dxfId="5" priority="5" operator="equal">
      <formula>TRUE</formula>
    </cfRule>
  </conditionalFormatting>
  <conditionalFormatting sqref="G10">
    <cfRule type="cellIs" dxfId="4" priority="3" operator="equal">
      <formula>TRUE</formula>
    </cfRule>
  </conditionalFormatting>
  <conditionalFormatting sqref="B9:E9">
    <cfRule type="cellIs" dxfId="3" priority="6" operator="equal">
      <formula>0</formula>
    </cfRule>
  </conditionalFormatting>
  <conditionalFormatting sqref="B10:E10">
    <cfRule type="cellIs" dxfId="2" priority="4" operator="equal">
      <formula>0</formula>
    </cfRule>
  </conditionalFormatting>
  <conditionalFormatting sqref="G33">
    <cfRule type="cellIs" dxfId="1" priority="1" operator="equal">
      <formula>TRUE</formula>
    </cfRule>
  </conditionalFormatting>
  <conditionalFormatting sqref="B33:E33">
    <cfRule type="cellIs" dxfId="0" priority="2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82</vt:i4>
      </vt:variant>
    </vt:vector>
  </HeadingPairs>
  <TitlesOfParts>
    <vt:vector size="87" baseType="lpstr">
      <vt:lpstr>numbers</vt:lpstr>
      <vt:lpstr>recipes</vt:lpstr>
      <vt:lpstr>todos</vt:lpstr>
      <vt:lpstr>support</vt:lpstr>
      <vt:lpstr>shopping</vt:lpstr>
      <vt:lpstr>frBrCount</vt:lpstr>
      <vt:lpstr>frSbrCount</vt:lpstr>
      <vt:lpstr>itemGPerQty</vt:lpstr>
      <vt:lpstr>itemMlPerQty</vt:lpstr>
      <vt:lpstr>itemNames</vt:lpstr>
      <vt:lpstr>itemPrepMethods</vt:lpstr>
      <vt:lpstr>moBrCount</vt:lpstr>
      <vt:lpstr>moDiCount</vt:lpstr>
      <vt:lpstr>moLuCount</vt:lpstr>
      <vt:lpstr>moSbrCount</vt:lpstr>
      <vt:lpstr>moSdiCount</vt:lpstr>
      <vt:lpstr>moSluCount</vt:lpstr>
      <vt:lpstr>prepMethods</vt:lpstr>
      <vt:lpstr>recipe01DayScale</vt:lpstr>
      <vt:lpstr>recipe01TotScale</vt:lpstr>
      <vt:lpstr>recipe02DayScale</vt:lpstr>
      <vt:lpstr>recipe02TotScale</vt:lpstr>
      <vt:lpstr>recipe03DayScale</vt:lpstr>
      <vt:lpstr>recipe03TotScale</vt:lpstr>
      <vt:lpstr>recipe04DayScale</vt:lpstr>
      <vt:lpstr>recipe04TotScale</vt:lpstr>
      <vt:lpstr>recipe05DayScale</vt:lpstr>
      <vt:lpstr>recipe05TotScale</vt:lpstr>
      <vt:lpstr>recipe06DayScale</vt:lpstr>
      <vt:lpstr>recipe06TotScale</vt:lpstr>
      <vt:lpstr>recipe07DayScale</vt:lpstr>
      <vt:lpstr>recipe07TotScale</vt:lpstr>
      <vt:lpstr>recipe08DayScale</vt:lpstr>
      <vt:lpstr>recipe08TotScale</vt:lpstr>
      <vt:lpstr>recipe09DayScale</vt:lpstr>
      <vt:lpstr>recipe09TotScale</vt:lpstr>
      <vt:lpstr>recipe10DayScale</vt:lpstr>
      <vt:lpstr>recipe10TotScale</vt:lpstr>
      <vt:lpstr>recipe11DayScale</vt:lpstr>
      <vt:lpstr>recipe11TotScale</vt:lpstr>
      <vt:lpstr>recipe12DayScale</vt:lpstr>
      <vt:lpstr>recipe12TotScale</vt:lpstr>
      <vt:lpstr>recipe13DayScale</vt:lpstr>
      <vt:lpstr>recipe13TotScale</vt:lpstr>
      <vt:lpstr>recipe14DayScale</vt:lpstr>
      <vt:lpstr>recipe14TotScale</vt:lpstr>
      <vt:lpstr>recipe15DayScale</vt:lpstr>
      <vt:lpstr>recipe15TotScale</vt:lpstr>
      <vt:lpstr>roundTo</vt:lpstr>
      <vt:lpstr>saBrCount</vt:lpstr>
      <vt:lpstr>saDiCount</vt:lpstr>
      <vt:lpstr>saLuCount</vt:lpstr>
      <vt:lpstr>saSbrCount</vt:lpstr>
      <vt:lpstr>saSdiCount</vt:lpstr>
      <vt:lpstr>saSluCount</vt:lpstr>
      <vt:lpstr>shoppingNames</vt:lpstr>
      <vt:lpstr>suBrCount</vt:lpstr>
      <vt:lpstr>suDiCount</vt:lpstr>
      <vt:lpstr>suLuCount</vt:lpstr>
      <vt:lpstr>suSbrCount</vt:lpstr>
      <vt:lpstr>suSdiCount</vt:lpstr>
      <vt:lpstr>suSluCount</vt:lpstr>
      <vt:lpstr>thBrCount</vt:lpstr>
      <vt:lpstr>thDiCount</vt:lpstr>
      <vt:lpstr>thLuCount</vt:lpstr>
      <vt:lpstr>thSbrCount</vt:lpstr>
      <vt:lpstr>thSdiCount</vt:lpstr>
      <vt:lpstr>thSluCount</vt:lpstr>
      <vt:lpstr>totalBrCount</vt:lpstr>
      <vt:lpstr>totalDiCount</vt:lpstr>
      <vt:lpstr>totalLuCount</vt:lpstr>
      <vt:lpstr>totalSbrCount</vt:lpstr>
      <vt:lpstr>totalSdiCount</vt:lpstr>
      <vt:lpstr>totalSluCount</vt:lpstr>
      <vt:lpstr>tuBrCount</vt:lpstr>
      <vt:lpstr>tuDiCount</vt:lpstr>
      <vt:lpstr>tuLuCount</vt:lpstr>
      <vt:lpstr>tuSbrCount</vt:lpstr>
      <vt:lpstr>tuSdiCount</vt:lpstr>
      <vt:lpstr>tuSluCount</vt:lpstr>
      <vt:lpstr>unitNames</vt:lpstr>
      <vt:lpstr>weBrCount</vt:lpstr>
      <vt:lpstr>weDiCount</vt:lpstr>
      <vt:lpstr>weLuCount</vt:lpstr>
      <vt:lpstr>weSbrCount</vt:lpstr>
      <vt:lpstr>weSdiCount</vt:lpstr>
      <vt:lpstr>weSluCount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cp:lastPrinted>2018-10-22T04:46:37Z</cp:lastPrinted>
  <dcterms:created xsi:type="dcterms:W3CDTF">2018-10-15T07:06:03Z</dcterms:created>
  <dcterms:modified xsi:type="dcterms:W3CDTF">2018-11-06T08:32:59Z</dcterms:modified>
</cp:coreProperties>
</file>