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B114144F-018C-4C80-97D3-ABFBD082B7C7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support!$G$2:$G$92</definedName>
    <definedName name="itemMlPerQty">support!$H$2:$H$92</definedName>
    <definedName name="itemNames">support!$A$2:$A$92</definedName>
    <definedName name="itemPrepMethods">support!$B$2:$B$92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shopping!$B$2:$B$81</definedName>
    <definedName name="sources">shopping!$Q$3:$Q$9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0" i="3" l="1"/>
  <c r="C75" i="3"/>
  <c r="C67" i="3"/>
  <c r="Q118" i="2"/>
  <c r="M118" i="2"/>
  <c r="R118" i="2"/>
  <c r="I91" i="1"/>
  <c r="Q376" i="2"/>
  <c r="M376" i="2"/>
  <c r="R376" i="2"/>
  <c r="I92" i="1"/>
  <c r="D81" i="3"/>
  <c r="E81" i="3"/>
  <c r="Q184" i="2"/>
  <c r="M184" i="2"/>
  <c r="R184" i="2"/>
  <c r="I90" i="1"/>
  <c r="D80" i="3"/>
  <c r="E80" i="3"/>
  <c r="Q267" i="2"/>
  <c r="M267" i="2"/>
  <c r="R267" i="2"/>
  <c r="I89" i="1"/>
  <c r="D79" i="3"/>
  <c r="E79" i="3"/>
  <c r="Q29" i="2"/>
  <c r="M29" i="2"/>
  <c r="R29" i="2"/>
  <c r="I84" i="1"/>
  <c r="D78" i="3"/>
  <c r="E78" i="3"/>
  <c r="N52" i="2"/>
  <c r="O52" i="2"/>
  <c r="P52" i="2"/>
  <c r="Q52" i="2"/>
  <c r="R52" i="2"/>
  <c r="I69" i="1"/>
  <c r="D77" i="3"/>
  <c r="E77" i="3"/>
  <c r="Q408" i="2"/>
  <c r="M408" i="2"/>
  <c r="R408" i="2"/>
  <c r="I65" i="1"/>
  <c r="O158" i="2"/>
  <c r="M158" i="2"/>
  <c r="N158" i="2"/>
  <c r="P158" i="2"/>
  <c r="Q158" i="2"/>
  <c r="R158" i="2"/>
  <c r="Q377" i="2"/>
  <c r="M377" i="2"/>
  <c r="R377" i="2"/>
  <c r="I66" i="1"/>
  <c r="D76" i="3"/>
  <c r="C76" i="3"/>
  <c r="E76" i="3"/>
  <c r="N45" i="2"/>
  <c r="M45" i="2"/>
  <c r="O45" i="2"/>
  <c r="P45" i="2"/>
  <c r="Q45" i="2"/>
  <c r="R45" i="2"/>
  <c r="I62" i="1"/>
  <c r="D75" i="3"/>
  <c r="E75" i="3"/>
  <c r="O59" i="2"/>
  <c r="Q59" i="2"/>
  <c r="R59" i="2"/>
  <c r="Q294" i="2"/>
  <c r="M294" i="2"/>
  <c r="R294" i="2"/>
  <c r="Q406" i="2"/>
  <c r="M406" i="2"/>
  <c r="R406" i="2"/>
  <c r="I61" i="1"/>
  <c r="D74" i="3"/>
  <c r="E74" i="3"/>
  <c r="Q9" i="2"/>
  <c r="M9" i="2"/>
  <c r="R9" i="2"/>
  <c r="I60" i="1"/>
  <c r="D73" i="3"/>
  <c r="E73" i="3"/>
  <c r="Q10" i="2"/>
  <c r="M10" i="2"/>
  <c r="R10" i="2"/>
  <c r="I56" i="1"/>
  <c r="D72" i="3"/>
  <c r="E72" i="3"/>
  <c r="Q64" i="2"/>
  <c r="M64" i="2"/>
  <c r="R64" i="2"/>
  <c r="Q177" i="2"/>
  <c r="M177" i="2"/>
  <c r="R177" i="2"/>
  <c r="Q249" i="2"/>
  <c r="M249" i="2"/>
  <c r="R249" i="2"/>
  <c r="Q362" i="2"/>
  <c r="M362" i="2"/>
  <c r="R362" i="2"/>
  <c r="I55" i="1"/>
  <c r="D71" i="3"/>
  <c r="E71" i="3"/>
  <c r="Q23" i="2"/>
  <c r="M23" i="2"/>
  <c r="R23" i="2"/>
  <c r="I50" i="1"/>
  <c r="D70" i="3"/>
  <c r="E70" i="3"/>
  <c r="Q189" i="2"/>
  <c r="M189" i="2"/>
  <c r="R189" i="2"/>
  <c r="Q349" i="2"/>
  <c r="M349" i="2"/>
  <c r="R349" i="2"/>
  <c r="I49" i="1"/>
  <c r="D69" i="3"/>
  <c r="E69" i="3"/>
  <c r="N43" i="2"/>
  <c r="M43" i="2"/>
  <c r="O43" i="2"/>
  <c r="P43" i="2"/>
  <c r="Q43" i="2"/>
  <c r="R43" i="2"/>
  <c r="M207" i="2"/>
  <c r="O207" i="2"/>
  <c r="N207" i="2"/>
  <c r="P207" i="2"/>
  <c r="Q207" i="2"/>
  <c r="R207" i="2"/>
  <c r="Q342" i="2"/>
  <c r="M342" i="2"/>
  <c r="R342" i="2"/>
  <c r="Q371" i="2"/>
  <c r="M371" i="2"/>
  <c r="R371" i="2"/>
  <c r="I47" i="1"/>
  <c r="D68" i="3"/>
  <c r="E68" i="3"/>
  <c r="M100" i="2"/>
  <c r="O100" i="2"/>
  <c r="N100" i="2"/>
  <c r="P100" i="2"/>
  <c r="Q100" i="2"/>
  <c r="R100" i="2"/>
  <c r="I41" i="1"/>
  <c r="Q22" i="2"/>
  <c r="M22" i="2"/>
  <c r="R22" i="2"/>
  <c r="I42" i="1"/>
  <c r="D67" i="3"/>
  <c r="E67" i="3"/>
  <c r="O190" i="2"/>
  <c r="Q190" i="2"/>
  <c r="R190" i="2"/>
  <c r="I40" i="1"/>
  <c r="D66" i="3"/>
  <c r="E66" i="3"/>
  <c r="I39" i="1"/>
  <c r="D65" i="3"/>
  <c r="E65" i="3"/>
  <c r="N37" i="2"/>
  <c r="O37" i="2"/>
  <c r="P37" i="2"/>
  <c r="Q37" i="2"/>
  <c r="R37" i="2"/>
  <c r="N123" i="2"/>
  <c r="O123" i="2"/>
  <c r="P123" i="2"/>
  <c r="Q123" i="2"/>
  <c r="R123" i="2"/>
  <c r="N178" i="2"/>
  <c r="O178" i="2"/>
  <c r="P178" i="2"/>
  <c r="Q178" i="2"/>
  <c r="R178" i="2"/>
  <c r="N250" i="2"/>
  <c r="O250" i="2"/>
  <c r="P250" i="2"/>
  <c r="Q250" i="2"/>
  <c r="R250" i="2"/>
  <c r="Q6" i="2"/>
  <c r="M6" i="2"/>
  <c r="R6" i="2"/>
  <c r="Q7" i="2"/>
  <c r="M7" i="2"/>
  <c r="R7" i="2"/>
  <c r="Q8" i="2"/>
  <c r="M8" i="2"/>
  <c r="R8" i="2"/>
  <c r="Q19" i="2"/>
  <c r="M19" i="2"/>
  <c r="R19" i="2"/>
  <c r="M20" i="2"/>
  <c r="O20" i="2"/>
  <c r="N20" i="2"/>
  <c r="P20" i="2"/>
  <c r="Q20" i="2"/>
  <c r="R20" i="2"/>
  <c r="Q21" i="2"/>
  <c r="M21" i="2"/>
  <c r="R21" i="2"/>
  <c r="N38" i="2"/>
  <c r="O38" i="2"/>
  <c r="P38" i="2"/>
  <c r="Q38" i="2"/>
  <c r="R38" i="2"/>
  <c r="H82" i="1"/>
  <c r="N39" i="2"/>
  <c r="M39" i="2"/>
  <c r="O39" i="2"/>
  <c r="P39" i="2"/>
  <c r="Q39" i="2"/>
  <c r="R39" i="2"/>
  <c r="N42" i="2"/>
  <c r="M42" i="2"/>
  <c r="O42" i="2"/>
  <c r="P42" i="2"/>
  <c r="Q42" i="2"/>
  <c r="R42" i="2"/>
  <c r="N44" i="2"/>
  <c r="M44" i="2"/>
  <c r="O44" i="2"/>
  <c r="P44" i="2"/>
  <c r="Q44" i="2"/>
  <c r="R44" i="2"/>
  <c r="N48" i="2"/>
  <c r="O48" i="2"/>
  <c r="P48" i="2"/>
  <c r="Q48" i="2"/>
  <c r="R48" i="2"/>
  <c r="N51" i="2"/>
  <c r="O51" i="2"/>
  <c r="P51" i="2"/>
  <c r="Q51" i="2"/>
  <c r="R51" i="2"/>
  <c r="H44" i="1"/>
  <c r="N53" i="2"/>
  <c r="G44" i="1"/>
  <c r="M53" i="2"/>
  <c r="O53" i="2"/>
  <c r="P53" i="2"/>
  <c r="Q53" i="2"/>
  <c r="R53" i="2"/>
  <c r="N60" i="2"/>
  <c r="M60" i="2"/>
  <c r="O60" i="2"/>
  <c r="P60" i="2"/>
  <c r="Q60" i="2"/>
  <c r="R60" i="2"/>
  <c r="Q63" i="2"/>
  <c r="M63" i="2"/>
  <c r="R63" i="2"/>
  <c r="N67" i="2"/>
  <c r="M67" i="2"/>
  <c r="O67" i="2"/>
  <c r="P67" i="2"/>
  <c r="Q67" i="2"/>
  <c r="R67" i="2"/>
  <c r="N68" i="2"/>
  <c r="M68" i="2"/>
  <c r="O68" i="2"/>
  <c r="P68" i="2"/>
  <c r="Q68" i="2"/>
  <c r="R68" i="2"/>
  <c r="N69" i="2"/>
  <c r="M69" i="2"/>
  <c r="O69" i="2"/>
  <c r="P69" i="2"/>
  <c r="Q69" i="2"/>
  <c r="R69" i="2"/>
  <c r="N70" i="2"/>
  <c r="M70" i="2"/>
  <c r="O70" i="2"/>
  <c r="P70" i="2"/>
  <c r="Q70" i="2"/>
  <c r="R70" i="2"/>
  <c r="N71" i="2"/>
  <c r="M71" i="2"/>
  <c r="O71" i="2"/>
  <c r="P71" i="2"/>
  <c r="Q71" i="2"/>
  <c r="R71" i="2"/>
  <c r="N82" i="2"/>
  <c r="M82" i="2"/>
  <c r="O82" i="2"/>
  <c r="P82" i="2"/>
  <c r="Q82" i="2"/>
  <c r="R82" i="2"/>
  <c r="Q85" i="2"/>
  <c r="M85" i="2"/>
  <c r="R85" i="2"/>
  <c r="M86" i="2"/>
  <c r="O86" i="2"/>
  <c r="N86" i="2"/>
  <c r="P86" i="2"/>
  <c r="Q86" i="2"/>
  <c r="R86" i="2"/>
  <c r="N87" i="2"/>
  <c r="M87" i="2"/>
  <c r="O87" i="2"/>
  <c r="P87" i="2"/>
  <c r="Q87" i="2"/>
  <c r="R87" i="2"/>
  <c r="N90" i="2"/>
  <c r="M90" i="2"/>
  <c r="O90" i="2"/>
  <c r="P90" i="2"/>
  <c r="Q90" i="2"/>
  <c r="R90" i="2"/>
  <c r="N91" i="2"/>
  <c r="M91" i="2"/>
  <c r="O91" i="2"/>
  <c r="P91" i="2"/>
  <c r="Q91" i="2"/>
  <c r="R91" i="2"/>
  <c r="N92" i="2"/>
  <c r="M92" i="2"/>
  <c r="O92" i="2"/>
  <c r="P92" i="2"/>
  <c r="Q92" i="2"/>
  <c r="R92" i="2"/>
  <c r="N93" i="2"/>
  <c r="M93" i="2"/>
  <c r="O93" i="2"/>
  <c r="P93" i="2"/>
  <c r="Q93" i="2"/>
  <c r="R93" i="2"/>
  <c r="Q94" i="2"/>
  <c r="M94" i="2"/>
  <c r="R94" i="2"/>
  <c r="N95" i="2"/>
  <c r="M95" i="2"/>
  <c r="O95" i="2"/>
  <c r="P95" i="2"/>
  <c r="Q95" i="2"/>
  <c r="R95" i="2"/>
  <c r="N109" i="2"/>
  <c r="M109" i="2"/>
  <c r="O109" i="2"/>
  <c r="P109" i="2"/>
  <c r="Q109" i="2"/>
  <c r="R109" i="2"/>
  <c r="N113" i="2"/>
  <c r="M113" i="2"/>
  <c r="O113" i="2"/>
  <c r="P113" i="2"/>
  <c r="Q113" i="2"/>
  <c r="R113" i="2"/>
  <c r="N114" i="2"/>
  <c r="O114" i="2"/>
  <c r="P114" i="2"/>
  <c r="Q114" i="2"/>
  <c r="R114" i="2"/>
  <c r="Q117" i="2"/>
  <c r="M117" i="2"/>
  <c r="R117" i="2"/>
  <c r="N121" i="2"/>
  <c r="M121" i="2"/>
  <c r="O121" i="2"/>
  <c r="P121" i="2"/>
  <c r="Q121" i="2"/>
  <c r="R121" i="2"/>
  <c r="N122" i="2"/>
  <c r="M122" i="2"/>
  <c r="O122" i="2"/>
  <c r="P122" i="2"/>
  <c r="Q122" i="2"/>
  <c r="R122" i="2"/>
  <c r="N131" i="2"/>
  <c r="O131" i="2"/>
  <c r="P131" i="2"/>
  <c r="Q131" i="2"/>
  <c r="R131" i="2"/>
  <c r="N134" i="2"/>
  <c r="M134" i="2"/>
  <c r="O134" i="2"/>
  <c r="P134" i="2"/>
  <c r="Q134" i="2"/>
  <c r="R134" i="2"/>
  <c r="N135" i="2"/>
  <c r="M135" i="2"/>
  <c r="O135" i="2"/>
  <c r="P135" i="2"/>
  <c r="Q135" i="2"/>
  <c r="R135" i="2"/>
  <c r="N146" i="2"/>
  <c r="O146" i="2"/>
  <c r="P146" i="2"/>
  <c r="Q146" i="2"/>
  <c r="R146" i="2"/>
  <c r="M147" i="2"/>
  <c r="O147" i="2"/>
  <c r="N147" i="2"/>
  <c r="P147" i="2"/>
  <c r="Q147" i="2"/>
  <c r="R147" i="2"/>
  <c r="Q148" i="2"/>
  <c r="M148" i="2"/>
  <c r="R148" i="2"/>
  <c r="Q151" i="2"/>
  <c r="M151" i="2"/>
  <c r="R151" i="2"/>
  <c r="N152" i="2"/>
  <c r="O152" i="2"/>
  <c r="P152" i="2"/>
  <c r="Q152" i="2"/>
  <c r="R152" i="2"/>
  <c r="Q153" i="2"/>
  <c r="M153" i="2"/>
  <c r="R153" i="2"/>
  <c r="Q154" i="2"/>
  <c r="M154" i="2"/>
  <c r="R154" i="2"/>
  <c r="Q155" i="2"/>
  <c r="M155" i="2"/>
  <c r="R155" i="2"/>
  <c r="O171" i="2"/>
  <c r="Q171" i="2"/>
  <c r="R171" i="2"/>
  <c r="N172" i="2"/>
  <c r="O172" i="2"/>
  <c r="P172" i="2"/>
  <c r="Q172" i="2"/>
  <c r="R172" i="2"/>
  <c r="N175" i="2"/>
  <c r="O175" i="2"/>
  <c r="P175" i="2"/>
  <c r="Q175" i="2"/>
  <c r="R175" i="2"/>
  <c r="N176" i="2"/>
  <c r="O176" i="2"/>
  <c r="P176" i="2"/>
  <c r="Q176" i="2"/>
  <c r="R176" i="2"/>
  <c r="Q179" i="2"/>
  <c r="M179" i="2"/>
  <c r="R179" i="2"/>
  <c r="N182" i="2"/>
  <c r="M182" i="2"/>
  <c r="O182" i="2"/>
  <c r="P182" i="2"/>
  <c r="Q182" i="2"/>
  <c r="R182" i="2"/>
  <c r="Q183" i="2"/>
  <c r="M183" i="2"/>
  <c r="R183" i="2"/>
  <c r="Q185" i="2"/>
  <c r="M185" i="2"/>
  <c r="R185" i="2"/>
  <c r="Q186" i="2"/>
  <c r="M186" i="2"/>
  <c r="R186" i="2"/>
  <c r="Q191" i="2"/>
  <c r="M191" i="2"/>
  <c r="R191" i="2"/>
  <c r="N196" i="2"/>
  <c r="O196" i="2"/>
  <c r="P196" i="2"/>
  <c r="Q196" i="2"/>
  <c r="R196" i="2"/>
  <c r="N204" i="2"/>
  <c r="O204" i="2"/>
  <c r="P204" i="2"/>
  <c r="Q204" i="2"/>
  <c r="R204" i="2"/>
  <c r="M208" i="2"/>
  <c r="O208" i="2"/>
  <c r="N208" i="2"/>
  <c r="P208" i="2"/>
  <c r="Q208" i="2"/>
  <c r="R208" i="2"/>
  <c r="Q216" i="2"/>
  <c r="M216" i="2"/>
  <c r="R216" i="2"/>
  <c r="N217" i="2"/>
  <c r="O217" i="2"/>
  <c r="P217" i="2"/>
  <c r="Q217" i="2"/>
  <c r="R217" i="2"/>
  <c r="N218" i="2"/>
  <c r="O218" i="2"/>
  <c r="P218" i="2"/>
  <c r="Q218" i="2"/>
  <c r="R218" i="2"/>
  <c r="N221" i="2"/>
  <c r="M221" i="2"/>
  <c r="O221" i="2"/>
  <c r="P221" i="2"/>
  <c r="Q221" i="2"/>
  <c r="R221" i="2"/>
  <c r="N222" i="2"/>
  <c r="O222" i="2"/>
  <c r="P222" i="2"/>
  <c r="Q222" i="2"/>
  <c r="R222" i="2"/>
  <c r="N237" i="2"/>
  <c r="O237" i="2"/>
  <c r="P237" i="2"/>
  <c r="Q237" i="2"/>
  <c r="R237" i="2"/>
  <c r="N238" i="2"/>
  <c r="M238" i="2"/>
  <c r="O238" i="2"/>
  <c r="P238" i="2"/>
  <c r="Q238" i="2"/>
  <c r="R238" i="2"/>
  <c r="N241" i="2"/>
  <c r="O241" i="2"/>
  <c r="P241" i="2"/>
  <c r="Q241" i="2"/>
  <c r="R241" i="2"/>
  <c r="N242" i="2"/>
  <c r="O242" i="2"/>
  <c r="P242" i="2"/>
  <c r="Q242" i="2"/>
  <c r="R242" i="2"/>
  <c r="Q245" i="2"/>
  <c r="G82" i="1"/>
  <c r="M245" i="2"/>
  <c r="R245" i="2"/>
  <c r="Q248" i="2"/>
  <c r="M248" i="2"/>
  <c r="R248" i="2"/>
  <c r="Q253" i="2"/>
  <c r="M253" i="2"/>
  <c r="R253" i="2"/>
  <c r="Q254" i="2"/>
  <c r="M254" i="2"/>
  <c r="R254" i="2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M265" i="2"/>
  <c r="O265" i="2"/>
  <c r="N265" i="2"/>
  <c r="P265" i="2"/>
  <c r="Q265" i="2"/>
  <c r="R265" i="2"/>
  <c r="Q266" i="2"/>
  <c r="M266" i="2"/>
  <c r="R266" i="2"/>
  <c r="N270" i="2"/>
  <c r="O270" i="2"/>
  <c r="P270" i="2"/>
  <c r="Q270" i="2"/>
  <c r="R270" i="2"/>
  <c r="O275" i="2"/>
  <c r="Q275" i="2"/>
  <c r="R275" i="2"/>
  <c r="Q278" i="2"/>
  <c r="M278" i="2"/>
  <c r="R278" i="2"/>
  <c r="N281" i="2"/>
  <c r="O281" i="2"/>
  <c r="P281" i="2"/>
  <c r="Q281" i="2"/>
  <c r="R281" i="2"/>
  <c r="H23" i="1"/>
  <c r="N293" i="2"/>
  <c r="M293" i="2"/>
  <c r="O293" i="2"/>
  <c r="P293" i="2"/>
  <c r="Q293" i="2"/>
  <c r="R293" i="2"/>
  <c r="M297" i="2"/>
  <c r="O297" i="2"/>
  <c r="N297" i="2"/>
  <c r="P297" i="2"/>
  <c r="Q297" i="2"/>
  <c r="R297" i="2"/>
  <c r="Q298" i="2"/>
  <c r="M298" i="2"/>
  <c r="R298" i="2"/>
  <c r="H26" i="1"/>
  <c r="N299" i="2"/>
  <c r="G26" i="1"/>
  <c r="M299" i="2"/>
  <c r="O299" i="2"/>
  <c r="P299" i="2"/>
  <c r="Q299" i="2"/>
  <c r="R299" i="2"/>
  <c r="N302" i="2"/>
  <c r="O302" i="2"/>
  <c r="P302" i="2"/>
  <c r="Q302" i="2"/>
  <c r="R302" i="2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M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N340" i="2"/>
  <c r="O340" i="2"/>
  <c r="P340" i="2"/>
  <c r="Q340" i="2"/>
  <c r="R340" i="2"/>
  <c r="M341" i="2"/>
  <c r="O341" i="2"/>
  <c r="N341" i="2"/>
  <c r="P341" i="2"/>
  <c r="Q341" i="2"/>
  <c r="R341" i="2"/>
  <c r="Q343" i="2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M372" i="2"/>
  <c r="O372" i="2"/>
  <c r="N372" i="2"/>
  <c r="P372" i="2"/>
  <c r="Q372" i="2"/>
  <c r="R372" i="2"/>
  <c r="Q375" i="2"/>
  <c r="M375" i="2"/>
  <c r="R375" i="2"/>
  <c r="N378" i="2"/>
  <c r="M378" i="2"/>
  <c r="O378" i="2"/>
  <c r="P378" i="2"/>
  <c r="Q378" i="2"/>
  <c r="R378" i="2"/>
  <c r="Q381" i="2"/>
  <c r="M381" i="2"/>
  <c r="R381" i="2"/>
  <c r="Q382" i="2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N405" i="2"/>
  <c r="M405" i="2"/>
  <c r="O405" i="2"/>
  <c r="P405" i="2"/>
  <c r="Q405" i="2"/>
  <c r="R405" i="2"/>
  <c r="Q407" i="2"/>
  <c r="M407" i="2"/>
  <c r="R407" i="2"/>
  <c r="Q411" i="2"/>
  <c r="M411" i="2"/>
  <c r="R411" i="2"/>
  <c r="I37" i="1"/>
  <c r="D64" i="3"/>
  <c r="E64" i="3"/>
  <c r="I36" i="1"/>
  <c r="D63" i="3"/>
  <c r="E63" i="3"/>
  <c r="I29" i="1"/>
  <c r="I30" i="1"/>
  <c r="D62" i="3"/>
  <c r="E62" i="3"/>
  <c r="I28" i="1"/>
  <c r="D61" i="3"/>
  <c r="E61" i="3"/>
  <c r="I18" i="1"/>
  <c r="D60" i="3"/>
  <c r="E60" i="3"/>
  <c r="I13" i="1"/>
  <c r="I14" i="1"/>
  <c r="I15" i="1"/>
  <c r="D59" i="3"/>
  <c r="E59" i="3"/>
  <c r="I12" i="1"/>
  <c r="D58" i="3"/>
  <c r="E58" i="3"/>
  <c r="I7" i="1"/>
  <c r="I8" i="1"/>
  <c r="I9" i="1"/>
  <c r="I10" i="1"/>
  <c r="D57" i="3"/>
  <c r="E57" i="3"/>
  <c r="I3" i="1"/>
  <c r="D55" i="3"/>
  <c r="E55" i="3"/>
  <c r="I2" i="1"/>
  <c r="D54" i="3"/>
  <c r="E54" i="3"/>
  <c r="I85" i="1"/>
  <c r="D53" i="3"/>
  <c r="E53" i="3"/>
  <c r="I52" i="1"/>
  <c r="D52" i="3"/>
  <c r="E52" i="3"/>
  <c r="I81" i="1"/>
  <c r="D51" i="3"/>
  <c r="E51" i="3"/>
  <c r="I80" i="1"/>
  <c r="D50" i="3"/>
  <c r="E50" i="3"/>
  <c r="I79" i="1"/>
  <c r="D49" i="3"/>
  <c r="E49" i="3"/>
  <c r="I78" i="1"/>
  <c r="D48" i="3"/>
  <c r="E48" i="3"/>
  <c r="I77" i="1"/>
  <c r="D47" i="3"/>
  <c r="E47" i="3"/>
  <c r="I76" i="1"/>
  <c r="D46" i="3"/>
  <c r="E46" i="3"/>
  <c r="I75" i="1"/>
  <c r="D45" i="3"/>
  <c r="E45" i="3"/>
  <c r="I74" i="1"/>
  <c r="D44" i="3"/>
  <c r="E44" i="3"/>
  <c r="I73" i="1"/>
  <c r="D43" i="3"/>
  <c r="E43" i="3"/>
  <c r="I72" i="1"/>
  <c r="D42" i="3"/>
  <c r="E42" i="3"/>
  <c r="I71" i="1"/>
  <c r="D41" i="3"/>
  <c r="E41" i="3"/>
  <c r="I70" i="1"/>
  <c r="D40" i="3"/>
  <c r="E40" i="3"/>
  <c r="I68" i="1"/>
  <c r="D39" i="3"/>
  <c r="E39" i="3"/>
  <c r="I67" i="1"/>
  <c r="D38" i="3"/>
  <c r="E38" i="3"/>
  <c r="I64" i="1"/>
  <c r="D37" i="3"/>
  <c r="E37" i="3"/>
  <c r="I63" i="1"/>
  <c r="D36" i="3"/>
  <c r="E36" i="3"/>
  <c r="I59" i="1"/>
  <c r="D35" i="3"/>
  <c r="E35" i="3"/>
  <c r="I58" i="1"/>
  <c r="D34" i="3"/>
  <c r="E34" i="3"/>
  <c r="I54" i="1"/>
  <c r="D33" i="3"/>
  <c r="E33" i="3"/>
  <c r="I53" i="1"/>
  <c r="D32" i="3"/>
  <c r="E32" i="3"/>
  <c r="I51" i="1"/>
  <c r="D31" i="3"/>
  <c r="E31" i="3"/>
  <c r="I43" i="1"/>
  <c r="D30" i="3"/>
  <c r="E30" i="3"/>
  <c r="I38" i="1"/>
  <c r="D29" i="3"/>
  <c r="E29" i="3"/>
  <c r="I21" i="1"/>
  <c r="D28" i="3"/>
  <c r="E28" i="3"/>
  <c r="I16" i="1"/>
  <c r="D27" i="3"/>
  <c r="E27" i="3"/>
  <c r="I11" i="1"/>
  <c r="D26" i="3"/>
  <c r="E26" i="3"/>
  <c r="I48" i="1"/>
  <c r="D25" i="3"/>
  <c r="E25" i="3"/>
  <c r="I57" i="1"/>
  <c r="D24" i="3"/>
  <c r="E24" i="3"/>
  <c r="I46" i="1"/>
  <c r="D23" i="3"/>
  <c r="E23" i="3"/>
  <c r="I45" i="1"/>
  <c r="D22" i="3"/>
  <c r="E22" i="3"/>
  <c r="I44" i="1"/>
  <c r="D21" i="3"/>
  <c r="E21" i="3"/>
  <c r="I35" i="1"/>
  <c r="D20" i="3"/>
  <c r="E20" i="3"/>
  <c r="I27" i="1"/>
  <c r="D19" i="3"/>
  <c r="E19" i="3"/>
  <c r="I26" i="1"/>
  <c r="D18" i="3"/>
  <c r="E18" i="3"/>
  <c r="I25" i="1"/>
  <c r="D17" i="3"/>
  <c r="E17" i="3"/>
  <c r="I24" i="1"/>
  <c r="D16" i="3"/>
  <c r="E16" i="3"/>
  <c r="I23" i="1"/>
  <c r="D15" i="3"/>
  <c r="E15" i="3"/>
  <c r="I22" i="1"/>
  <c r="D14" i="3"/>
  <c r="E14" i="3"/>
  <c r="I20" i="1"/>
  <c r="D13" i="3"/>
  <c r="E13" i="3"/>
  <c r="I19" i="1"/>
  <c r="D12" i="3"/>
  <c r="E12" i="3"/>
  <c r="I17" i="1"/>
  <c r="D11" i="3"/>
  <c r="E11" i="3"/>
  <c r="I5" i="1"/>
  <c r="D10" i="3"/>
  <c r="E10" i="3"/>
  <c r="I4" i="1"/>
  <c r="D9" i="3"/>
  <c r="E9" i="3"/>
  <c r="I87" i="1"/>
  <c r="I88" i="1"/>
  <c r="D8" i="3"/>
  <c r="E8" i="3"/>
  <c r="I34" i="1"/>
  <c r="D7" i="3"/>
  <c r="E7" i="3"/>
  <c r="I32" i="1"/>
  <c r="D6" i="3"/>
  <c r="E6" i="3"/>
  <c r="I31" i="1"/>
  <c r="D5" i="3"/>
  <c r="E5" i="3"/>
  <c r="I86" i="1"/>
  <c r="D4" i="3"/>
  <c r="E4" i="3"/>
  <c r="I82" i="1"/>
  <c r="I83" i="1"/>
  <c r="D3" i="3"/>
  <c r="E3" i="3"/>
  <c r="I33" i="1"/>
  <c r="D2" i="3"/>
  <c r="E2" i="3"/>
  <c r="I6" i="1"/>
  <c r="D56" i="3"/>
  <c r="C56" i="3"/>
  <c r="E56" i="3"/>
  <c r="F393" i="2"/>
  <c r="F390" i="2"/>
  <c r="F325" i="2"/>
  <c r="F322" i="2"/>
  <c r="F264" i="2"/>
  <c r="F261" i="2"/>
  <c r="F204" i="2"/>
  <c r="F201" i="2"/>
  <c r="F360" i="2"/>
  <c r="F357" i="2"/>
  <c r="F291" i="2"/>
  <c r="F288" i="2"/>
  <c r="F237" i="2"/>
  <c r="F234" i="2"/>
  <c r="F170" i="2"/>
  <c r="F167" i="2"/>
  <c r="F146" i="2"/>
  <c r="F143" i="2"/>
  <c r="F82" i="2"/>
  <c r="F79" i="2"/>
  <c r="F109" i="2"/>
  <c r="F106" i="2"/>
  <c r="F37" i="2"/>
  <c r="F16" i="2"/>
  <c r="F3" i="2"/>
  <c r="F59" i="2"/>
  <c r="F56" i="2"/>
  <c r="F19" i="2"/>
  <c r="F6" i="2"/>
  <c r="G19" i="5"/>
  <c r="E45" i="5"/>
  <c r="J42" i="5"/>
  <c r="N18" i="5"/>
  <c r="N19" i="5"/>
  <c r="N24" i="5"/>
  <c r="M18" i="5"/>
  <c r="M19" i="5"/>
  <c r="M24" i="5"/>
  <c r="L18" i="5"/>
  <c r="L19" i="5"/>
  <c r="L24" i="5"/>
  <c r="K18" i="5"/>
  <c r="K19" i="5"/>
  <c r="K24" i="5"/>
  <c r="J18" i="5"/>
  <c r="J19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39" i="1"/>
  <c r="F168" i="2"/>
  <c r="F171" i="2"/>
  <c r="S190" i="2"/>
  <c r="T190" i="2"/>
  <c r="K39" i="1"/>
  <c r="J39" i="1"/>
  <c r="H39" i="1"/>
  <c r="G39" i="1"/>
  <c r="F65" i="3"/>
  <c r="G65" i="3"/>
  <c r="I65" i="3"/>
  <c r="J65" i="3"/>
  <c r="L60" i="1"/>
  <c r="F80" i="2"/>
  <c r="G60" i="1"/>
  <c r="G14" i="1"/>
  <c r="F83" i="2"/>
  <c r="H60" i="1"/>
  <c r="H14" i="1"/>
  <c r="N85" i="2"/>
  <c r="S85" i="2"/>
  <c r="T85" i="2"/>
  <c r="F144" i="2"/>
  <c r="F147" i="2"/>
  <c r="N148" i="2"/>
  <c r="S148" i="2"/>
  <c r="T148" i="2"/>
  <c r="F289" i="2"/>
  <c r="F292" i="2"/>
  <c r="N298" i="2"/>
  <c r="S298" i="2"/>
  <c r="T298" i="2"/>
  <c r="F4" i="2"/>
  <c r="F7" i="2"/>
  <c r="N9" i="2"/>
  <c r="S9" i="2"/>
  <c r="T9" i="2"/>
  <c r="K60" i="1"/>
  <c r="J60" i="1"/>
  <c r="L3" i="1"/>
  <c r="G2" i="1"/>
  <c r="H2" i="1"/>
  <c r="G3" i="1"/>
  <c r="H3" i="1"/>
  <c r="N8" i="2"/>
  <c r="S8" i="2"/>
  <c r="T8" i="2"/>
  <c r="K3" i="1"/>
  <c r="J3" i="1"/>
  <c r="L2" i="1"/>
  <c r="N7" i="2"/>
  <c r="S7" i="2"/>
  <c r="T7" i="2"/>
  <c r="K2" i="1"/>
  <c r="J2" i="1"/>
  <c r="L56" i="1"/>
  <c r="G56" i="1"/>
  <c r="H56" i="1"/>
  <c r="N10" i="2"/>
  <c r="S10" i="2"/>
  <c r="T10" i="2"/>
  <c r="K56" i="1"/>
  <c r="J56" i="1"/>
  <c r="F72" i="3"/>
  <c r="G72" i="3"/>
  <c r="I72" i="3"/>
  <c r="J72" i="3"/>
  <c r="F54" i="3"/>
  <c r="G54" i="3"/>
  <c r="I54" i="3"/>
  <c r="J54" i="3"/>
  <c r="F73" i="3"/>
  <c r="G73" i="3"/>
  <c r="I73" i="3"/>
  <c r="J73" i="3"/>
  <c r="F55" i="3"/>
  <c r="G55" i="3"/>
  <c r="I55" i="3"/>
  <c r="J55" i="3"/>
  <c r="AA11" i="2"/>
  <c r="AD11" i="2"/>
  <c r="AC11" i="2"/>
  <c r="AB11" i="2"/>
  <c r="V11" i="2"/>
  <c r="Y11" i="2"/>
  <c r="X11" i="2"/>
  <c r="W11" i="2"/>
  <c r="G48" i="1"/>
  <c r="H48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8" i="1"/>
  <c r="F323" i="2"/>
  <c r="G49" i="1"/>
  <c r="F326" i="2"/>
  <c r="H49" i="1"/>
  <c r="N349" i="2"/>
  <c r="S349" i="2"/>
  <c r="T349" i="2"/>
  <c r="N6" i="2"/>
  <c r="S6" i="2"/>
  <c r="T6" i="2"/>
  <c r="K48" i="1"/>
  <c r="J48" i="1"/>
  <c r="F25" i="3"/>
  <c r="G25" i="3"/>
  <c r="I25" i="3"/>
  <c r="J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G91" i="1"/>
  <c r="F110" i="2"/>
  <c r="F358" i="2"/>
  <c r="G92" i="1"/>
  <c r="F361" i="2"/>
  <c r="H91" i="1"/>
  <c r="N118" i="2"/>
  <c r="S118" i="2"/>
  <c r="J91" i="1"/>
  <c r="H92" i="1"/>
  <c r="N376" i="2"/>
  <c r="S376" i="2"/>
  <c r="J92" i="1"/>
  <c r="F81" i="3"/>
  <c r="T118" i="2"/>
  <c r="K91" i="1"/>
  <c r="T376" i="2"/>
  <c r="K92" i="1"/>
  <c r="G81" i="3"/>
  <c r="L91" i="1"/>
  <c r="L92" i="1"/>
  <c r="I81" i="3"/>
  <c r="J81" i="3"/>
  <c r="G90" i="1"/>
  <c r="H90" i="1"/>
  <c r="N184" i="2"/>
  <c r="S184" i="2"/>
  <c r="J90" i="1"/>
  <c r="F80" i="3"/>
  <c r="T184" i="2"/>
  <c r="K90" i="1"/>
  <c r="G80" i="3"/>
  <c r="L90" i="1"/>
  <c r="I80" i="3"/>
  <c r="J80" i="3"/>
  <c r="F262" i="2"/>
  <c r="G89" i="1"/>
  <c r="F265" i="2"/>
  <c r="H89" i="1"/>
  <c r="N267" i="2"/>
  <c r="S267" i="2"/>
  <c r="J89" i="1"/>
  <c r="F79" i="3"/>
  <c r="T267" i="2"/>
  <c r="K89" i="1"/>
  <c r="G79" i="3"/>
  <c r="L89" i="1"/>
  <c r="I79" i="3"/>
  <c r="J79" i="3"/>
  <c r="H87" i="1"/>
  <c r="G87" i="1"/>
  <c r="F235" i="2"/>
  <c r="F238" i="2"/>
  <c r="H88" i="1"/>
  <c r="G88" i="1"/>
  <c r="F391" i="2"/>
  <c r="F394" i="2"/>
  <c r="S238" i="2"/>
  <c r="J87" i="1"/>
  <c r="S95" i="2"/>
  <c r="S121" i="2"/>
  <c r="S182" i="2"/>
  <c r="S405" i="2"/>
  <c r="J88" i="1"/>
  <c r="F8" i="3"/>
  <c r="T238" i="2"/>
  <c r="K87" i="1"/>
  <c r="T95" i="2"/>
  <c r="T121" i="2"/>
  <c r="T182" i="2"/>
  <c r="T405" i="2"/>
  <c r="K88" i="1"/>
  <c r="G8" i="3"/>
  <c r="L87" i="1"/>
  <c r="L88" i="1"/>
  <c r="I8" i="3"/>
  <c r="J8" i="3"/>
  <c r="O278" i="2"/>
  <c r="N278" i="2"/>
  <c r="S278" i="2"/>
  <c r="J86" i="1"/>
  <c r="F4" i="3"/>
  <c r="T278" i="2"/>
  <c r="K86" i="1"/>
  <c r="G4" i="3"/>
  <c r="L86" i="1"/>
  <c r="I4" i="3"/>
  <c r="J4" i="3"/>
  <c r="H85" i="1"/>
  <c r="F202" i="2"/>
  <c r="F205" i="2"/>
  <c r="F17" i="2"/>
  <c r="G18" i="1"/>
  <c r="F20" i="2"/>
  <c r="G9" i="1"/>
  <c r="H9" i="1"/>
  <c r="G15" i="1"/>
  <c r="G42" i="1"/>
  <c r="G50" i="1"/>
  <c r="G33" i="1"/>
  <c r="G31" i="1"/>
  <c r="G70" i="1"/>
  <c r="G84" i="1"/>
  <c r="F35" i="2"/>
  <c r="G36" i="1"/>
  <c r="F38" i="2"/>
  <c r="H37" i="1"/>
  <c r="H29" i="1"/>
  <c r="H7" i="1"/>
  <c r="G7" i="1"/>
  <c r="H47" i="1"/>
  <c r="G47" i="1"/>
  <c r="H6" i="1"/>
  <c r="H62" i="1"/>
  <c r="G62" i="1"/>
  <c r="H79" i="1"/>
  <c r="H38" i="1"/>
  <c r="H69" i="1"/>
  <c r="F57" i="2"/>
  <c r="F60" i="2"/>
  <c r="H27" i="1"/>
  <c r="G27" i="1"/>
  <c r="G55" i="1"/>
  <c r="H20" i="1"/>
  <c r="G20" i="1"/>
  <c r="H35" i="1"/>
  <c r="G35" i="1"/>
  <c r="H46" i="1"/>
  <c r="G46" i="1"/>
  <c r="H45" i="1"/>
  <c r="G45" i="1"/>
  <c r="H63" i="1"/>
  <c r="G63" i="1"/>
  <c r="H24" i="1"/>
  <c r="G24" i="1"/>
  <c r="G8" i="1"/>
  <c r="H8" i="1"/>
  <c r="H57" i="1"/>
  <c r="G57" i="1"/>
  <c r="H22" i="1"/>
  <c r="G22" i="1"/>
  <c r="H17" i="1"/>
  <c r="G17" i="1"/>
  <c r="G4" i="1"/>
  <c r="G41" i="1"/>
  <c r="H41" i="1"/>
  <c r="H25" i="1"/>
  <c r="G25" i="1"/>
  <c r="H53" i="1"/>
  <c r="G77" i="1"/>
  <c r="H19" i="1"/>
  <c r="G19" i="1"/>
  <c r="H5" i="1"/>
  <c r="G5" i="1"/>
  <c r="G32" i="1"/>
  <c r="G34" i="1"/>
  <c r="G66" i="1"/>
  <c r="H66" i="1"/>
  <c r="H72" i="1"/>
  <c r="H64" i="1"/>
  <c r="H73" i="1"/>
  <c r="G12" i="1"/>
  <c r="G6" i="1"/>
  <c r="G74" i="1"/>
  <c r="G78" i="1"/>
  <c r="H11" i="1"/>
  <c r="G80" i="1"/>
  <c r="H21" i="1"/>
  <c r="H54" i="1"/>
  <c r="H52" i="1"/>
  <c r="H58" i="1"/>
  <c r="H16" i="1"/>
  <c r="H67" i="1"/>
  <c r="H59" i="1"/>
  <c r="G10" i="1"/>
  <c r="H10" i="1"/>
  <c r="H51" i="1"/>
  <c r="G61" i="1"/>
  <c r="H81" i="1"/>
  <c r="H71" i="1"/>
  <c r="H68" i="1"/>
  <c r="G13" i="1"/>
  <c r="G75" i="1"/>
  <c r="G76" i="1"/>
  <c r="G65" i="1"/>
  <c r="S152" i="2"/>
  <c r="S204" i="2"/>
  <c r="S270" i="2"/>
  <c r="S340" i="2"/>
  <c r="S19" i="2"/>
  <c r="S20" i="2"/>
  <c r="H15" i="1"/>
  <c r="N21" i="2"/>
  <c r="S21" i="2"/>
  <c r="H42" i="1"/>
  <c r="N22" i="2"/>
  <c r="S22" i="2"/>
  <c r="S23" i="2"/>
  <c r="H33" i="1"/>
  <c r="H31" i="1"/>
  <c r="H70" i="1"/>
  <c r="S29" i="2"/>
  <c r="H36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7" i="1"/>
  <c r="N117" i="2"/>
  <c r="S117" i="2"/>
  <c r="S122" i="2"/>
  <c r="S123" i="2"/>
  <c r="S131" i="2"/>
  <c r="S134" i="2"/>
  <c r="S135" i="2"/>
  <c r="S146" i="2"/>
  <c r="S147" i="2"/>
  <c r="N151" i="2"/>
  <c r="S151" i="2"/>
  <c r="H32" i="1"/>
  <c r="N153" i="2"/>
  <c r="S153" i="2"/>
  <c r="H34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4" i="1"/>
  <c r="N186" i="2"/>
  <c r="S186" i="2"/>
  <c r="N189" i="2"/>
  <c r="S189" i="2"/>
  <c r="H78" i="1"/>
  <c r="N191" i="2"/>
  <c r="S191" i="2"/>
  <c r="S196" i="2"/>
  <c r="S207" i="2"/>
  <c r="S208" i="2"/>
  <c r="H80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76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5" i="1"/>
  <c r="N408" i="2"/>
  <c r="S408" i="2"/>
  <c r="N411" i="2"/>
  <c r="S411" i="2"/>
  <c r="J85" i="1"/>
  <c r="F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5" i="1"/>
  <c r="G53" i="3"/>
  <c r="L85" i="1"/>
  <c r="I53" i="3"/>
  <c r="J53" i="3"/>
  <c r="J84" i="1"/>
  <c r="F78" i="3"/>
  <c r="K84" i="1"/>
  <c r="G78" i="3"/>
  <c r="L84" i="1"/>
  <c r="I78" i="3"/>
  <c r="J78" i="3"/>
  <c r="J82" i="1"/>
  <c r="J83" i="1"/>
  <c r="F3" i="3"/>
  <c r="K82" i="1"/>
  <c r="K83" i="1"/>
  <c r="G3" i="3"/>
  <c r="L82" i="1"/>
  <c r="L83" i="1"/>
  <c r="I3" i="3"/>
  <c r="J3" i="3"/>
  <c r="J81" i="1"/>
  <c r="F51" i="3"/>
  <c r="K81" i="1"/>
  <c r="G51" i="3"/>
  <c r="L81" i="1"/>
  <c r="I51" i="3"/>
  <c r="J51" i="3"/>
  <c r="J80" i="1"/>
  <c r="F50" i="3"/>
  <c r="K80" i="1"/>
  <c r="G50" i="3"/>
  <c r="L80" i="1"/>
  <c r="I50" i="3"/>
  <c r="J50" i="3"/>
  <c r="J79" i="1"/>
  <c r="F49" i="3"/>
  <c r="K79" i="1"/>
  <c r="G49" i="3"/>
  <c r="L79" i="1"/>
  <c r="I49" i="3"/>
  <c r="J49" i="3"/>
  <c r="J78" i="1"/>
  <c r="F48" i="3"/>
  <c r="K78" i="1"/>
  <c r="G48" i="3"/>
  <c r="L78" i="1"/>
  <c r="I48" i="3"/>
  <c r="J48" i="3"/>
  <c r="J77" i="1"/>
  <c r="F47" i="3"/>
  <c r="K77" i="1"/>
  <c r="G47" i="3"/>
  <c r="L77" i="1"/>
  <c r="I47" i="3"/>
  <c r="J47" i="3"/>
  <c r="J76" i="1"/>
  <c r="F46" i="3"/>
  <c r="K76" i="1"/>
  <c r="G46" i="3"/>
  <c r="L76" i="1"/>
  <c r="I46" i="3"/>
  <c r="J46" i="3"/>
  <c r="J75" i="1"/>
  <c r="F45" i="3"/>
  <c r="K75" i="1"/>
  <c r="G45" i="3"/>
  <c r="L75" i="1"/>
  <c r="I45" i="3"/>
  <c r="J45" i="3"/>
  <c r="J74" i="1"/>
  <c r="F44" i="3"/>
  <c r="K74" i="1"/>
  <c r="G44" i="3"/>
  <c r="L74" i="1"/>
  <c r="I44" i="3"/>
  <c r="J44" i="3"/>
  <c r="J73" i="1"/>
  <c r="F43" i="3"/>
  <c r="K73" i="1"/>
  <c r="G43" i="3"/>
  <c r="L73" i="1"/>
  <c r="I43" i="3"/>
  <c r="J43" i="3"/>
  <c r="J72" i="1"/>
  <c r="F42" i="3"/>
  <c r="K72" i="1"/>
  <c r="G42" i="3"/>
  <c r="L72" i="1"/>
  <c r="I42" i="3"/>
  <c r="J42" i="3"/>
  <c r="J71" i="1"/>
  <c r="F41" i="3"/>
  <c r="K71" i="1"/>
  <c r="G41" i="3"/>
  <c r="L71" i="1"/>
  <c r="I41" i="3"/>
  <c r="J41" i="3"/>
  <c r="J70" i="1"/>
  <c r="F40" i="3"/>
  <c r="K70" i="1"/>
  <c r="G40" i="3"/>
  <c r="L70" i="1"/>
  <c r="I40" i="3"/>
  <c r="J40" i="3"/>
  <c r="J69" i="1"/>
  <c r="F77" i="3"/>
  <c r="K69" i="1"/>
  <c r="G77" i="3"/>
  <c r="L69" i="1"/>
  <c r="I77" i="3"/>
  <c r="J77" i="3"/>
  <c r="J68" i="1"/>
  <c r="F39" i="3"/>
  <c r="K68" i="1"/>
  <c r="G39" i="3"/>
  <c r="L68" i="1"/>
  <c r="I39" i="3"/>
  <c r="J39" i="3"/>
  <c r="J67" i="1"/>
  <c r="F38" i="3"/>
  <c r="K67" i="1"/>
  <c r="G38" i="3"/>
  <c r="L67" i="1"/>
  <c r="I38" i="3"/>
  <c r="J38" i="3"/>
  <c r="J65" i="1"/>
  <c r="J66" i="1"/>
  <c r="F76" i="3"/>
  <c r="K65" i="1"/>
  <c r="K66" i="1"/>
  <c r="G76" i="3"/>
  <c r="L65" i="1"/>
  <c r="L66" i="1"/>
  <c r="I76" i="3"/>
  <c r="J76" i="3"/>
  <c r="J64" i="1"/>
  <c r="F37" i="3"/>
  <c r="K64" i="1"/>
  <c r="G37" i="3"/>
  <c r="L64" i="1"/>
  <c r="I37" i="3"/>
  <c r="J37" i="3"/>
  <c r="J63" i="1"/>
  <c r="F36" i="3"/>
  <c r="K63" i="1"/>
  <c r="G36" i="3"/>
  <c r="L63" i="1"/>
  <c r="I36" i="3"/>
  <c r="J36" i="3"/>
  <c r="J62" i="1"/>
  <c r="F75" i="3"/>
  <c r="K62" i="1"/>
  <c r="G75" i="3"/>
  <c r="L62" i="1"/>
  <c r="I75" i="3"/>
  <c r="J75" i="3"/>
  <c r="J61" i="1"/>
  <c r="F74" i="3"/>
  <c r="K61" i="1"/>
  <c r="G74" i="3"/>
  <c r="L61" i="1"/>
  <c r="I74" i="3"/>
  <c r="J74" i="3"/>
  <c r="J59" i="1"/>
  <c r="F35" i="3"/>
  <c r="K59" i="1"/>
  <c r="G35" i="3"/>
  <c r="L59" i="1"/>
  <c r="I35" i="3"/>
  <c r="J35" i="3"/>
  <c r="J58" i="1"/>
  <c r="F34" i="3"/>
  <c r="K58" i="1"/>
  <c r="G34" i="3"/>
  <c r="L58" i="1"/>
  <c r="I34" i="3"/>
  <c r="J34" i="3"/>
  <c r="J57" i="1"/>
  <c r="F24" i="3"/>
  <c r="K57" i="1"/>
  <c r="G24" i="3"/>
  <c r="L57" i="1"/>
  <c r="I24" i="3"/>
  <c r="J24" i="3"/>
  <c r="J55" i="1"/>
  <c r="F71" i="3"/>
  <c r="K55" i="1"/>
  <c r="G71" i="3"/>
  <c r="L55" i="1"/>
  <c r="I71" i="3"/>
  <c r="J71" i="3"/>
  <c r="J54" i="1"/>
  <c r="F33" i="3"/>
  <c r="K54" i="1"/>
  <c r="G33" i="3"/>
  <c r="L54" i="1"/>
  <c r="I33" i="3"/>
  <c r="J33" i="3"/>
  <c r="J53" i="1"/>
  <c r="F32" i="3"/>
  <c r="K53" i="1"/>
  <c r="G32" i="3"/>
  <c r="L53" i="1"/>
  <c r="I32" i="3"/>
  <c r="J32" i="3"/>
  <c r="J52" i="1"/>
  <c r="F52" i="3"/>
  <c r="K52" i="1"/>
  <c r="G52" i="3"/>
  <c r="L52" i="1"/>
  <c r="I52" i="3"/>
  <c r="J52" i="3"/>
  <c r="J51" i="1"/>
  <c r="F31" i="3"/>
  <c r="K51" i="1"/>
  <c r="G31" i="3"/>
  <c r="L51" i="1"/>
  <c r="I31" i="3"/>
  <c r="J31" i="3"/>
  <c r="J50" i="1"/>
  <c r="F70" i="3"/>
  <c r="K50" i="1"/>
  <c r="G70" i="3"/>
  <c r="L50" i="1"/>
  <c r="I70" i="3"/>
  <c r="J70" i="3"/>
  <c r="J49" i="1"/>
  <c r="F69" i="3"/>
  <c r="K49" i="1"/>
  <c r="G69" i="3"/>
  <c r="L49" i="1"/>
  <c r="I69" i="3"/>
  <c r="J69" i="3"/>
  <c r="J47" i="1"/>
  <c r="F68" i="3"/>
  <c r="K47" i="1"/>
  <c r="G68" i="3"/>
  <c r="L47" i="1"/>
  <c r="I68" i="3"/>
  <c r="J68" i="3"/>
  <c r="J46" i="1"/>
  <c r="F23" i="3"/>
  <c r="K46" i="1"/>
  <c r="G23" i="3"/>
  <c r="L46" i="1"/>
  <c r="I23" i="3"/>
  <c r="J23" i="3"/>
  <c r="J45" i="1"/>
  <c r="F22" i="3"/>
  <c r="K45" i="1"/>
  <c r="G22" i="3"/>
  <c r="L45" i="1"/>
  <c r="I22" i="3"/>
  <c r="J22" i="3"/>
  <c r="J44" i="1"/>
  <c r="F21" i="3"/>
  <c r="K44" i="1"/>
  <c r="G21" i="3"/>
  <c r="L44" i="1"/>
  <c r="I21" i="3"/>
  <c r="J21" i="3"/>
  <c r="J43" i="1"/>
  <c r="F30" i="3"/>
  <c r="K43" i="1"/>
  <c r="G30" i="3"/>
  <c r="L43" i="1"/>
  <c r="I30" i="3"/>
  <c r="J30" i="3"/>
  <c r="J41" i="1"/>
  <c r="J42" i="1"/>
  <c r="F67" i="3"/>
  <c r="K41" i="1"/>
  <c r="K42" i="1"/>
  <c r="G67" i="3"/>
  <c r="L41" i="1"/>
  <c r="L42" i="1"/>
  <c r="I67" i="3"/>
  <c r="J67" i="3"/>
  <c r="J40" i="1"/>
  <c r="F66" i="3"/>
  <c r="K40" i="1"/>
  <c r="G66" i="3"/>
  <c r="L40" i="1"/>
  <c r="I66" i="3"/>
  <c r="J66" i="3"/>
  <c r="J38" i="1"/>
  <c r="F29" i="3"/>
  <c r="K38" i="1"/>
  <c r="G29" i="3"/>
  <c r="L38" i="1"/>
  <c r="I29" i="3"/>
  <c r="J29" i="3"/>
  <c r="J37" i="1"/>
  <c r="F64" i="3"/>
  <c r="K37" i="1"/>
  <c r="G64" i="3"/>
  <c r="L37" i="1"/>
  <c r="I64" i="3"/>
  <c r="J64" i="3"/>
  <c r="J36" i="1"/>
  <c r="F63" i="3"/>
  <c r="K36" i="1"/>
  <c r="G63" i="3"/>
  <c r="L36" i="1"/>
  <c r="I63" i="3"/>
  <c r="J63" i="3"/>
  <c r="J35" i="1"/>
  <c r="F20" i="3"/>
  <c r="K35" i="1"/>
  <c r="G20" i="3"/>
  <c r="L35" i="1"/>
  <c r="I20" i="3"/>
  <c r="J20" i="3"/>
  <c r="J34" i="1"/>
  <c r="F7" i="3"/>
  <c r="K34" i="1"/>
  <c r="G7" i="3"/>
  <c r="L34" i="1"/>
  <c r="I7" i="3"/>
  <c r="J7" i="3"/>
  <c r="J33" i="1"/>
  <c r="F2" i="3"/>
  <c r="K33" i="1"/>
  <c r="G2" i="3"/>
  <c r="L33" i="1"/>
  <c r="I2" i="3"/>
  <c r="J2" i="3"/>
  <c r="J32" i="1"/>
  <c r="F6" i="3"/>
  <c r="K32" i="1"/>
  <c r="G6" i="3"/>
  <c r="L32" i="1"/>
  <c r="I6" i="3"/>
  <c r="J6" i="3"/>
  <c r="J31" i="1"/>
  <c r="F5" i="3"/>
  <c r="K31" i="1"/>
  <c r="G5" i="3"/>
  <c r="L31" i="1"/>
  <c r="I5" i="3"/>
  <c r="J5" i="3"/>
  <c r="J29" i="1"/>
  <c r="J30" i="1"/>
  <c r="F62" i="3"/>
  <c r="K29" i="1"/>
  <c r="K30" i="1"/>
  <c r="G62" i="3"/>
  <c r="L29" i="1"/>
  <c r="L30" i="1"/>
  <c r="I62" i="3"/>
  <c r="J62" i="3"/>
  <c r="J28" i="1"/>
  <c r="F61" i="3"/>
  <c r="K28" i="1"/>
  <c r="G61" i="3"/>
  <c r="L28" i="1"/>
  <c r="I61" i="3"/>
  <c r="J61" i="3"/>
  <c r="J27" i="1"/>
  <c r="F19" i="3"/>
  <c r="K27" i="1"/>
  <c r="G19" i="3"/>
  <c r="L27" i="1"/>
  <c r="I19" i="3"/>
  <c r="J19" i="3"/>
  <c r="J26" i="1"/>
  <c r="F18" i="3"/>
  <c r="K26" i="1"/>
  <c r="G18" i="3"/>
  <c r="L26" i="1"/>
  <c r="I18" i="3"/>
  <c r="J18" i="3"/>
  <c r="J25" i="1"/>
  <c r="F17" i="3"/>
  <c r="K25" i="1"/>
  <c r="G17" i="3"/>
  <c r="L25" i="1"/>
  <c r="I17" i="3"/>
  <c r="J17" i="3"/>
  <c r="J24" i="1"/>
  <c r="F16" i="3"/>
  <c r="K24" i="1"/>
  <c r="G16" i="3"/>
  <c r="L24" i="1"/>
  <c r="I16" i="3"/>
  <c r="J16" i="3"/>
  <c r="J23" i="1"/>
  <c r="F15" i="3"/>
  <c r="K23" i="1"/>
  <c r="G15" i="3"/>
  <c r="L23" i="1"/>
  <c r="I15" i="3"/>
  <c r="J15" i="3"/>
  <c r="J22" i="1"/>
  <c r="F14" i="3"/>
  <c r="K22" i="1"/>
  <c r="G14" i="3"/>
  <c r="L22" i="1"/>
  <c r="I14" i="3"/>
  <c r="J14" i="3"/>
  <c r="J21" i="1"/>
  <c r="F28" i="3"/>
  <c r="K21" i="1"/>
  <c r="G28" i="3"/>
  <c r="L21" i="1"/>
  <c r="I28" i="3"/>
  <c r="J28" i="3"/>
  <c r="J20" i="1"/>
  <c r="F13" i="3"/>
  <c r="K20" i="1"/>
  <c r="G13" i="3"/>
  <c r="L20" i="1"/>
  <c r="I13" i="3"/>
  <c r="J13" i="3"/>
  <c r="J19" i="1"/>
  <c r="F12" i="3"/>
  <c r="K19" i="1"/>
  <c r="G12" i="3"/>
  <c r="L19" i="1"/>
  <c r="I12" i="3"/>
  <c r="J12" i="3"/>
  <c r="J18" i="1"/>
  <c r="F60" i="3"/>
  <c r="K18" i="1"/>
  <c r="G60" i="3"/>
  <c r="L18" i="1"/>
  <c r="I60" i="3"/>
  <c r="J60" i="3"/>
  <c r="J17" i="1"/>
  <c r="F11" i="3"/>
  <c r="K17" i="1"/>
  <c r="G11" i="3"/>
  <c r="L17" i="1"/>
  <c r="I11" i="3"/>
  <c r="J11" i="3"/>
  <c r="J16" i="1"/>
  <c r="F27" i="3"/>
  <c r="K16" i="1"/>
  <c r="G27" i="3"/>
  <c r="L16" i="1"/>
  <c r="I27" i="3"/>
  <c r="J27" i="3"/>
  <c r="J13" i="1"/>
  <c r="J14" i="1"/>
  <c r="J15" i="1"/>
  <c r="F59" i="3"/>
  <c r="K13" i="1"/>
  <c r="K14" i="1"/>
  <c r="K15" i="1"/>
  <c r="G59" i="3"/>
  <c r="L13" i="1"/>
  <c r="L14" i="1"/>
  <c r="L15" i="1"/>
  <c r="I59" i="3"/>
  <c r="J59" i="3"/>
  <c r="J12" i="1"/>
  <c r="F58" i="3"/>
  <c r="K12" i="1"/>
  <c r="G58" i="3"/>
  <c r="L12" i="1"/>
  <c r="I58" i="3"/>
  <c r="J58" i="3"/>
  <c r="J11" i="1"/>
  <c r="F26" i="3"/>
  <c r="K11" i="1"/>
  <c r="G26" i="3"/>
  <c r="L11" i="1"/>
  <c r="I26" i="3"/>
  <c r="J26" i="3"/>
  <c r="J7" i="1"/>
  <c r="J8" i="1"/>
  <c r="J9" i="1"/>
  <c r="J4" i="1"/>
  <c r="J5" i="1"/>
  <c r="J6" i="1"/>
  <c r="J10" i="1"/>
  <c r="F57" i="3"/>
  <c r="K7" i="1"/>
  <c r="K8" i="1"/>
  <c r="K9" i="1"/>
  <c r="K4" i="1"/>
  <c r="K5" i="1"/>
  <c r="K6" i="1"/>
  <c r="K10" i="1"/>
  <c r="G57" i="3"/>
  <c r="L7" i="1"/>
  <c r="L8" i="1"/>
  <c r="L9" i="1"/>
  <c r="L4" i="1"/>
  <c r="L5" i="1"/>
  <c r="L6" i="1"/>
  <c r="L10" i="1"/>
  <c r="I57" i="3"/>
  <c r="J57" i="3"/>
  <c r="F56" i="3"/>
  <c r="G56" i="3"/>
  <c r="I56" i="3"/>
  <c r="J56" i="3"/>
  <c r="F10" i="3"/>
  <c r="G10" i="3"/>
  <c r="I10" i="3"/>
  <c r="J10" i="3"/>
  <c r="F9" i="3"/>
  <c r="G9" i="3"/>
  <c r="I9" i="3"/>
  <c r="J9" i="3"/>
  <c r="G69" i="1"/>
  <c r="M52" i="2"/>
  <c r="AA51" i="2"/>
  <c r="AD51" i="2"/>
  <c r="AC51" i="2"/>
  <c r="AB51" i="2"/>
  <c r="V51" i="2"/>
  <c r="Y51" i="2"/>
  <c r="X51" i="2"/>
  <c r="W51" i="2"/>
  <c r="G38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29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0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18" i="1"/>
  <c r="N19" i="2"/>
  <c r="P19" i="2"/>
  <c r="O19" i="2"/>
  <c r="C19" i="2"/>
  <c r="B19" i="2"/>
  <c r="O29" i="2"/>
  <c r="H84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68" i="1"/>
  <c r="M315" i="2"/>
  <c r="G21" i="1"/>
  <c r="M312" i="2"/>
  <c r="G7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1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1" i="1"/>
  <c r="N294" i="2"/>
  <c r="O294" i="2"/>
  <c r="P294" i="2"/>
  <c r="D294" i="2"/>
  <c r="C294" i="2"/>
  <c r="B294" i="2"/>
  <c r="G23" i="1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5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0" i="1"/>
  <c r="M190" i="2"/>
  <c r="H40" i="1"/>
  <c r="N190" i="2"/>
  <c r="P411" i="2"/>
  <c r="O411" i="2"/>
  <c r="P408" i="2"/>
  <c r="O408" i="2"/>
  <c r="P407" i="2"/>
  <c r="O407" i="2"/>
  <c r="N406" i="2"/>
  <c r="P406" i="2"/>
  <c r="O406" i="2"/>
  <c r="G37" i="1"/>
  <c r="M402" i="2"/>
  <c r="P399" i="2"/>
  <c r="O399" i="2"/>
  <c r="G53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3" i="1"/>
  <c r="M176" i="2"/>
  <c r="G64" i="1"/>
  <c r="M175" i="2"/>
  <c r="G72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85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1" i="1"/>
  <c r="M281" i="2"/>
  <c r="G86" i="1"/>
  <c r="P278" i="2"/>
  <c r="H86" i="1"/>
  <c r="G83" i="1"/>
  <c r="M275" i="2"/>
  <c r="H83" i="1"/>
  <c r="N275" i="2"/>
  <c r="P275" i="2"/>
  <c r="M270" i="2"/>
  <c r="P267" i="2"/>
  <c r="O267" i="2"/>
  <c r="P266" i="2"/>
  <c r="O266" i="2"/>
  <c r="M264" i="2"/>
  <c r="G79" i="1"/>
  <c r="M256" i="2"/>
  <c r="G59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7" i="1"/>
  <c r="M242" i="2"/>
  <c r="G16" i="1"/>
  <c r="M241" i="2"/>
  <c r="G58" i="1"/>
  <c r="M237" i="2"/>
  <c r="G54" i="1"/>
  <c r="M218" i="2"/>
  <c r="G52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3" i="1"/>
  <c r="G43" i="1"/>
  <c r="H30" i="1"/>
  <c r="G30" i="1"/>
  <c r="H28" i="1"/>
  <c r="G28" i="1"/>
</calcChain>
</file>

<file path=xl/sharedStrings.xml><?xml version="1.0" encoding="utf-8"?>
<sst xmlns="http://schemas.openxmlformats.org/spreadsheetml/2006/main" count="1744" uniqueCount="495">
  <si>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</si>
  <si>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</si>
  <si>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</si>
  <si>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</si>
  <si>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</si>
  <si>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</si>
  <si>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</si>
  <si>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</si>
  <si>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</si>
  <si>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</si>
  <si>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</si>
  <si>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</si>
  <si>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</si>
  <si>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</si>
  <si>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</si>
  <si>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</si>
  <si>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</si>
  <si>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</si>
  <si>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</si>
  <si>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</si>
  <si>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</si>
  <si>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</si>
  <si>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</si>
  <si>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</si>
  <si>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</si>
  <si>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</si>
  <si>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</si>
  <si>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</si>
  <si>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</si>
  <si>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</si>
  <si>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</si>
  <si>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</si>
  <si>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</si>
  <si>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</si>
  <si>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</si>
  <si>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</si>
  <si>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</si>
  <si>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</si>
  <si>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</si>
  <si>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</si>
  <si>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</si>
  <si>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</si>
  <si>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</si>
  <si>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</si>
  <si>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</si>
  <si>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</si>
  <si>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</si>
  <si>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</si>
  <si>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</si>
  <si>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</si>
  <si>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</si>
  <si>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</si>
  <si>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</si>
  <si>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</si>
  <si>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</si>
  <si>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</si>
  <si>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</si>
  <si>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</si>
  <si>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</si>
  <si>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</si>
  <si>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</si>
  <si>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</si>
  <si>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</si>
  <si>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</si>
  <si>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</si>
  <si>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</si>
  <si>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</si>
  <si>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</si>
  <si>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</si>
  <si>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</si>
  <si>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</si>
  <si>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</si>
  <si>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</si>
  <si>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</si>
  <si>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</si>
  <si>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</si>
  <si>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</si>
  <si>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</si>
  <si>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</si>
  <si>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</si>
  <si>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</si>
  <si>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</si>
  <si>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</si>
  <si>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</si>
  <si>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</si>
  <si>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</si>
  <si>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</si>
  <si>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</si>
  <si>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</si>
  <si>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</si>
  <si>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</si>
  <si>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</si>
  <si>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</si>
  <si>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</si>
  <si>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</si>
  <si>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</si>
  <si>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</si>
  <si>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</si>
  <si>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</si>
  <si>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</si>
  <si>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</si>
  <si>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</si>
  <si>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</si>
  <si>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</si>
  <si>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</si>
  <si>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</si>
  <si>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</si>
  <si>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</si>
  <si>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</si>
  <si>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</si>
  <si>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</si>
  <si>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</si>
  <si>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</si>
  <si>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</si>
  <si>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</si>
  <si>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</si>
  <si>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</si>
  <si>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</si>
  <si>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</si>
  <si>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</si>
  <si>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</si>
  <si>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</si>
  <si>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</si>
  <si>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</si>
  <si>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</si>
  <si>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</si>
  <si>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</si>
  <si>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</si>
  <si>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</si>
  <si>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</si>
  <si>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</si>
  <si>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</si>
  <si>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</si>
  <si>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</si>
  <si>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</si>
  <si>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</si>
  <si>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</si>
  <si>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</si>
  <si>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</si>
  <si>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</si>
  <si>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</si>
  <si>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</si>
  <si>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</si>
  <si>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</si>
  <si>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</si>
  <si>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</si>
  <si>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</si>
  <si>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</si>
  <si>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</si>
  <si>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</si>
  <si>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</si>
  <si>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</si>
  <si>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</si>
  <si>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</si>
  <si>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</si>
  <si>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</si>
  <si>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</si>
  <si>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</si>
  <si>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</si>
  <si>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</si>
  <si>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</si>
  <si>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</si>
  <si>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</si>
  <si>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</si>
  <si>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</si>
  <si>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</si>
  <si>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</si>
  <si>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</si>
  <si>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</si>
  <si>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</si>
  <si>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</si>
  <si>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</si>
  <si>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</si>
  <si>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</si>
  <si>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</si>
  <si>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</si>
  <si>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</si>
  <si>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</si>
  <si>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</si>
  <si>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</si>
  <si>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</si>
  <si>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</si>
  <si>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</si>
  <si>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</si>
  <si>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</si>
  <si>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</si>
  <si>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</si>
  <si>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</si>
  <si>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</si>
  <si>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</si>
  <si>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</si>
  <si>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</si>
  <si>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</si>
  <si>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</si>
  <si>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</si>
  <si>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</si>
  <si>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</si>
  <si>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</si>
  <si>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</si>
  <si>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</si>
  <si>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</si>
  <si>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</si>
  <si>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</si>
  <si>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</si>
  <si>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</si>
  <si>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</si>
  <si>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</si>
  <si>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</si>
  <si>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</si>
  <si>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</si>
  <si>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</si>
  <si>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</si>
  <si>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</si>
  <si>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</si>
  <si>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</si>
  <si>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</si>
  <si>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</si>
  <si>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</si>
  <si>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</si>
  <si>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</si>
  <si>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</si>
  <si>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</si>
  <si>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</si>
  <si>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</si>
  <si>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</si>
  <si>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</si>
  <si>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</si>
  <si>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</si>
  <si>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</si>
  <si>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</si>
  <si>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</si>
  <si>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</si>
  <si>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</si>
  <si>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</si>
  <si>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</si>
  <si>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</si>
  <si>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</si>
  <si>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</si>
  <si>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</si>
  <si>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</si>
  <si>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</si>
  <si>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</si>
  <si>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</si>
  <si>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</si>
  <si>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</si>
  <si>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</si>
  <si>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</si>
  <si>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</si>
  <si>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</si>
  <si>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</si>
  <si>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</si>
  <si>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</si>
  <si>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</si>
  <si>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</si>
  <si>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</si>
  <si>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</si>
  <si>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</si>
  <si>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</si>
  <si>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</si>
  <si>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</si>
  <si>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</si>
  <si>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</si>
  <si>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</si>
  <si>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</si>
  <si>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</si>
  <si>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</si>
  <si>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</si>
  <si>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</si>
  <si>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</si>
  <si>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</si>
  <si>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</si>
  <si>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</si>
  <si>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</si>
  <si>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</si>
  <si>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</si>
  <si>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</si>
  <si>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</si>
  <si>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</si>
  <si>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</si>
  <si>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</si>
  <si>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</si>
  <si>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</si>
  <si>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</si>
  <si>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</si>
  <si>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</si>
  <si>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</si>
  <si>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</si>
  <si>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</si>
  <si>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</si>
  <si>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</si>
  <si>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</si>
  <si>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</si>
  <si>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</si>
  <si>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</si>
  <si>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</si>
  <si>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</si>
  <si>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</si>
  <si>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</si>
  <si>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</si>
  <si>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</si>
  <si>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</si>
  <si>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</si>
  <si>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</si>
  <si>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</si>
  <si>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</si>
  <si>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</si>
  <si>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</si>
  <si>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</si>
  <si>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</si>
  <si>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</si>
  <si>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</si>
  <si>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</si>
  <si>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</si>
  <si>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</si>
  <si>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</si>
  <si>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</si>
  <si>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</si>
  <si>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</si>
  <si>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</si>
  <si>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</si>
  <si>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</si>
  <si>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</si>
  <si>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</si>
  <si>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</si>
  <si>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</si>
  <si>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</si>
  <si>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</si>
  <si>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</si>
  <si>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</si>
  <si>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</si>
  <si>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</si>
  <si>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</si>
  <si>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</si>
  <si>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</si>
  <si>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</si>
  <si>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</si>
  <si>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</si>
  <si>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</si>
  <si>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</si>
  <si>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</si>
  <si>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</si>
  <si>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</si>
  <si>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</si>
  <si>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</si>
  <si>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</si>
  <si>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</si>
  <si>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</si>
  <si>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</si>
  <si>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</si>
  <si>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</si>
  <si>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</si>
  <si>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</si>
  <si>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</si>
  <si>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</si>
  <si>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</si>
  <si>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</si>
  <si>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</si>
  <si>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</si>
  <si>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</si>
  <si>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</si>
  <si>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</si>
  <si>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</si>
  <si>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</si>
  <si>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</si>
  <si>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</si>
  <si>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</si>
  <si>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</si>
  <si>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</si>
  <si>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</si>
  <si>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</si>
  <si>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</si>
  <si>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</si>
  <si>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</si>
  <si>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</si>
  <si>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</si>
  <si>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</si>
  <si>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</si>
  <si>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</si>
  <si>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</si>
  <si>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</si>
  <si>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</si>
  <si>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</si>
  <si>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</si>
  <si>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</si>
  <si>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</si>
  <si>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</si>
  <si>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</si>
  <si>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</si>
  <si>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</si>
  <si>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</si>
  <si>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</si>
  <si>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</si>
  <si>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</si>
  <si>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</si>
  <si>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</si>
  <si>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</si>
  <si>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</si>
  <si>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</si>
  <si>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</si>
  <si>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</si>
  <si>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</si>
  <si>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</si>
  <si>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</si>
  <si>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</si>
  <si>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</si>
  <si>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</si>
  <si>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</si>
  <si>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</si>
  <si>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</si>
  <si>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</si>
  <si>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</si>
  <si>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</si>
  <si>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</si>
  <si>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</si>
  <si>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</si>
  <si>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</si>
  <si>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</si>
  <si>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</si>
  <si>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</si>
  <si>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</si>
  <si>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</si>
  <si>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</si>
  <si>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</si>
  <si>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</si>
  <si>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</si>
  <si>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</si>
  <si>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</si>
  <si>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</si>
  <si>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</si>
  <si>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</si>
  <si>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</si>
  <si>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</si>
  <si>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</si>
  <si>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</si>
  <si>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Gabrielle = gluten free</t>
  </si>
  <si>
    <t>Lisa = gluten free</t>
  </si>
  <si>
    <t>Malgoshia = no corn, gluten and dairy free</t>
  </si>
  <si>
    <t>Jim = gluten and dairy free. Only person eating safe meal</t>
  </si>
  <si>
    <t>weekend meal involved</t>
  </si>
  <si>
    <t>weekday meals involved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</si>
  <si>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</si>
  <si>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</si>
  <si>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</si>
  <si>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</si>
  <si>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</si>
  <si>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</si>
  <si>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</si>
  <si>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</si>
  <si>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</si>
  <si>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</si>
  <si>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</si>
  <si>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</si>
  <si>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</si>
  <si>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</si>
  <si>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</si>
  <si>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</si>
  <si>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</si>
  <si>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 xml:space="preserve">porridge serving size = </t>
  </si>
  <si>
    <t>`=100g</t>
  </si>
  <si>
    <t>(from 2016 #s &amp; shopping. Harraways says 40g…)</t>
  </si>
  <si>
    <t>GF BREAD</t>
  </si>
  <si>
    <t>Vogel's</t>
  </si>
  <si>
    <t>16/loaf</t>
  </si>
  <si>
    <t>cooking safe meal</t>
  </si>
  <si>
    <t>bread ration = 1 slice per person per meal</t>
  </si>
  <si>
    <t>milk ration - see 2016</t>
  </si>
  <si>
    <t>butter, etc - see 2016</t>
  </si>
  <si>
    <t>no porridge recipe</t>
  </si>
  <si>
    <t>sa4,mo4,we4,fr1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</si>
  <si>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</si>
  <si>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</si>
  <si>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</si>
  <si>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</si>
  <si>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</si>
  <si>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</si>
  <si>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</si>
  <si>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weekend eaters</t>
  </si>
  <si>
    <t>weekday eaters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</si>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</sst>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2" fillId="2" borderId="29" xfId="0" applyFont="1" applyFill="1" applyBorder="1" applyAlignment="1">
      <alignment wrapText="1"/>
    </xf>
    <xf numFmtId="0" fontId="2" fillId="2" borderId="29" xfId="0" applyFont="1" applyFill="1" applyBorder="1" applyAlignment="1">
      <alignment horizontal="left" wrapText="1"/>
    </xf>
    <xf numFmtId="0" fontId="2" fillId="2" borderId="29" xfId="0" applyFont="1" applyFill="1" applyBorder="1" applyAlignment="1">
      <alignment horizontal="right" wrapText="1"/>
    </xf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5" fontId="1" fillId="2" borderId="0" xfId="0" applyNumberFormat="1" applyFont="1" applyFill="1" applyAlignment="1">
      <alignment wrapText="1"/>
    </xf>
    <xf numFmtId="165" fontId="1" fillId="2" borderId="17" xfId="0" applyNumberFormat="1" applyFont="1" applyFill="1" applyBorder="1"/>
    <xf numFmtId="165" fontId="1" fillId="2" borderId="0" xfId="0" applyNumberFormat="1" applyFont="1" applyFill="1" applyBorder="1"/>
    <xf numFmtId="165" fontId="1" fillId="2" borderId="22" xfId="0" applyNumberFormat="1" applyFont="1" applyFill="1" applyBorder="1"/>
    <xf numFmtId="165" fontId="2" fillId="2" borderId="0" xfId="0" applyNumberFormat="1" applyFont="1" applyFill="1"/>
  </cellXfs>
  <cellStyles count="1">
    <cellStyle name="Normal" xfId="0" builtinId="0"/>
  </cellStyles>
  <dxfs count="200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8"/>
  <sheetViews>
    <sheetView workbookViewId="0">
      <selection activeCell="D24" sqref="D24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6.85546875" style="27" bestFit="1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38.25" x14ac:dyDescent="0.2">
      <c r="B1" s="104" t="s">
        <v>453</v>
      </c>
      <c r="C1" s="105" t="s">
        <v>448</v>
      </c>
      <c r="D1" s="104" t="s">
        <v>447</v>
      </c>
      <c r="E1" s="104" t="s">
        <v>452</v>
      </c>
      <c r="F1" s="105" t="s">
        <v>446</v>
      </c>
      <c r="G1" s="106" t="s">
        <v>442</v>
      </c>
      <c r="H1" s="105" t="s">
        <v>443</v>
      </c>
      <c r="I1" s="104" t="s">
        <v>178</v>
      </c>
      <c r="J1" s="106" t="s">
        <v>454</v>
      </c>
      <c r="K1" s="105" t="s">
        <v>444</v>
      </c>
      <c r="L1" s="104" t="s">
        <v>423</v>
      </c>
      <c r="M1" s="106" t="s">
        <v>455</v>
      </c>
      <c r="N1" s="105" t="s">
        <v>445</v>
      </c>
    </row>
    <row r="2" spans="1:25" x14ac:dyDescent="0.2">
      <c r="A2" s="27" t="s">
        <v>424</v>
      </c>
      <c r="B2" s="101">
        <v>1</v>
      </c>
      <c r="C2" s="102"/>
      <c r="D2" s="101">
        <v>1</v>
      </c>
      <c r="E2" s="101"/>
      <c r="F2" s="102"/>
      <c r="G2" s="101"/>
      <c r="H2" s="102"/>
      <c r="I2" s="101">
        <v>1</v>
      </c>
      <c r="J2" s="103"/>
      <c r="K2" s="102"/>
      <c r="L2" s="101">
        <v>1</v>
      </c>
      <c r="M2" s="103"/>
      <c r="N2" s="102"/>
      <c r="S2" s="27" t="s">
        <v>302</v>
      </c>
      <c r="T2" s="27" t="s">
        <v>303</v>
      </c>
      <c r="U2" s="27" t="s">
        <v>304</v>
      </c>
      <c r="V2" s="27" t="s">
        <v>305</v>
      </c>
      <c r="W2" s="27" t="s">
        <v>306</v>
      </c>
      <c r="X2" s="27" t="s">
        <v>307</v>
      </c>
      <c r="Y2" s="27" t="s">
        <v>308</v>
      </c>
    </row>
    <row r="3" spans="1:25" x14ac:dyDescent="0.2">
      <c r="A3" s="27" t="s">
        <v>449</v>
      </c>
      <c r="B3" s="101">
        <v>1</v>
      </c>
      <c r="C3" s="102"/>
      <c r="D3" s="101">
        <v>1</v>
      </c>
      <c r="E3" s="101">
        <v>1</v>
      </c>
      <c r="F3" s="102"/>
      <c r="G3" s="101">
        <v>1</v>
      </c>
      <c r="H3" s="102"/>
      <c r="I3" s="101">
        <v>1</v>
      </c>
      <c r="J3" s="103">
        <v>1</v>
      </c>
      <c r="K3" s="102"/>
      <c r="L3" s="101">
        <v>1</v>
      </c>
      <c r="M3" s="103">
        <v>1</v>
      </c>
      <c r="N3" s="102"/>
      <c r="R3" s="27" t="s">
        <v>473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425</v>
      </c>
      <c r="B4" s="101">
        <v>1</v>
      </c>
      <c r="C4" s="102"/>
      <c r="D4" s="101">
        <v>1</v>
      </c>
      <c r="E4" s="101">
        <v>1</v>
      </c>
      <c r="F4" s="102"/>
      <c r="G4" s="101">
        <v>1</v>
      </c>
      <c r="H4" s="102"/>
      <c r="I4" s="101">
        <v>1</v>
      </c>
      <c r="J4" s="103">
        <v>1</v>
      </c>
      <c r="K4" s="102"/>
      <c r="L4" s="101">
        <v>1</v>
      </c>
      <c r="M4" s="103">
        <v>1</v>
      </c>
      <c r="N4" s="102"/>
      <c r="R4" s="27" t="s">
        <v>474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</row>
    <row r="5" spans="1:25" x14ac:dyDescent="0.2">
      <c r="A5" s="27" t="s">
        <v>426</v>
      </c>
      <c r="B5" s="101">
        <v>1</v>
      </c>
      <c r="C5" s="102"/>
      <c r="D5" s="101">
        <v>1</v>
      </c>
      <c r="E5" s="101">
        <v>1</v>
      </c>
      <c r="F5" s="102"/>
      <c r="G5" s="101">
        <v>1</v>
      </c>
      <c r="H5" s="102"/>
      <c r="I5" s="101">
        <v>1</v>
      </c>
      <c r="J5" s="103">
        <v>1</v>
      </c>
      <c r="K5" s="102"/>
      <c r="L5" s="101">
        <v>1</v>
      </c>
      <c r="M5" s="103">
        <v>1</v>
      </c>
      <c r="N5" s="102"/>
      <c r="R5" s="27" t="s">
        <v>475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427</v>
      </c>
      <c r="B6" s="101">
        <v>1</v>
      </c>
      <c r="C6" s="102"/>
      <c r="D6" s="101">
        <v>1</v>
      </c>
      <c r="E6" s="101">
        <v>1</v>
      </c>
      <c r="F6" s="102"/>
      <c r="G6" s="101">
        <v>1</v>
      </c>
      <c r="H6" s="102"/>
      <c r="I6" s="101">
        <v>1</v>
      </c>
      <c r="J6" s="103">
        <v>1</v>
      </c>
      <c r="K6" s="102"/>
      <c r="L6" s="101">
        <v>1</v>
      </c>
      <c r="M6" s="103">
        <v>1</v>
      </c>
      <c r="N6" s="102"/>
    </row>
    <row r="7" spans="1:25" x14ac:dyDescent="0.2">
      <c r="A7" s="27" t="s">
        <v>428</v>
      </c>
      <c r="B7" s="101">
        <v>1</v>
      </c>
      <c r="C7" s="102"/>
      <c r="D7" s="101">
        <v>1</v>
      </c>
      <c r="E7" s="101">
        <v>1</v>
      </c>
      <c r="F7" s="102"/>
      <c r="G7" s="101">
        <v>1</v>
      </c>
      <c r="H7" s="102"/>
      <c r="I7" s="101">
        <v>1</v>
      </c>
      <c r="J7" s="103">
        <v>1</v>
      </c>
      <c r="K7" s="102"/>
      <c r="L7" s="101">
        <v>1</v>
      </c>
      <c r="M7" s="103">
        <v>1</v>
      </c>
      <c r="N7" s="102"/>
    </row>
    <row r="8" spans="1:25" x14ac:dyDescent="0.2">
      <c r="A8" s="27" t="s">
        <v>429</v>
      </c>
      <c r="B8" s="101">
        <v>1</v>
      </c>
      <c r="C8" s="102"/>
      <c r="D8" s="101">
        <v>1</v>
      </c>
      <c r="E8" s="101">
        <v>1</v>
      </c>
      <c r="F8" s="102"/>
      <c r="G8" s="101">
        <v>1</v>
      </c>
      <c r="H8" s="102"/>
      <c r="I8" s="101">
        <v>1</v>
      </c>
      <c r="J8" s="103">
        <v>1</v>
      </c>
      <c r="K8" s="102"/>
      <c r="L8" s="101">
        <v>1</v>
      </c>
      <c r="M8" s="103">
        <v>1</v>
      </c>
      <c r="N8" s="102"/>
    </row>
    <row r="9" spans="1:25" x14ac:dyDescent="0.2">
      <c r="A9" s="27" t="s">
        <v>430</v>
      </c>
      <c r="B9" s="101">
        <v>1</v>
      </c>
      <c r="C9" s="102"/>
      <c r="D9" s="101">
        <v>1</v>
      </c>
      <c r="E9" s="101">
        <v>1</v>
      </c>
      <c r="F9" s="102"/>
      <c r="G9" s="101">
        <v>1</v>
      </c>
      <c r="H9" s="102"/>
      <c r="I9" s="101">
        <v>1</v>
      </c>
      <c r="J9" s="103">
        <v>1</v>
      </c>
      <c r="K9" s="102"/>
      <c r="L9" s="101">
        <v>1</v>
      </c>
      <c r="M9" s="103">
        <v>1</v>
      </c>
      <c r="N9" s="102"/>
    </row>
    <row r="10" spans="1:25" x14ac:dyDescent="0.2">
      <c r="A10" s="27" t="s">
        <v>431</v>
      </c>
      <c r="B10" s="101">
        <v>1</v>
      </c>
      <c r="C10" s="102"/>
      <c r="D10" s="101">
        <v>1</v>
      </c>
      <c r="E10" s="101">
        <v>1</v>
      </c>
      <c r="F10" s="102"/>
      <c r="G10" s="101"/>
      <c r="H10" s="102">
        <v>1</v>
      </c>
      <c r="I10" s="101">
        <v>1</v>
      </c>
      <c r="J10" s="103">
        <v>1</v>
      </c>
      <c r="K10" s="102"/>
      <c r="L10" s="101">
        <v>1</v>
      </c>
      <c r="M10" s="103">
        <v>1</v>
      </c>
      <c r="N10" s="102"/>
    </row>
    <row r="11" spans="1:25" x14ac:dyDescent="0.2">
      <c r="A11" s="27" t="s">
        <v>432</v>
      </c>
      <c r="B11" s="101">
        <v>1</v>
      </c>
      <c r="C11" s="102"/>
      <c r="D11" s="101">
        <v>1</v>
      </c>
      <c r="E11" s="101">
        <v>1</v>
      </c>
      <c r="F11" s="102"/>
      <c r="G11" s="101"/>
      <c r="H11" s="102">
        <v>1</v>
      </c>
      <c r="I11" s="101">
        <v>1</v>
      </c>
      <c r="J11" s="103">
        <v>1</v>
      </c>
      <c r="K11" s="102"/>
      <c r="L11" s="101">
        <v>1</v>
      </c>
      <c r="M11" s="103">
        <v>1</v>
      </c>
      <c r="N11" s="102"/>
    </row>
    <row r="12" spans="1:25" x14ac:dyDescent="0.2">
      <c r="A12" s="27" t="s">
        <v>433</v>
      </c>
      <c r="B12" s="101">
        <v>1</v>
      </c>
      <c r="C12" s="102"/>
      <c r="D12" s="101">
        <v>1</v>
      </c>
      <c r="E12" s="101">
        <v>1</v>
      </c>
      <c r="F12" s="102"/>
      <c r="G12" s="101"/>
      <c r="H12" s="102">
        <v>1</v>
      </c>
      <c r="I12" s="101">
        <v>1</v>
      </c>
      <c r="J12" s="103">
        <v>1</v>
      </c>
      <c r="K12" s="102"/>
      <c r="L12" s="101">
        <v>1</v>
      </c>
      <c r="M12" s="103">
        <v>1</v>
      </c>
      <c r="N12" s="102"/>
    </row>
    <row r="13" spans="1:25" x14ac:dyDescent="0.2">
      <c r="A13" s="27" t="s">
        <v>434</v>
      </c>
      <c r="B13" s="101"/>
      <c r="C13" s="102">
        <v>1</v>
      </c>
      <c r="D13" s="101">
        <v>1</v>
      </c>
      <c r="E13" s="101"/>
      <c r="F13" s="102">
        <v>1</v>
      </c>
      <c r="G13" s="101">
        <v>1</v>
      </c>
      <c r="H13" s="102"/>
      <c r="I13" s="101">
        <v>1</v>
      </c>
      <c r="J13" s="103">
        <v>1</v>
      </c>
      <c r="K13" s="102"/>
      <c r="L13" s="101">
        <v>1</v>
      </c>
      <c r="M13" s="103">
        <v>1</v>
      </c>
      <c r="N13" s="102"/>
    </row>
    <row r="14" spans="1:25" x14ac:dyDescent="0.2">
      <c r="A14" s="27" t="s">
        <v>435</v>
      </c>
      <c r="B14" s="101"/>
      <c r="C14" s="102">
        <v>1</v>
      </c>
      <c r="D14" s="101">
        <v>1</v>
      </c>
      <c r="E14" s="101"/>
      <c r="F14" s="102">
        <v>1</v>
      </c>
      <c r="G14" s="101">
        <v>1</v>
      </c>
      <c r="H14" s="102"/>
      <c r="I14" s="101">
        <v>1</v>
      </c>
      <c r="J14" s="103">
        <v>1</v>
      </c>
      <c r="K14" s="102"/>
      <c r="L14" s="101">
        <v>1</v>
      </c>
      <c r="M14" s="103">
        <v>1</v>
      </c>
      <c r="N14" s="102"/>
    </row>
    <row r="15" spans="1:25" x14ac:dyDescent="0.2">
      <c r="A15" s="27" t="s">
        <v>436</v>
      </c>
      <c r="B15" s="101"/>
      <c r="C15" s="102">
        <v>1</v>
      </c>
      <c r="D15" s="101">
        <v>1</v>
      </c>
      <c r="E15" s="101"/>
      <c r="F15" s="102">
        <v>1</v>
      </c>
      <c r="G15" s="101"/>
      <c r="H15" s="102">
        <v>1</v>
      </c>
      <c r="I15" s="101">
        <v>1</v>
      </c>
      <c r="J15" s="103">
        <v>1</v>
      </c>
      <c r="K15" s="102"/>
      <c r="L15" s="101">
        <v>1</v>
      </c>
      <c r="M15" s="103">
        <v>1</v>
      </c>
      <c r="N15" s="102"/>
    </row>
    <row r="16" spans="1:25" x14ac:dyDescent="0.2">
      <c r="A16" s="27" t="s">
        <v>437</v>
      </c>
      <c r="B16" s="101"/>
      <c r="C16" s="102">
        <v>1</v>
      </c>
      <c r="D16" s="101">
        <v>1</v>
      </c>
      <c r="E16" s="101"/>
      <c r="F16" s="102">
        <v>1</v>
      </c>
      <c r="G16" s="101"/>
      <c r="H16" s="102">
        <v>1</v>
      </c>
      <c r="I16" s="101">
        <v>1</v>
      </c>
      <c r="J16" s="103"/>
      <c r="K16" s="102">
        <v>1</v>
      </c>
      <c r="L16" s="101">
        <v>1</v>
      </c>
      <c r="M16" s="103"/>
      <c r="N16" s="102">
        <v>1</v>
      </c>
    </row>
    <row r="17" spans="1:14" x14ac:dyDescent="0.2">
      <c r="B17" s="101"/>
      <c r="C17" s="102"/>
      <c r="D17" s="101"/>
      <c r="E17" s="101"/>
      <c r="F17" s="102"/>
      <c r="G17" s="101"/>
      <c r="H17" s="102"/>
      <c r="I17" s="101"/>
      <c r="J17" s="103"/>
      <c r="K17" s="102"/>
      <c r="L17" s="101"/>
      <c r="M17" s="103"/>
      <c r="N17" s="102"/>
    </row>
    <row r="18" spans="1:14" x14ac:dyDescent="0.2">
      <c r="A18" s="72" t="s">
        <v>476</v>
      </c>
      <c r="B18" s="101">
        <f t="shared" ref="B18:N18" si="0">SUM(B2:B16)</f>
        <v>11</v>
      </c>
      <c r="C18" s="102">
        <f t="shared" si="0"/>
        <v>4</v>
      </c>
      <c r="D18" s="101">
        <f t="shared" si="0"/>
        <v>15</v>
      </c>
      <c r="E18" s="101">
        <f t="shared" si="0"/>
        <v>10</v>
      </c>
      <c r="F18" s="102">
        <f t="shared" si="0"/>
        <v>4</v>
      </c>
      <c r="G18" s="101">
        <f t="shared" si="0"/>
        <v>9</v>
      </c>
      <c r="H18" s="102">
        <f t="shared" si="0"/>
        <v>5</v>
      </c>
      <c r="I18" s="101">
        <f t="shared" si="0"/>
        <v>15</v>
      </c>
      <c r="J18" s="103">
        <f t="shared" si="0"/>
        <v>13</v>
      </c>
      <c r="K18" s="102">
        <f t="shared" si="0"/>
        <v>1</v>
      </c>
      <c r="L18" s="101">
        <f t="shared" si="0"/>
        <v>15</v>
      </c>
      <c r="M18" s="103">
        <f t="shared" si="0"/>
        <v>13</v>
      </c>
      <c r="N18" s="102">
        <f t="shared" si="0"/>
        <v>1</v>
      </c>
    </row>
    <row r="19" spans="1:14" x14ac:dyDescent="0.2">
      <c r="A19" s="72" t="s">
        <v>477</v>
      </c>
      <c r="B19" s="101">
        <f t="shared" ref="B19:N19" si="1">B18-B2-B3-B4</f>
        <v>8</v>
      </c>
      <c r="C19" s="102">
        <f t="shared" si="1"/>
        <v>4</v>
      </c>
      <c r="D19" s="101">
        <f t="shared" si="1"/>
        <v>12</v>
      </c>
      <c r="E19" s="101">
        <f t="shared" si="1"/>
        <v>8</v>
      </c>
      <c r="F19" s="102">
        <f t="shared" si="1"/>
        <v>4</v>
      </c>
      <c r="G19" s="101">
        <f t="shared" si="1"/>
        <v>7</v>
      </c>
      <c r="H19" s="102">
        <f t="shared" si="1"/>
        <v>5</v>
      </c>
      <c r="I19" s="101">
        <f t="shared" si="1"/>
        <v>12</v>
      </c>
      <c r="J19" s="103">
        <f t="shared" si="1"/>
        <v>11</v>
      </c>
      <c r="K19" s="102">
        <f t="shared" si="1"/>
        <v>1</v>
      </c>
      <c r="L19" s="101">
        <f t="shared" si="1"/>
        <v>12</v>
      </c>
      <c r="M19" s="103">
        <f t="shared" si="1"/>
        <v>11</v>
      </c>
      <c r="N19" s="102">
        <f t="shared" si="1"/>
        <v>1</v>
      </c>
    </row>
    <row r="20" spans="1:14" x14ac:dyDescent="0.2">
      <c r="B20" s="101"/>
      <c r="C20" s="102"/>
      <c r="D20" s="101"/>
      <c r="E20" s="101"/>
      <c r="F20" s="102"/>
      <c r="G20" s="101"/>
      <c r="H20" s="102"/>
      <c r="I20" s="101"/>
      <c r="J20" s="103"/>
      <c r="K20" s="102"/>
      <c r="L20" s="101"/>
      <c r="M20" s="103"/>
      <c r="N20" s="102"/>
    </row>
    <row r="21" spans="1:14" x14ac:dyDescent="0.2">
      <c r="A21" s="72" t="s">
        <v>438</v>
      </c>
      <c r="B21" s="101">
        <v>2</v>
      </c>
      <c r="C21" s="102">
        <v>2</v>
      </c>
      <c r="D21" s="103">
        <v>2</v>
      </c>
      <c r="E21" s="103">
        <v>4</v>
      </c>
      <c r="F21" s="102">
        <v>4</v>
      </c>
      <c r="G21" s="101">
        <v>4</v>
      </c>
      <c r="H21" s="102">
        <v>4</v>
      </c>
      <c r="I21" s="101">
        <v>2</v>
      </c>
      <c r="J21" s="103">
        <v>2</v>
      </c>
      <c r="K21" s="102">
        <v>2</v>
      </c>
      <c r="L21" s="101">
        <v>2</v>
      </c>
      <c r="M21" s="103">
        <v>2</v>
      </c>
      <c r="N21" s="102">
        <v>2</v>
      </c>
    </row>
    <row r="22" spans="1:14" x14ac:dyDescent="0.2">
      <c r="A22" s="72" t="s">
        <v>439</v>
      </c>
      <c r="B22" s="101">
        <v>5</v>
      </c>
      <c r="C22" s="102">
        <v>5</v>
      </c>
      <c r="D22" s="101">
        <v>5</v>
      </c>
      <c r="E22" s="101">
        <v>9</v>
      </c>
      <c r="F22" s="102">
        <v>9</v>
      </c>
      <c r="G22" s="101">
        <v>9</v>
      </c>
      <c r="H22" s="102">
        <v>9</v>
      </c>
      <c r="I22" s="101">
        <v>4</v>
      </c>
      <c r="J22" s="103">
        <v>4</v>
      </c>
      <c r="K22" s="102">
        <v>5</v>
      </c>
      <c r="L22" s="101">
        <v>4</v>
      </c>
      <c r="M22" s="103">
        <v>4</v>
      </c>
      <c r="N22" s="102">
        <v>4</v>
      </c>
    </row>
    <row r="23" spans="1:14" x14ac:dyDescent="0.2">
      <c r="B23" s="101"/>
      <c r="C23" s="102"/>
      <c r="D23" s="101"/>
      <c r="E23" s="101"/>
      <c r="F23" s="102"/>
      <c r="G23" s="101"/>
      <c r="H23" s="102"/>
      <c r="I23" s="101"/>
      <c r="J23" s="103"/>
      <c r="K23" s="102"/>
      <c r="L23" s="101"/>
      <c r="M23" s="103"/>
      <c r="N23" s="102"/>
    </row>
    <row r="24" spans="1:14" x14ac:dyDescent="0.2">
      <c r="A24" s="72" t="s">
        <v>301</v>
      </c>
      <c r="B24" s="101">
        <f>B21*B18+B22*B19</f>
        <v>62</v>
      </c>
      <c r="C24" s="102">
        <f t="shared" ref="C24:N24" si="2">C21*C18+C22*C19</f>
        <v>28</v>
      </c>
      <c r="D24" s="101">
        <f t="shared" si="2"/>
        <v>90</v>
      </c>
      <c r="E24" s="101">
        <f t="shared" si="2"/>
        <v>112</v>
      </c>
      <c r="F24" s="102">
        <f t="shared" si="2"/>
        <v>52</v>
      </c>
      <c r="G24" s="101">
        <f t="shared" si="2"/>
        <v>99</v>
      </c>
      <c r="H24" s="102">
        <f t="shared" si="2"/>
        <v>65</v>
      </c>
      <c r="I24" s="101">
        <f t="shared" si="2"/>
        <v>78</v>
      </c>
      <c r="J24" s="101">
        <f t="shared" si="2"/>
        <v>70</v>
      </c>
      <c r="K24" s="102">
        <f t="shared" si="2"/>
        <v>7</v>
      </c>
      <c r="L24" s="101">
        <f t="shared" si="2"/>
        <v>78</v>
      </c>
      <c r="M24" s="101">
        <f t="shared" si="2"/>
        <v>70</v>
      </c>
      <c r="N24" s="102">
        <f t="shared" si="2"/>
        <v>6</v>
      </c>
    </row>
    <row r="29" spans="1:14" x14ac:dyDescent="0.2">
      <c r="A29" s="100" t="s">
        <v>440</v>
      </c>
      <c r="B29" s="27" t="s">
        <v>451</v>
      </c>
    </row>
    <row r="30" spans="1:14" x14ac:dyDescent="0.2">
      <c r="A30" s="100" t="s">
        <v>441</v>
      </c>
      <c r="B30" s="27" t="s">
        <v>450</v>
      </c>
    </row>
    <row r="31" spans="1:14" x14ac:dyDescent="0.2">
      <c r="A31" s="100" t="s">
        <v>456</v>
      </c>
    </row>
    <row r="32" spans="1:14" x14ac:dyDescent="0.2">
      <c r="A32" s="27" t="s">
        <v>463</v>
      </c>
      <c r="B32" s="27" t="s">
        <v>468</v>
      </c>
    </row>
    <row r="33" spans="1:10" x14ac:dyDescent="0.2">
      <c r="A33" s="27" t="s">
        <v>467</v>
      </c>
    </row>
    <row r="34" spans="1:10" x14ac:dyDescent="0.2">
      <c r="A34" s="27" t="s">
        <v>469</v>
      </c>
    </row>
    <row r="35" spans="1:10" x14ac:dyDescent="0.2">
      <c r="A35" s="27" t="s">
        <v>470</v>
      </c>
    </row>
    <row r="36" spans="1:10" x14ac:dyDescent="0.2">
      <c r="A36" s="27" t="s">
        <v>471</v>
      </c>
    </row>
    <row r="37" spans="1:10" x14ac:dyDescent="0.2">
      <c r="A37" s="27" t="s">
        <v>472</v>
      </c>
    </row>
    <row r="41" spans="1:10" x14ac:dyDescent="0.2">
      <c r="B41" s="27" t="s">
        <v>302</v>
      </c>
      <c r="C41" s="27" t="s">
        <v>303</v>
      </c>
      <c r="D41" s="27" t="s">
        <v>304</v>
      </c>
      <c r="E41" s="27" t="s">
        <v>305</v>
      </c>
      <c r="F41" s="27" t="s">
        <v>306</v>
      </c>
      <c r="G41" s="27" t="s">
        <v>307</v>
      </c>
      <c r="H41" s="27" t="s">
        <v>308</v>
      </c>
    </row>
    <row r="42" spans="1:10" x14ac:dyDescent="0.2">
      <c r="A42" s="27">
        <v>2016</v>
      </c>
      <c r="B42" s="27">
        <v>20</v>
      </c>
      <c r="C42" s="27">
        <v>20</v>
      </c>
      <c r="D42" s="27">
        <v>14</v>
      </c>
      <c r="E42" s="27">
        <v>14</v>
      </c>
      <c r="F42" s="27">
        <v>11</v>
      </c>
      <c r="G42" s="27">
        <v>11</v>
      </c>
      <c r="H42" s="27">
        <v>11</v>
      </c>
      <c r="J42" s="27">
        <f>SUM(B42:I42)</f>
        <v>101</v>
      </c>
    </row>
    <row r="45" spans="1:10" x14ac:dyDescent="0.2">
      <c r="B45" s="27" t="s">
        <v>457</v>
      </c>
      <c r="E45" s="27">
        <f>6*1.5/101</f>
        <v>8.9108910891089105E-2</v>
      </c>
      <c r="F45" s="27" t="s">
        <v>12</v>
      </c>
      <c r="G45" s="27" t="s">
        <v>458</v>
      </c>
      <c r="H45" s="27" t="s">
        <v>459</v>
      </c>
    </row>
    <row r="46" spans="1:10" x14ac:dyDescent="0.2">
      <c r="B46" s="27" t="s">
        <v>464</v>
      </c>
    </row>
    <row r="47" spans="1:10" x14ac:dyDescent="0.2">
      <c r="B47" s="27" t="s">
        <v>465</v>
      </c>
    </row>
    <row r="48" spans="1:10" x14ac:dyDescent="0.2">
      <c r="B48" s="27" t="s">
        <v>466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opLeftCell="A276" zoomScaleNormal="100" workbookViewId="0">
      <selection activeCell="R299" sqref="R299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9" width="4.28515625" style="43" bestFit="1" customWidth="1"/>
    <col min="20" max="20" width="4.855468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7" customFormat="1" ht="15.75" x14ac:dyDescent="0.25">
      <c r="A1" s="117" t="s">
        <v>392</v>
      </c>
      <c r="B1" s="117"/>
      <c r="C1" s="117"/>
      <c r="D1" s="117"/>
      <c r="E1" s="39" t="s">
        <v>374</v>
      </c>
      <c r="F1" s="85" t="s">
        <v>375</v>
      </c>
      <c r="G1" s="85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7" customFormat="1" ht="24" x14ac:dyDescent="0.2">
      <c r="A2" s="117" t="s">
        <v>393</v>
      </c>
      <c r="B2" s="117"/>
      <c r="C2" s="117"/>
      <c r="D2" s="117"/>
      <c r="E2" s="85" t="s">
        <v>53</v>
      </c>
      <c r="F2" s="74">
        <v>10</v>
      </c>
      <c r="G2" s="43"/>
      <c r="I2" s="65" t="s">
        <v>395</v>
      </c>
      <c r="J2" s="66" t="s">
        <v>396</v>
      </c>
      <c r="K2" s="66" t="s">
        <v>17</v>
      </c>
      <c r="L2" s="67" t="s">
        <v>399</v>
      </c>
      <c r="M2" s="65" t="s">
        <v>132</v>
      </c>
      <c r="N2" s="65" t="s">
        <v>133</v>
      </c>
      <c r="O2" s="65" t="s">
        <v>397</v>
      </c>
      <c r="P2" s="65" t="s">
        <v>398</v>
      </c>
      <c r="Q2" s="66" t="s">
        <v>314</v>
      </c>
      <c r="R2" s="65" t="s">
        <v>315</v>
      </c>
      <c r="S2" s="65" t="s">
        <v>316</v>
      </c>
      <c r="T2" s="65" t="s">
        <v>317</v>
      </c>
      <c r="U2" s="66" t="s">
        <v>22</v>
      </c>
      <c r="V2" s="66" t="s">
        <v>191</v>
      </c>
      <c r="W2" s="68" t="s">
        <v>314</v>
      </c>
      <c r="X2" s="66" t="s">
        <v>189</v>
      </c>
      <c r="Y2" s="66" t="s">
        <v>190</v>
      </c>
      <c r="Z2" s="66" t="s">
        <v>289</v>
      </c>
      <c r="AA2" s="66" t="s">
        <v>192</v>
      </c>
      <c r="AB2" s="68" t="s">
        <v>314</v>
      </c>
      <c r="AC2" s="66" t="s">
        <v>193</v>
      </c>
      <c r="AD2" s="66" t="s">
        <v>194</v>
      </c>
    </row>
    <row r="3" spans="1:30" s="87" customFormat="1" ht="13.5" thickBot="1" x14ac:dyDescent="0.3">
      <c r="A3" s="118" t="str">
        <f>_xlfn.CONCAT(F3," servings")</f>
        <v>15 servings</v>
      </c>
      <c r="B3" s="118"/>
      <c r="C3" s="118"/>
      <c r="D3" s="118"/>
      <c r="E3" s="85" t="s">
        <v>309</v>
      </c>
      <c r="F3" s="74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7" customFormat="1" ht="15.75" thickBot="1" x14ac:dyDescent="0.3">
      <c r="A4" s="116"/>
      <c r="B4" s="116"/>
      <c r="C4" s="116"/>
      <c r="D4" s="116"/>
      <c r="E4" s="85" t="s">
        <v>312</v>
      </c>
      <c r="F4" s="46">
        <f>F3/F2</f>
        <v>1.5</v>
      </c>
      <c r="G4" s="47" t="s">
        <v>376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7" customFormat="1" x14ac:dyDescent="0.25">
      <c r="A5" s="116" t="s">
        <v>378</v>
      </c>
      <c r="B5" s="116"/>
      <c r="C5" s="116"/>
      <c r="D5" s="116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7" customFormat="1" ht="15.75" thickBot="1" x14ac:dyDescent="0.3">
      <c r="A6" s="84" t="s">
        <v>21</v>
      </c>
      <c r="B6" s="48">
        <f t="shared" ref="B6" si="0">Q6</f>
        <v>0.5</v>
      </c>
      <c r="C6" s="35" t="str">
        <f t="shared" ref="C6" si="1">IF(L6="","",L6)</f>
        <v/>
      </c>
      <c r="D6" s="84" t="str">
        <f t="shared" ref="D6" si="2">_xlfn.CONCAT(K6, U6)</f>
        <v>large tinned fruit salad</v>
      </c>
      <c r="E6" s="85" t="s">
        <v>301</v>
      </c>
      <c r="F6" s="87">
        <f>totFruitSalad</f>
        <v>90</v>
      </c>
      <c r="I6" s="50">
        <v>0.25</v>
      </c>
      <c r="J6" s="51"/>
      <c r="K6" s="51" t="s">
        <v>403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MROUND(IF(AND(J6 = "", L6 = ""), I6 * recipe15DayScale, IF(ISNA(CONVERT(O6, "kg", L6)), CONVERT(P6 * recipe15DayScale, "l", L6), CONVERT(O6 * recipe15DayScale, "kg", L6))), roundTo)</f>
        <v>0.5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3</v>
      </c>
      <c r="V6" s="87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7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7" customFormat="1" ht="15.75" thickBot="1" x14ac:dyDescent="0.3">
      <c r="A7" s="84" t="s">
        <v>21</v>
      </c>
      <c r="B7" s="48">
        <f t="shared" ref="B7:B8" si="15">Q7</f>
        <v>3</v>
      </c>
      <c r="C7" s="35" t="str">
        <f t="shared" ref="C7:C8" si="16">IF(L7="","",L7)</f>
        <v/>
      </c>
      <c r="D7" s="84" t="str">
        <f t="shared" ref="D7:D8" si="17">_xlfn.CONCAT(K7, U7)</f>
        <v>chopped apples</v>
      </c>
      <c r="E7" s="85" t="s">
        <v>313</v>
      </c>
      <c r="F7" s="46">
        <f>F6/F3</f>
        <v>6</v>
      </c>
      <c r="G7" s="47" t="s">
        <v>377</v>
      </c>
      <c r="I7" s="50">
        <v>2</v>
      </c>
      <c r="J7" s="51"/>
      <c r="K7" s="51" t="s">
        <v>383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MROUND(IF(AND(J7 = "", L7 = ""), I7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7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7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7" customFormat="1" x14ac:dyDescent="0.25">
      <c r="A8" s="84" t="s">
        <v>21</v>
      </c>
      <c r="B8" s="48">
        <f t="shared" si="15"/>
        <v>3</v>
      </c>
      <c r="C8" s="35" t="str">
        <f t="shared" si="16"/>
        <v/>
      </c>
      <c r="D8" s="84" t="str">
        <f t="shared" si="17"/>
        <v>sliced bananas</v>
      </c>
      <c r="I8" s="50">
        <v>2</v>
      </c>
      <c r="J8" s="51"/>
      <c r="K8" s="51" t="s">
        <v>384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MROUND(IF(AND(J8 = "", L8 = ""), I8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7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7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7" customFormat="1" x14ac:dyDescent="0.25">
      <c r="A9" s="84" t="s">
        <v>21</v>
      </c>
      <c r="B9" s="48">
        <f t="shared" ref="B9:B10" si="30">Q9</f>
        <v>3</v>
      </c>
      <c r="C9" s="35" t="str">
        <f t="shared" ref="C9:C11" si="31">IF(L9="","",L9)</f>
        <v/>
      </c>
      <c r="D9" s="84" t="str">
        <f t="shared" ref="D9:D11" si="32">_xlfn.CONCAT(K9, U9)</f>
        <v>chopped pears</v>
      </c>
      <c r="I9" s="50">
        <v>2</v>
      </c>
      <c r="J9" s="51"/>
      <c r="K9" s="51" t="s">
        <v>385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MROUND(IF(AND(J9 = "", L9 = ""), I9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7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7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7" customFormat="1" x14ac:dyDescent="0.25">
      <c r="A10" s="84" t="s">
        <v>21</v>
      </c>
      <c r="B10" s="48">
        <f t="shared" si="30"/>
        <v>3</v>
      </c>
      <c r="C10" s="35" t="str">
        <f t="shared" si="31"/>
        <v/>
      </c>
      <c r="D10" s="84" t="str">
        <f t="shared" si="32"/>
        <v>chopped peeled oranges</v>
      </c>
      <c r="I10" s="50">
        <v>2</v>
      </c>
      <c r="J10" s="51"/>
      <c r="K10" s="51" t="s">
        <v>386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MROUND(IF(AND(J10 = "", L10 = ""), I10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7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7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7" customFormat="1" x14ac:dyDescent="0.25">
      <c r="A11" s="84" t="s">
        <v>21</v>
      </c>
      <c r="B11" s="48"/>
      <c r="C11" s="35" t="str">
        <f t="shared" si="31"/>
        <v/>
      </c>
      <c r="D11" s="84" t="str">
        <f t="shared" si="32"/>
        <v>grapes, if available</v>
      </c>
      <c r="K11" s="51" t="s">
        <v>388</v>
      </c>
      <c r="R11" s="43"/>
      <c r="S11" s="43"/>
      <c r="U11" s="87" t="s">
        <v>217</v>
      </c>
      <c r="V11" s="87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7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7" customFormat="1" x14ac:dyDescent="0.25">
      <c r="A12" s="116"/>
      <c r="B12" s="116"/>
      <c r="C12" s="116"/>
      <c r="D12" s="116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7" customFormat="1" x14ac:dyDescent="0.25">
      <c r="A13" s="116" t="s">
        <v>389</v>
      </c>
      <c r="B13" s="116"/>
      <c r="C13" s="116"/>
      <c r="D13" s="116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7" t="s">
        <v>390</v>
      </c>
      <c r="B14" s="117"/>
      <c r="C14" s="117"/>
      <c r="D14" s="117"/>
      <c r="E14" s="39" t="s">
        <v>290</v>
      </c>
      <c r="F14" s="85" t="s">
        <v>401</v>
      </c>
      <c r="G14" s="85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7" t="s">
        <v>391</v>
      </c>
      <c r="B15" s="117"/>
      <c r="C15" s="117"/>
      <c r="D15" s="117"/>
      <c r="E15" s="61" t="s">
        <v>53</v>
      </c>
      <c r="F15" s="107">
        <v>10</v>
      </c>
      <c r="G15" s="43"/>
      <c r="I15" s="65" t="s">
        <v>395</v>
      </c>
      <c r="J15" s="66" t="s">
        <v>396</v>
      </c>
      <c r="K15" s="66" t="s">
        <v>17</v>
      </c>
      <c r="L15" s="67" t="s">
        <v>399</v>
      </c>
      <c r="M15" s="65" t="s">
        <v>132</v>
      </c>
      <c r="N15" s="65" t="s">
        <v>133</v>
      </c>
      <c r="O15" s="65" t="s">
        <v>397</v>
      </c>
      <c r="P15" s="65" t="s">
        <v>398</v>
      </c>
      <c r="Q15" s="66" t="s">
        <v>314</v>
      </c>
      <c r="R15" s="65" t="s">
        <v>315</v>
      </c>
      <c r="S15" s="65" t="s">
        <v>316</v>
      </c>
      <c r="T15" s="65" t="s">
        <v>317</v>
      </c>
      <c r="U15" s="66" t="s">
        <v>22</v>
      </c>
      <c r="V15" s="66" t="s">
        <v>191</v>
      </c>
      <c r="W15" s="68" t="s">
        <v>314</v>
      </c>
      <c r="X15" s="66" t="s">
        <v>189</v>
      </c>
      <c r="Y15" s="66" t="s">
        <v>190</v>
      </c>
      <c r="Z15" s="66" t="s">
        <v>289</v>
      </c>
      <c r="AA15" s="66" t="s">
        <v>192</v>
      </c>
      <c r="AB15" s="68" t="s">
        <v>314</v>
      </c>
      <c r="AC15" s="66" t="s">
        <v>193</v>
      </c>
      <c r="AD15" s="66" t="s">
        <v>194</v>
      </c>
    </row>
    <row r="16" spans="1:30" s="62" customFormat="1" ht="13.5" thickBot="1" x14ac:dyDescent="0.3">
      <c r="A16" s="118" t="str">
        <f>_xlfn.CONCAT(F16," servings")</f>
        <v>15 servings</v>
      </c>
      <c r="B16" s="118"/>
      <c r="C16" s="118"/>
      <c r="D16" s="118"/>
      <c r="E16" s="61" t="s">
        <v>309</v>
      </c>
      <c r="F16" s="74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7" customFormat="1" ht="15.75" thickBot="1" x14ac:dyDescent="0.3">
      <c r="A17" s="116"/>
      <c r="B17" s="116"/>
      <c r="C17" s="116"/>
      <c r="D17" s="116"/>
      <c r="E17" s="61" t="s">
        <v>312</v>
      </c>
      <c r="F17" s="46">
        <f>F16/F15</f>
        <v>1.5</v>
      </c>
      <c r="G17" s="47" t="s">
        <v>310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16" t="s">
        <v>299</v>
      </c>
      <c r="B18" s="116"/>
      <c r="C18" s="116"/>
      <c r="D18" s="116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301</v>
      </c>
      <c r="F19" s="62">
        <f>totSalad</f>
        <v>78</v>
      </c>
      <c r="H19" s="49"/>
      <c r="I19" s="50">
        <v>0.5</v>
      </c>
      <c r="J19" s="51"/>
      <c r="K19" s="51" t="s">
        <v>293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 t="shared" ref="Q19:Q23" si="52">MROUND(IF(AND(J19 = "", L19 = ""), I19 * recipe14DayScale, IF(ISNA(CONVERT(O19, "kg", L19)), CONVERT(P19 * recipe14DayScale, "l", L19), CONVERT(O19 * recipe14DayScale, "kg", L19))), roundTo)</f>
        <v>0.75</v>
      </c>
      <c r="R19" s="43">
        <f t="shared" ref="R19:R23" si="53">recipe14TotScale * IF(L19 = "", Q19 * M19, IF(ISNA(CONVERT(Q19, L19, "kg")), CONVERT(Q19, L19, "l") * IF(N19 &lt;&gt; 0, M19 / N19, 0), CONVERT(Q19, L19, "kg")))</f>
        <v>1.1934</v>
      </c>
      <c r="S19" s="43">
        <f t="shared" ref="S19:S23" si="54">recipe14TotScale * IF(R19 = 0, IF(L19 = "", Q19 * N19, IF(ISNA(CONVERT(Q19, L19, "l")), CONVERT(Q19, L19, "kg") * IF(M19 &lt;&gt; 0, N19 / M19, 0), CONVERT(Q19, L19, "l"))), 0)</f>
        <v>0</v>
      </c>
      <c r="T19" s="43">
        <f t="shared" ref="T19:T23" si="55">recipe14TotScale * IF(AND(R19 = 0, S19 = 0, J19 = "", L19 = ""), Q19, 0)</f>
        <v>0</v>
      </c>
      <c r="V19" s="62" t="b">
        <f t="shared" ref="V19:V26" si="56">INDEX(itemPrepMethods, MATCH(K19, itemNames, 0))="chop"</f>
        <v>1</v>
      </c>
      <c r="W19" s="53">
        <f t="shared" ref="W19:W26" si="57">IF(V19, Q19, "")</f>
        <v>0.75</v>
      </c>
      <c r="X19" s="54" t="str">
        <f t="shared" ref="X19:X26" si="58">IF(V19, IF(L19 = "", "", L19), "")</f>
        <v/>
      </c>
      <c r="Y19" s="54" t="str">
        <f t="shared" ref="Y19:Y26" si="59">IF(V19, K19, "")</f>
        <v>sliced cucumbers</v>
      </c>
      <c r="Z19" s="55"/>
      <c r="AA19" s="62" t="b">
        <f t="shared" ref="AA19:AA26" si="60">INDEX(itemPrepMethods, MATCH(K19, itemNames, 0))="soak"</f>
        <v>0</v>
      </c>
      <c r="AB19" s="54" t="str">
        <f t="shared" ref="AB19:AB26" si="61">IF(AA19, Q19, "")</f>
        <v/>
      </c>
      <c r="AC19" s="54" t="str">
        <f t="shared" ref="AC19:AC26" si="62">IF(AA19, IF(L19 = "", "", L19), "")</f>
        <v/>
      </c>
      <c r="AD19" s="54" t="str">
        <f t="shared" ref="AD19:AD26" si="63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313</v>
      </c>
      <c r="F20" s="46">
        <f>F19/F16</f>
        <v>5.2</v>
      </c>
      <c r="G20" s="47" t="s">
        <v>311</v>
      </c>
      <c r="H20" s="49"/>
      <c r="I20" s="50">
        <v>0.5</v>
      </c>
      <c r="J20" s="51"/>
      <c r="K20" s="51" t="s">
        <v>294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 t="shared" si="52"/>
        <v>1</v>
      </c>
      <c r="R20" s="43">
        <f t="shared" si="53"/>
        <v>0.6531199903379814</v>
      </c>
      <c r="S20" s="43">
        <f t="shared" si="54"/>
        <v>0</v>
      </c>
      <c r="T20" s="43">
        <f t="shared" si="55"/>
        <v>0</v>
      </c>
      <c r="V20" s="62" t="b">
        <f t="shared" si="56"/>
        <v>1</v>
      </c>
      <c r="W20" s="53">
        <f t="shared" si="57"/>
        <v>1</v>
      </c>
      <c r="X20" s="54" t="str">
        <f t="shared" si="58"/>
        <v>cup</v>
      </c>
      <c r="Y20" s="54" t="str">
        <f t="shared" si="59"/>
        <v>grated carrots</v>
      </c>
      <c r="Z20" s="55"/>
      <c r="AA20" s="62" t="b">
        <f t="shared" si="60"/>
        <v>0</v>
      </c>
      <c r="AB20" s="54" t="str">
        <f t="shared" si="61"/>
        <v/>
      </c>
      <c r="AC20" s="54" t="str">
        <f t="shared" si="62"/>
        <v/>
      </c>
      <c r="AD20" s="54" t="str">
        <f t="shared" si="63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160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 t="shared" si="52"/>
        <v>2.25</v>
      </c>
      <c r="R21" s="43">
        <f t="shared" si="53"/>
        <v>1.1700000000000002</v>
      </c>
      <c r="S21" s="43">
        <f t="shared" si="54"/>
        <v>0</v>
      </c>
      <c r="T21" s="43">
        <f t="shared" si="55"/>
        <v>0</v>
      </c>
      <c r="V21" s="62" t="b">
        <f t="shared" si="56"/>
        <v>1</v>
      </c>
      <c r="W21" s="53">
        <f t="shared" si="57"/>
        <v>2.25</v>
      </c>
      <c r="X21" s="54" t="str">
        <f t="shared" si="58"/>
        <v/>
      </c>
      <c r="Y21" s="54" t="str">
        <f t="shared" si="59"/>
        <v>sliced celery stalks</v>
      </c>
      <c r="Z21" s="55"/>
      <c r="AA21" s="62" t="b">
        <f t="shared" si="60"/>
        <v>0</v>
      </c>
      <c r="AB21" s="54" t="str">
        <f t="shared" si="61"/>
        <v/>
      </c>
      <c r="AC21" s="54" t="str">
        <f t="shared" si="62"/>
        <v/>
      </c>
      <c r="AD21" s="54" t="str">
        <f t="shared" si="63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295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 t="shared" si="52"/>
        <v>0.75</v>
      </c>
      <c r="R22" s="43">
        <f t="shared" si="53"/>
        <v>0.77610000000000001</v>
      </c>
      <c r="S22" s="43">
        <f t="shared" si="54"/>
        <v>0</v>
      </c>
      <c r="T22" s="43">
        <f t="shared" si="55"/>
        <v>0</v>
      </c>
      <c r="V22" s="62" t="b">
        <f t="shared" si="56"/>
        <v>1</v>
      </c>
      <c r="W22" s="53">
        <f t="shared" si="57"/>
        <v>0.75</v>
      </c>
      <c r="X22" s="54" t="str">
        <f t="shared" si="58"/>
        <v/>
      </c>
      <c r="Y22" s="54" t="str">
        <f t="shared" si="59"/>
        <v>sliced green capsicums</v>
      </c>
      <c r="Z22" s="55"/>
      <c r="AA22" s="62" t="b">
        <f t="shared" si="60"/>
        <v>0</v>
      </c>
      <c r="AB22" s="54" t="str">
        <f t="shared" si="61"/>
        <v/>
      </c>
      <c r="AC22" s="54" t="str">
        <f t="shared" si="62"/>
        <v/>
      </c>
      <c r="AD22" s="54" t="str">
        <f t="shared" si="63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363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 t="shared" si="52"/>
        <v>1.5</v>
      </c>
      <c r="R23" s="43">
        <f t="shared" si="53"/>
        <v>6.5832000000000006</v>
      </c>
      <c r="S23" s="43">
        <f t="shared" si="54"/>
        <v>0</v>
      </c>
      <c r="T23" s="43">
        <f t="shared" si="55"/>
        <v>0</v>
      </c>
      <c r="V23" s="62" t="b">
        <f t="shared" si="56"/>
        <v>1</v>
      </c>
      <c r="W23" s="53">
        <f t="shared" si="57"/>
        <v>1.5</v>
      </c>
      <c r="X23" s="54" t="str">
        <f t="shared" si="58"/>
        <v/>
      </c>
      <c r="Y23" s="54" t="str">
        <f t="shared" si="59"/>
        <v>coarsely chopped lettuces</v>
      </c>
      <c r="Z23" s="55" t="s">
        <v>400</v>
      </c>
      <c r="AA23" s="62" t="b">
        <f t="shared" si="60"/>
        <v>0</v>
      </c>
      <c r="AB23" s="54" t="str">
        <f t="shared" si="61"/>
        <v/>
      </c>
      <c r="AC23" s="54" t="str">
        <f t="shared" si="62"/>
        <v/>
      </c>
      <c r="AD23" s="54" t="str">
        <f t="shared" si="63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296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402</v>
      </c>
      <c r="V24" s="62" t="b">
        <f t="shared" si="56"/>
        <v>0</v>
      </c>
      <c r="W24" s="53" t="str">
        <f t="shared" si="57"/>
        <v/>
      </c>
      <c r="X24" s="54" t="str">
        <f t="shared" si="58"/>
        <v/>
      </c>
      <c r="Y24" s="54" t="str">
        <f t="shared" si="59"/>
        <v/>
      </c>
      <c r="Z24" s="55"/>
      <c r="AA24" s="62" t="b">
        <f t="shared" si="60"/>
        <v>0</v>
      </c>
      <c r="AB24" s="54" t="str">
        <f t="shared" si="61"/>
        <v/>
      </c>
      <c r="AC24" s="54" t="str">
        <f t="shared" si="62"/>
        <v/>
      </c>
      <c r="AD24" s="54" t="str">
        <f t="shared" si="63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297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217</v>
      </c>
      <c r="V25" s="62" t="b">
        <f t="shared" si="56"/>
        <v>0</v>
      </c>
      <c r="W25" s="53" t="str">
        <f t="shared" si="57"/>
        <v/>
      </c>
      <c r="X25" s="54" t="str">
        <f t="shared" si="58"/>
        <v/>
      </c>
      <c r="Y25" s="54" t="str">
        <f t="shared" si="59"/>
        <v/>
      </c>
      <c r="Z25" s="55"/>
      <c r="AA25" s="62" t="b">
        <f t="shared" si="60"/>
        <v>0</v>
      </c>
      <c r="AB25" s="54" t="str">
        <f t="shared" si="61"/>
        <v/>
      </c>
      <c r="AC25" s="54" t="str">
        <f t="shared" si="62"/>
        <v/>
      </c>
      <c r="AD25" s="54" t="str">
        <f t="shared" si="63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298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6"/>
        <v>0</v>
      </c>
      <c r="W26" s="53" t="str">
        <f t="shared" si="57"/>
        <v/>
      </c>
      <c r="X26" s="54" t="str">
        <f t="shared" si="58"/>
        <v/>
      </c>
      <c r="Y26" s="54" t="str">
        <f t="shared" si="59"/>
        <v/>
      </c>
      <c r="Z26" s="55"/>
      <c r="AA26" s="62" t="b">
        <f t="shared" si="60"/>
        <v>0</v>
      </c>
      <c r="AB26" s="54" t="str">
        <f t="shared" si="61"/>
        <v/>
      </c>
      <c r="AC26" s="54" t="str">
        <f t="shared" si="62"/>
        <v/>
      </c>
      <c r="AD26" s="54" t="str">
        <f t="shared" si="63"/>
        <v/>
      </c>
    </row>
    <row r="27" spans="1:30" s="64" customFormat="1" x14ac:dyDescent="0.25">
      <c r="A27" s="116"/>
      <c r="B27" s="116"/>
      <c r="C27" s="116"/>
      <c r="D27" s="116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16" t="s">
        <v>362</v>
      </c>
      <c r="B28" s="116"/>
      <c r="C28" s="116"/>
      <c r="D28" s="116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291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MROUND(IF(AND(J29 = "", L29 = ""), I29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16"/>
      <c r="B30" s="116"/>
      <c r="C30" s="116"/>
      <c r="D30" s="116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16" t="s">
        <v>361</v>
      </c>
      <c r="B31" s="116"/>
      <c r="C31" s="116"/>
      <c r="D31" s="116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7" t="s">
        <v>172</v>
      </c>
      <c r="B32" s="117"/>
      <c r="C32" s="117"/>
      <c r="D32" s="117"/>
      <c r="E32" s="39" t="s">
        <v>173</v>
      </c>
      <c r="F32" s="85"/>
      <c r="G32" s="85"/>
    </row>
    <row r="33" spans="1:30" ht="24" x14ac:dyDescent="0.2">
      <c r="A33" s="117" t="s">
        <v>345</v>
      </c>
      <c r="B33" s="117"/>
      <c r="C33" s="117"/>
      <c r="D33" s="117"/>
      <c r="E33" s="38" t="s">
        <v>53</v>
      </c>
      <c r="F33" s="74">
        <v>4</v>
      </c>
      <c r="G33" s="43"/>
      <c r="I33" s="65" t="s">
        <v>395</v>
      </c>
      <c r="J33" s="66" t="s">
        <v>396</v>
      </c>
      <c r="K33" s="66" t="s">
        <v>17</v>
      </c>
      <c r="L33" s="67" t="s">
        <v>399</v>
      </c>
      <c r="M33" s="65" t="s">
        <v>132</v>
      </c>
      <c r="N33" s="65" t="s">
        <v>133</v>
      </c>
      <c r="O33" s="65" t="s">
        <v>397</v>
      </c>
      <c r="P33" s="65" t="s">
        <v>398</v>
      </c>
      <c r="Q33" s="66" t="s">
        <v>314</v>
      </c>
      <c r="R33" s="65" t="s">
        <v>315</v>
      </c>
      <c r="S33" s="65" t="s">
        <v>316</v>
      </c>
      <c r="T33" s="65" t="s">
        <v>317</v>
      </c>
      <c r="U33" s="66" t="s">
        <v>22</v>
      </c>
      <c r="V33" s="66" t="s">
        <v>191</v>
      </c>
      <c r="W33" s="68" t="s">
        <v>314</v>
      </c>
      <c r="X33" s="66" t="s">
        <v>189</v>
      </c>
      <c r="Y33" s="66" t="s">
        <v>190</v>
      </c>
      <c r="Z33" s="66" t="s">
        <v>289</v>
      </c>
      <c r="AA33" s="66" t="s">
        <v>192</v>
      </c>
      <c r="AB33" s="68" t="s">
        <v>314</v>
      </c>
      <c r="AC33" s="66" t="s">
        <v>193</v>
      </c>
      <c r="AD33" s="66" t="s">
        <v>194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8" t="s">
        <v>309</v>
      </c>
      <c r="F34" s="74">
        <v>4</v>
      </c>
      <c r="G34" s="43"/>
      <c r="I34" s="43"/>
    </row>
    <row r="35" spans="1:30" s="87" customFormat="1" ht="15.75" thickBot="1" x14ac:dyDescent="0.3">
      <c r="A35" s="116"/>
      <c r="B35" s="116"/>
      <c r="C35" s="116"/>
      <c r="D35" s="116"/>
      <c r="E35" s="38" t="s">
        <v>312</v>
      </c>
      <c r="F35" s="46">
        <f>F34/F33</f>
        <v>1</v>
      </c>
      <c r="G35" s="47" t="s">
        <v>318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16" t="s">
        <v>346</v>
      </c>
      <c r="B36" s="116"/>
      <c r="C36" s="116"/>
      <c r="D36" s="116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4">_xlfn.CONCAT(K37, U37)</f>
        <v>minced fresh ginger</v>
      </c>
      <c r="E37" s="61" t="s">
        <v>301</v>
      </c>
      <c r="F37" s="62">
        <f>totSafeLunch + totSafeDinner</f>
        <v>13</v>
      </c>
      <c r="G37" s="62"/>
      <c r="H37" s="49"/>
      <c r="I37" s="50">
        <v>2</v>
      </c>
      <c r="J37" s="51" t="s">
        <v>15</v>
      </c>
      <c r="K37" s="51" t="s">
        <v>210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MROUND(IF(AND(J37 = "", L37 = ""), I37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9.6113971078124999E-2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4"/>
        <v>finely chopped fresh corriander</v>
      </c>
      <c r="E38" s="61" t="s">
        <v>313</v>
      </c>
      <c r="F38" s="46">
        <f>F37/F34</f>
        <v>3.25</v>
      </c>
      <c r="G38" s="47" t="s">
        <v>319</v>
      </c>
      <c r="H38" s="49"/>
      <c r="I38" s="50">
        <v>1</v>
      </c>
      <c r="J38" s="51" t="s">
        <v>15</v>
      </c>
      <c r="K38" s="51" t="s">
        <v>347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MROUND(IF(AND(J38 = "", L38 = ""), I38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4.8056985539062499E-2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3</v>
      </c>
      <c r="C39" s="35" t="str">
        <f>IF(L39="","",L39)</f>
        <v>cup</v>
      </c>
      <c r="D39" s="60" t="str">
        <f t="shared" si="64"/>
        <v>blocks tofu, cut into cubes</v>
      </c>
      <c r="H39" s="49"/>
      <c r="I39" s="50">
        <v>3</v>
      </c>
      <c r="J39" s="51" t="s">
        <v>16</v>
      </c>
      <c r="K39" s="51" t="s">
        <v>249</v>
      </c>
      <c r="L39" s="52" t="s">
        <v>16</v>
      </c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MROUND(IF(AND(J39 = "", L39 = ""), I39 * recipe13DayScale, IF(ISNA(CONVERT(O39, "kg", L39)), CONVERT(P39 * recipe13DayScale, "l", L39), CONVERT(O39 * recipe13DayScale, "kg", L39))), roundTo)</f>
        <v>3</v>
      </c>
      <c r="R39" s="43">
        <f>recipe13TotScale * IF(L39 = "", Q39 * M39, IF(ISNA(CONVERT(Q39, L39, "kg")), CONVERT(Q39, L39, "l") * IF(N39 &lt;&gt; 0, M39 / N39, 0), CONVERT(Q39, L39, "kg")))</f>
        <v>1.4347893602542499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3</v>
      </c>
      <c r="X39" s="54" t="str">
        <f>IF(V39, IF(L39 = "", "", L39), "")</f>
        <v>cup</v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16"/>
      <c r="B40" s="116"/>
      <c r="C40" s="116"/>
      <c r="D40" s="116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16" t="s">
        <v>108</v>
      </c>
      <c r="B41" s="116"/>
      <c r="C41" s="116"/>
      <c r="D41" s="116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5">Q42</f>
        <v>1</v>
      </c>
      <c r="C42" s="35" t="str">
        <f t="shared" ref="C42:C53" si="66">IF(L42="","",L42)</f>
        <v>cup</v>
      </c>
      <c r="D42" s="60" t="str">
        <f t="shared" ref="D42:D53" si="67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8">INDEX(itemGPerQty, MATCH(K42, itemNames, 0))</f>
        <v>0.14833333333333334</v>
      </c>
      <c r="N42" s="43">
        <f t="shared" ref="N42:N53" si="69">INDEX(itemMlPerQty, MATCH(K42, itemNames, 0))</f>
        <v>0.19999999999999998</v>
      </c>
      <c r="O42" s="43">
        <f t="shared" ref="O42:O53" si="70">IF(J42 = "", I42 * M42, IF(ISNA(CONVERT(I42, J42, "kg")), CONVERT(I42, J42, "l") * IF(N42 &lt;&gt; 0, M42 / N42, 0), CONVERT(I42, J42, "kg")))</f>
        <v>0.17546960873750003</v>
      </c>
      <c r="P42" s="43">
        <f t="shared" ref="P42:P53" si="71">IF(J42 = "", I42 * N42, IF(ISNA(CONVERT(I42, J42, "l")), CONVERT(I42, J42, "kg") * IF(M42 &lt;&gt; 0, N42 / M42, 0), CONVERT(I42, J42, "l")))</f>
        <v>0.23658823649999999</v>
      </c>
      <c r="Q42" s="43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3">
        <f t="shared" ref="R42:R53" si="73">recipe13TotScale * IF(L42 = "", Q42 * M42, IF(ISNA(CONVERT(Q42, L42, "kg")), CONVERT(Q42, L42, "l") * IF(N42 &lt;&gt; 0, M42 / N42, 0), CONVERT(Q42, L42, "kg")))</f>
        <v>0.57027622839687508</v>
      </c>
      <c r="S42" s="43">
        <f t="shared" ref="S42:S53" si="74">recipe13TotScale * IF(R42 = 0, IF(L42 = "", Q42 * N42, IF(ISNA(CONVERT(Q42, L42, "l")), CONVERT(Q42, L42, "kg") * IF(M42 &lt;&gt; 0, N42 / M42, 0), CONVERT(Q42, L42, "l"))), 0)</f>
        <v>0</v>
      </c>
      <c r="T42" s="43">
        <f t="shared" ref="T42:T53" si="75">recipe13TotScale * IF(AND(R42 = 0, S42 = 0, J42 = "", L42 = ""), Q42, 0)</f>
        <v>0</v>
      </c>
      <c r="V42" s="40" t="b">
        <f t="shared" ref="V42:V53" si="76">INDEX(itemPrepMethods, MATCH(K42, itemNames, 0))="chop"</f>
        <v>1</v>
      </c>
      <c r="W42" s="53">
        <f t="shared" ref="W42:W53" si="77">IF(V42, Q42, "")</f>
        <v>1</v>
      </c>
      <c r="X42" s="54" t="str">
        <f t="shared" ref="X42:X53" si="78">IF(V42, IF(L42 = "", "", L42), "")</f>
        <v>cup</v>
      </c>
      <c r="Y42" s="54" t="str">
        <f t="shared" ref="Y42:Y53" si="79">IF(V42, K42, "")</f>
        <v>chopped carrots</v>
      </c>
      <c r="Z42" s="55"/>
      <c r="AA42" s="40" t="b">
        <f t="shared" ref="AA42:AA53" si="80">INDEX(itemPrepMethods, MATCH(K42, itemNames, 0))="soak"</f>
        <v>0</v>
      </c>
      <c r="AB42" s="54" t="str">
        <f t="shared" ref="AB42:AB53" si="81">IF(AA42, Q42, "")</f>
        <v/>
      </c>
      <c r="AC42" s="54" t="str">
        <f t="shared" ref="AC42:AC53" si="82">IF(AA42, IF(L42 = "", "", L42), "")</f>
        <v/>
      </c>
      <c r="AD42" s="54" t="str">
        <f t="shared" ref="AD42:AD53" si="83">IF(AA42, K42, "")</f>
        <v/>
      </c>
    </row>
    <row r="43" spans="1:30" x14ac:dyDescent="0.25">
      <c r="A43" s="36" t="s">
        <v>21</v>
      </c>
      <c r="B43" s="48">
        <f t="shared" si="65"/>
        <v>2</v>
      </c>
      <c r="C43" s="35" t="str">
        <f t="shared" si="66"/>
        <v>cup</v>
      </c>
      <c r="D43" s="60" t="str">
        <f t="shared" si="67"/>
        <v>chopped kumara</v>
      </c>
      <c r="H43" s="49"/>
      <c r="I43" s="50">
        <v>2</v>
      </c>
      <c r="J43" s="51" t="s">
        <v>16</v>
      </c>
      <c r="K43" s="51" t="s">
        <v>142</v>
      </c>
      <c r="L43" s="52" t="s">
        <v>16</v>
      </c>
      <c r="M43" s="43">
        <f t="shared" si="68"/>
        <v>0.30149999999999999</v>
      </c>
      <c r="N43" s="43">
        <f t="shared" si="69"/>
        <v>0.57499999999999996</v>
      </c>
      <c r="O43" s="43">
        <f t="shared" si="70"/>
        <v>0.24810905497304347</v>
      </c>
      <c r="P43" s="43">
        <f t="shared" si="71"/>
        <v>0.47317647299999999</v>
      </c>
      <c r="Q43" s="43">
        <f t="shared" si="72"/>
        <v>2</v>
      </c>
      <c r="R43" s="43">
        <f t="shared" si="73"/>
        <v>0.80635442866239126</v>
      </c>
      <c r="S43" s="43">
        <f t="shared" si="74"/>
        <v>0</v>
      </c>
      <c r="T43" s="43">
        <f t="shared" si="75"/>
        <v>0</v>
      </c>
      <c r="V43" s="40" t="b">
        <f t="shared" si="76"/>
        <v>1</v>
      </c>
      <c r="W43" s="53">
        <f t="shared" si="77"/>
        <v>2</v>
      </c>
      <c r="X43" s="54" t="str">
        <f t="shared" si="78"/>
        <v>cup</v>
      </c>
      <c r="Y43" s="54" t="str">
        <f t="shared" si="79"/>
        <v>chopped kumara</v>
      </c>
      <c r="Z43" s="55"/>
      <c r="AA43" s="40" t="b">
        <f t="shared" si="80"/>
        <v>0</v>
      </c>
      <c r="AB43" s="54" t="str">
        <f t="shared" si="81"/>
        <v/>
      </c>
      <c r="AC43" s="54" t="str">
        <f t="shared" si="82"/>
        <v/>
      </c>
      <c r="AD43" s="54" t="str">
        <f t="shared" si="83"/>
        <v/>
      </c>
    </row>
    <row r="44" spans="1:30" x14ac:dyDescent="0.25">
      <c r="A44" s="36" t="s">
        <v>21</v>
      </c>
      <c r="B44" s="48">
        <f t="shared" si="65"/>
        <v>1.5</v>
      </c>
      <c r="C44" s="35" t="str">
        <f t="shared" si="66"/>
        <v>cup</v>
      </c>
      <c r="D44" s="60" t="str">
        <f t="shared" si="67"/>
        <v>chopped broccoli florets</v>
      </c>
      <c r="H44" s="49"/>
      <c r="I44" s="50">
        <v>1.5</v>
      </c>
      <c r="J44" s="51" t="s">
        <v>16</v>
      </c>
      <c r="K44" s="51" t="s">
        <v>491</v>
      </c>
      <c r="L44" s="52" t="s">
        <v>16</v>
      </c>
      <c r="M44" s="43">
        <f t="shared" si="68"/>
        <v>0.27300000000000002</v>
      </c>
      <c r="N44" s="43">
        <f t="shared" si="69"/>
        <v>1.1000000000000001</v>
      </c>
      <c r="O44" s="43">
        <f t="shared" si="70"/>
        <v>8.8075348042499987E-2</v>
      </c>
      <c r="P44" s="43">
        <f t="shared" si="71"/>
        <v>0.35488235474999996</v>
      </c>
      <c r="Q44" s="43">
        <f t="shared" si="72"/>
        <v>1.5</v>
      </c>
      <c r="R44" s="43">
        <f t="shared" si="73"/>
        <v>0.28624488113812496</v>
      </c>
      <c r="S44" s="43">
        <f t="shared" si="74"/>
        <v>0</v>
      </c>
      <c r="T44" s="43">
        <f t="shared" si="75"/>
        <v>0</v>
      </c>
      <c r="V44" s="40" t="b">
        <f t="shared" si="76"/>
        <v>1</v>
      </c>
      <c r="W44" s="53">
        <f t="shared" si="77"/>
        <v>1.5</v>
      </c>
      <c r="X44" s="54" t="str">
        <f t="shared" si="78"/>
        <v>cup</v>
      </c>
      <c r="Y44" s="54" t="str">
        <f t="shared" si="79"/>
        <v>chopped broccoli florets</v>
      </c>
      <c r="Z44" s="55"/>
      <c r="AA44" s="40" t="b">
        <f t="shared" si="80"/>
        <v>0</v>
      </c>
      <c r="AB44" s="54" t="str">
        <f t="shared" si="81"/>
        <v/>
      </c>
      <c r="AC44" s="54" t="str">
        <f t="shared" si="82"/>
        <v/>
      </c>
      <c r="AD44" s="54" t="str">
        <f t="shared" si="83"/>
        <v/>
      </c>
    </row>
    <row r="45" spans="1:30" x14ac:dyDescent="0.25">
      <c r="A45" s="36" t="s">
        <v>21</v>
      </c>
      <c r="B45" s="48">
        <f t="shared" si="65"/>
        <v>1</v>
      </c>
      <c r="C45" s="35" t="str">
        <f t="shared" si="66"/>
        <v>cup</v>
      </c>
      <c r="D45" s="60" t="str">
        <f t="shared" si="67"/>
        <v>chopped red capsicums</v>
      </c>
      <c r="H45" s="49"/>
      <c r="I45" s="50">
        <v>1</v>
      </c>
      <c r="J45" s="51" t="s">
        <v>16</v>
      </c>
      <c r="K45" s="51" t="s">
        <v>348</v>
      </c>
      <c r="L45" s="52" t="s">
        <v>16</v>
      </c>
      <c r="M45" s="43">
        <f t="shared" si="68"/>
        <v>0.1885</v>
      </c>
      <c r="N45" s="43">
        <f t="shared" si="69"/>
        <v>0.25</v>
      </c>
      <c r="O45" s="43">
        <f t="shared" si="70"/>
        <v>0.17838753032099999</v>
      </c>
      <c r="P45" s="43">
        <f t="shared" si="71"/>
        <v>0.23658823649999999</v>
      </c>
      <c r="Q45" s="43">
        <f t="shared" si="72"/>
        <v>1</v>
      </c>
      <c r="R45" s="43">
        <f t="shared" si="73"/>
        <v>0.57975947354324997</v>
      </c>
      <c r="S45" s="43">
        <f t="shared" si="74"/>
        <v>0</v>
      </c>
      <c r="T45" s="43">
        <f t="shared" si="75"/>
        <v>0</v>
      </c>
      <c r="V45" s="40" t="b">
        <f t="shared" si="76"/>
        <v>1</v>
      </c>
      <c r="W45" s="53">
        <f t="shared" si="77"/>
        <v>1</v>
      </c>
      <c r="X45" s="54" t="str">
        <f t="shared" si="78"/>
        <v>cup</v>
      </c>
      <c r="Y45" s="54" t="str">
        <f t="shared" si="79"/>
        <v>chopped red capsicums</v>
      </c>
      <c r="Z45" s="55"/>
      <c r="AA45" s="40" t="b">
        <f t="shared" si="80"/>
        <v>0</v>
      </c>
      <c r="AB45" s="54" t="str">
        <f t="shared" si="81"/>
        <v/>
      </c>
      <c r="AC45" s="54" t="str">
        <f t="shared" si="82"/>
        <v/>
      </c>
      <c r="AD45" s="54" t="str">
        <f t="shared" si="83"/>
        <v/>
      </c>
    </row>
    <row r="46" spans="1:30" s="64" customFormat="1" x14ac:dyDescent="0.25">
      <c r="A46" s="116"/>
      <c r="B46" s="116"/>
      <c r="C46" s="116"/>
      <c r="D46" s="116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16" t="s">
        <v>350</v>
      </c>
      <c r="B47" s="116"/>
      <c r="C47" s="116"/>
      <c r="D47" s="116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5"/>
        <v>1</v>
      </c>
      <c r="C48" s="35" t="str">
        <f t="shared" si="66"/>
        <v>cup</v>
      </c>
      <c r="D48" s="60" t="str">
        <f t="shared" si="67"/>
        <v>tinned coconut milk</v>
      </c>
      <c r="H48" s="49"/>
      <c r="I48" s="50">
        <v>1</v>
      </c>
      <c r="J48" s="51" t="s">
        <v>16</v>
      </c>
      <c r="K48" s="51" t="s">
        <v>409</v>
      </c>
      <c r="L48" s="52" t="s">
        <v>16</v>
      </c>
      <c r="M48" s="43">
        <f t="shared" si="68"/>
        <v>0</v>
      </c>
      <c r="N48" s="43">
        <f t="shared" si="69"/>
        <v>0</v>
      </c>
      <c r="O48" s="43">
        <f t="shared" si="70"/>
        <v>0</v>
      </c>
      <c r="P48" s="43">
        <f t="shared" si="71"/>
        <v>0.23658823649999999</v>
      </c>
      <c r="Q48" s="43">
        <f t="shared" si="72"/>
        <v>1</v>
      </c>
      <c r="R48" s="43">
        <f t="shared" si="73"/>
        <v>0</v>
      </c>
      <c r="S48" s="43">
        <f t="shared" si="74"/>
        <v>0.76891176862499999</v>
      </c>
      <c r="T48" s="43">
        <f t="shared" si="75"/>
        <v>0</v>
      </c>
      <c r="V48" s="40" t="b">
        <f t="shared" si="76"/>
        <v>0</v>
      </c>
      <c r="W48" s="53" t="str">
        <f t="shared" si="77"/>
        <v/>
      </c>
      <c r="X48" s="54" t="str">
        <f t="shared" si="78"/>
        <v/>
      </c>
      <c r="Y48" s="54" t="str">
        <f t="shared" si="79"/>
        <v/>
      </c>
      <c r="Z48" s="55"/>
      <c r="AA48" s="40" t="b">
        <f t="shared" si="80"/>
        <v>0</v>
      </c>
      <c r="AB48" s="54" t="str">
        <f t="shared" si="81"/>
        <v/>
      </c>
      <c r="AC48" s="54" t="str">
        <f t="shared" si="82"/>
        <v/>
      </c>
      <c r="AD48" s="54" t="str">
        <f t="shared" si="83"/>
        <v/>
      </c>
    </row>
    <row r="49" spans="1:30" s="64" customFormat="1" x14ac:dyDescent="0.25">
      <c r="A49" s="116"/>
      <c r="B49" s="116"/>
      <c r="C49" s="116"/>
      <c r="D49" s="116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16" t="s">
        <v>351</v>
      </c>
      <c r="B50" s="116"/>
      <c r="C50" s="116"/>
      <c r="D50" s="116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4">Q51</f>
        <v>8</v>
      </c>
      <c r="C51" s="35" t="str">
        <f t="shared" ref="C51" si="85">IF(L51="","",L51)</f>
        <v>tbs</v>
      </c>
      <c r="D51" s="63" t="str">
        <f t="shared" ref="D51" si="86">_xlfn.CONCAT(K51, U51)</f>
        <v>gluten free soy sauce</v>
      </c>
      <c r="H51" s="49"/>
      <c r="I51" s="50">
        <v>8</v>
      </c>
      <c r="J51" s="51" t="s">
        <v>15</v>
      </c>
      <c r="K51" s="51" t="s">
        <v>175</v>
      </c>
      <c r="L51" s="52" t="s">
        <v>15</v>
      </c>
      <c r="M51" s="43">
        <f t="shared" ref="M51" si="87">INDEX(itemGPerQty, MATCH(K51, itemNames, 0))</f>
        <v>0</v>
      </c>
      <c r="N51" s="43">
        <f t="shared" ref="N51" si="88">INDEX(itemMlPerQty, MATCH(K51, itemNames, 0))</f>
        <v>0</v>
      </c>
      <c r="O51" s="43">
        <f t="shared" ref="O51" si="89">IF(J51 = "", I51 * M51, IF(ISNA(CONVERT(I51, J51, "kg")), CONVERT(I51, J51, "l") * IF(N51 &lt;&gt; 0, M51 / N51, 0), CONVERT(I51, J51, "kg")))</f>
        <v>0</v>
      </c>
      <c r="P51" s="43">
        <f t="shared" ref="P51" si="90">IF(J51 = "", I51 * N51, IF(ISNA(CONVERT(I51, J51, "l")), CONVERT(I51, J51, "kg") * IF(M51 &lt;&gt; 0, N51 / M51, 0), CONVERT(I51, J51, "l")))</f>
        <v>0.11829411825</v>
      </c>
      <c r="Q51" s="43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3">
        <f t="shared" ref="R51" si="92">recipe13TotScale * IF(L51 = "", Q51 * M51, IF(ISNA(CONVERT(Q51, L51, "kg")), CONVERT(Q51, L51, "l") * IF(N51 &lt;&gt; 0, M51 / N51, 0), CONVERT(Q51, L51, "kg")))</f>
        <v>0</v>
      </c>
      <c r="S51" s="43">
        <f t="shared" ref="S51" si="93">recipe13TotScale * IF(R51 = 0, IF(L51 = "", Q51 * N51, IF(ISNA(CONVERT(Q51, L51, "l")), CONVERT(Q51, L51, "kg") * IF(M51 &lt;&gt; 0, N51 / M51, 0), CONVERT(Q51, L51, "l"))), 0)</f>
        <v>0.3844558843125</v>
      </c>
      <c r="T51" s="43">
        <f t="shared" ref="T51" si="94">recipe13TotScale * IF(AND(R51 = 0, S51 = 0, J51 = "", L51 = ""), Q51, 0)</f>
        <v>0</v>
      </c>
      <c r="V51" s="64" t="b">
        <f t="shared" ref="V51" si="95">INDEX(itemPrepMethods, MATCH(K51, itemNames, 0))="chop"</f>
        <v>0</v>
      </c>
      <c r="W51" s="53" t="str">
        <f t="shared" ref="W51" si="96">IF(V51, Q51, "")</f>
        <v/>
      </c>
      <c r="X51" s="54" t="str">
        <f t="shared" ref="X51" si="97">IF(V51, IF(L51 = "", "", L51), "")</f>
        <v/>
      </c>
      <c r="Y51" s="54" t="str">
        <f t="shared" ref="Y51" si="98">IF(V51, K51, "")</f>
        <v/>
      </c>
      <c r="Z51" s="55"/>
      <c r="AA51" s="64" t="b">
        <f t="shared" ref="AA51" si="99">INDEX(itemPrepMethods, MATCH(K51, itemNames, 0))="soak"</f>
        <v>0</v>
      </c>
      <c r="AB51" s="54" t="str">
        <f t="shared" ref="AB51" si="100">IF(AA51, Q51, "")</f>
        <v/>
      </c>
      <c r="AC51" s="54" t="str">
        <f t="shared" ref="AC51" si="101">IF(AA51, IF(L51 = "", "", L51), "")</f>
        <v/>
      </c>
      <c r="AD51" s="54" t="str">
        <f t="shared" ref="AD51" si="102">IF(AA51, K51, "")</f>
        <v/>
      </c>
    </row>
    <row r="52" spans="1:30" s="64" customFormat="1" x14ac:dyDescent="0.25">
      <c r="A52" s="63" t="s">
        <v>21</v>
      </c>
      <c r="B52" s="48">
        <f t="shared" ref="B52" si="103">Q52</f>
        <v>1</v>
      </c>
      <c r="C52" s="35" t="str">
        <f t="shared" ref="C52" si="104">IF(L52="","",L52)</f>
        <v>cup</v>
      </c>
      <c r="D52" s="63" t="str">
        <f t="shared" ref="D52" si="105">_xlfn.CONCAT(K52, U52)</f>
        <v>finely chopped spinach</v>
      </c>
      <c r="H52" s="49"/>
      <c r="I52" s="50">
        <v>1</v>
      </c>
      <c r="J52" s="51" t="s">
        <v>16</v>
      </c>
      <c r="K52" s="51" t="s">
        <v>353</v>
      </c>
      <c r="L52" s="52" t="s">
        <v>16</v>
      </c>
      <c r="M52" s="43">
        <f t="shared" ref="M52" si="106">INDEX(itemGPerQty, MATCH(K52, itemNames, 0))</f>
        <v>0</v>
      </c>
      <c r="N52" s="43">
        <f t="shared" ref="N52" si="107">INDEX(itemMlPerQty, MATCH(K52, itemNames, 0))</f>
        <v>0</v>
      </c>
      <c r="O52" s="43">
        <f t="shared" ref="O52" si="108">IF(J52 = "", I52 * M52, IF(ISNA(CONVERT(I52, J52, "kg")), CONVERT(I52, J52, "l") * IF(N52 &lt;&gt; 0, M52 / N52, 0), CONVERT(I52, J52, "kg")))</f>
        <v>0</v>
      </c>
      <c r="P52" s="43">
        <f t="shared" ref="P52" si="109">IF(J52 = "", I52 * N52, IF(ISNA(CONVERT(I52, J52, "l")), CONVERT(I52, J52, "kg") * IF(M52 &lt;&gt; 0, N52 / M52, 0), CONVERT(I52, J52, "l")))</f>
        <v>0.23658823649999999</v>
      </c>
      <c r="Q52" s="43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3">
        <f t="shared" ref="R52" si="111">recipe13TotScale * IF(L52 = "", Q52 * M52, IF(ISNA(CONVERT(Q52, L52, "kg")), CONVERT(Q52, L52, "l") * IF(N52 &lt;&gt; 0, M52 / N52, 0), CONVERT(Q52, L52, "kg")))</f>
        <v>0</v>
      </c>
      <c r="S52" s="43">
        <f t="shared" ref="S52" si="112">recipe13TotScale * IF(R52 = 0, IF(L52 = "", Q52 * N52, IF(ISNA(CONVERT(Q52, L52, "l")), CONVERT(Q52, L52, "kg") * IF(M52 &lt;&gt; 0, N52 / M52, 0), CONVERT(Q52, L52, "l"))), 0)</f>
        <v>0.76891176862499999</v>
      </c>
      <c r="T52" s="43">
        <f t="shared" ref="T52" si="113">recipe13TotScale * IF(AND(R52 = 0, S52 = 0, J52 = "", L52 = ""), Q52, 0)</f>
        <v>0</v>
      </c>
      <c r="V52" s="64" t="b">
        <f t="shared" ref="V52" si="114">INDEX(itemPrepMethods, MATCH(K52, itemNames, 0))="chop"</f>
        <v>1</v>
      </c>
      <c r="W52" s="53">
        <f t="shared" ref="W52" si="115">IF(V52, Q52, "")</f>
        <v>1</v>
      </c>
      <c r="X52" s="54" t="str">
        <f t="shared" ref="X52" si="116">IF(V52, IF(L52 = "", "", L52), "")</f>
        <v>cup</v>
      </c>
      <c r="Y52" s="54" t="str">
        <f t="shared" ref="Y52" si="117">IF(V52, K52, "")</f>
        <v>finely chopped spinach</v>
      </c>
      <c r="Z52" s="55"/>
      <c r="AA52" s="64" t="b">
        <f t="shared" ref="AA52" si="118">INDEX(itemPrepMethods, MATCH(K52, itemNames, 0))="soak"</f>
        <v>0</v>
      </c>
      <c r="AB52" s="54" t="str">
        <f t="shared" ref="AB52" si="119">IF(AA52, Q52, "")</f>
        <v/>
      </c>
      <c r="AC52" s="54" t="str">
        <f t="shared" ref="AC52" si="120">IF(AA52, IF(L52 = "", "", L52), "")</f>
        <v/>
      </c>
      <c r="AD52" s="54" t="str">
        <f t="shared" ref="AD52" si="121">IF(AA52, K52, "")</f>
        <v/>
      </c>
    </row>
    <row r="53" spans="1:30" x14ac:dyDescent="0.25">
      <c r="A53" s="36" t="s">
        <v>21</v>
      </c>
      <c r="B53" s="48">
        <f t="shared" si="65"/>
        <v>2</v>
      </c>
      <c r="C53" s="35" t="str">
        <f t="shared" si="66"/>
        <v>tsp</v>
      </c>
      <c r="D53" s="60" t="str">
        <f t="shared" si="67"/>
        <v>ground corriander</v>
      </c>
      <c r="H53" s="49"/>
      <c r="I53" s="50">
        <v>2</v>
      </c>
      <c r="J53" s="51" t="s">
        <v>13</v>
      </c>
      <c r="K53" s="51" t="s">
        <v>140</v>
      </c>
      <c r="L53" s="52" t="s">
        <v>13</v>
      </c>
      <c r="M53" s="43">
        <f t="shared" si="68"/>
        <v>1.0999999999999999E-2</v>
      </c>
      <c r="N53" s="43">
        <f t="shared" si="69"/>
        <v>2.2180100000000001E-2</v>
      </c>
      <c r="O53" s="43">
        <f t="shared" si="70"/>
        <v>4.8888992864098892E-3</v>
      </c>
      <c r="P53" s="43">
        <f t="shared" si="71"/>
        <v>9.8578431874999997E-3</v>
      </c>
      <c r="Q53" s="43">
        <f t="shared" si="72"/>
        <v>2</v>
      </c>
      <c r="R53" s="43">
        <f t="shared" si="73"/>
        <v>1.588892268083214E-2</v>
      </c>
      <c r="S53" s="43">
        <f t="shared" si="74"/>
        <v>0</v>
      </c>
      <c r="T53" s="43">
        <f t="shared" si="75"/>
        <v>0</v>
      </c>
      <c r="V53" s="40" t="b">
        <f t="shared" si="76"/>
        <v>0</v>
      </c>
      <c r="W53" s="53" t="str">
        <f t="shared" si="77"/>
        <v/>
      </c>
      <c r="X53" s="54" t="str">
        <f t="shared" si="78"/>
        <v/>
      </c>
      <c r="Y53" s="54" t="str">
        <f t="shared" si="79"/>
        <v/>
      </c>
      <c r="Z53" s="55"/>
      <c r="AA53" s="40" t="b">
        <f t="shared" si="80"/>
        <v>0</v>
      </c>
      <c r="AB53" s="54" t="str">
        <f t="shared" si="81"/>
        <v/>
      </c>
      <c r="AC53" s="54" t="str">
        <f t="shared" si="82"/>
        <v/>
      </c>
      <c r="AD53" s="54" t="str">
        <f t="shared" si="83"/>
        <v/>
      </c>
    </row>
    <row r="54" spans="1:30" ht="15.75" x14ac:dyDescent="0.25">
      <c r="A54" s="117" t="s">
        <v>23</v>
      </c>
      <c r="B54" s="117"/>
      <c r="C54" s="117"/>
      <c r="D54" s="117"/>
      <c r="E54" s="38" t="s">
        <v>116</v>
      </c>
      <c r="F54" s="85" t="s">
        <v>82</v>
      </c>
      <c r="G54" s="85"/>
    </row>
    <row r="55" spans="1:30" ht="24" x14ac:dyDescent="0.2">
      <c r="A55" s="119" t="s">
        <v>20</v>
      </c>
      <c r="B55" s="119"/>
      <c r="C55" s="119"/>
      <c r="D55" s="119"/>
      <c r="E55" s="38" t="s">
        <v>53</v>
      </c>
      <c r="F55" s="74">
        <v>11</v>
      </c>
      <c r="G55" s="43"/>
      <c r="H55" s="43"/>
      <c r="I55" s="65" t="s">
        <v>395</v>
      </c>
      <c r="J55" s="66" t="s">
        <v>396</v>
      </c>
      <c r="K55" s="66" t="s">
        <v>17</v>
      </c>
      <c r="L55" s="67" t="s">
        <v>399</v>
      </c>
      <c r="M55" s="65" t="s">
        <v>132</v>
      </c>
      <c r="N55" s="65" t="s">
        <v>133</v>
      </c>
      <c r="O55" s="65" t="s">
        <v>397</v>
      </c>
      <c r="P55" s="65" t="s">
        <v>398</v>
      </c>
      <c r="Q55" s="66" t="s">
        <v>314</v>
      </c>
      <c r="R55" s="65" t="s">
        <v>315</v>
      </c>
      <c r="S55" s="65" t="s">
        <v>316</v>
      </c>
      <c r="T55" s="65" t="s">
        <v>317</v>
      </c>
      <c r="U55" s="66" t="s">
        <v>22</v>
      </c>
      <c r="V55" s="66" t="s">
        <v>191</v>
      </c>
      <c r="W55" s="68" t="s">
        <v>314</v>
      </c>
      <c r="X55" s="66" t="s">
        <v>189</v>
      </c>
      <c r="Y55" s="66" t="s">
        <v>190</v>
      </c>
      <c r="Z55" s="66" t="s">
        <v>289</v>
      </c>
      <c r="AA55" s="66" t="s">
        <v>192</v>
      </c>
      <c r="AB55" s="68" t="s">
        <v>314</v>
      </c>
      <c r="AC55" s="66" t="s">
        <v>193</v>
      </c>
      <c r="AD55" s="66" t="s">
        <v>194</v>
      </c>
    </row>
    <row r="56" spans="1:30" ht="13.5" thickBot="1" x14ac:dyDescent="0.3">
      <c r="A56" s="118" t="str">
        <f>_xlfn.CONCAT(F56," servings")</f>
        <v>13 servings</v>
      </c>
      <c r="B56" s="118"/>
      <c r="C56" s="118"/>
      <c r="D56" s="118"/>
      <c r="E56" s="61" t="s">
        <v>309</v>
      </c>
      <c r="F56" s="74">
        <f>wkndRegLunch</f>
        <v>13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7" customFormat="1" ht="15.75" thickBot="1" x14ac:dyDescent="0.3">
      <c r="A57" s="116"/>
      <c r="B57" s="116"/>
      <c r="C57" s="116"/>
      <c r="D57" s="116"/>
      <c r="E57" s="61" t="s">
        <v>312</v>
      </c>
      <c r="F57" s="46">
        <f>F56/F55</f>
        <v>1.1818181818181819</v>
      </c>
      <c r="G57" s="47" t="s">
        <v>320</v>
      </c>
      <c r="H57" s="43"/>
      <c r="I57" s="58"/>
      <c r="J57" s="85"/>
      <c r="K57" s="85"/>
      <c r="L57" s="59"/>
      <c r="M57" s="58"/>
      <c r="N57" s="58"/>
      <c r="O57" s="58"/>
      <c r="P57" s="58"/>
      <c r="Q57" s="85"/>
      <c r="R57" s="58"/>
      <c r="S57" s="58"/>
      <c r="T57" s="58"/>
      <c r="U57" s="85"/>
      <c r="W57" s="44"/>
      <c r="Z57" s="45"/>
    </row>
    <row r="58" spans="1:30" x14ac:dyDescent="0.25">
      <c r="A58" s="116" t="s">
        <v>355</v>
      </c>
      <c r="B58" s="116"/>
      <c r="C58" s="116"/>
      <c r="D58" s="116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2.25</v>
      </c>
      <c r="C59" s="35" t="str">
        <f>IF(L59="","",L59)</f>
        <v>kg</v>
      </c>
      <c r="D59" s="36" t="str">
        <f>_xlfn.CONCAT(K59, U59)</f>
        <v>chopped potatoes</v>
      </c>
      <c r="E59" s="61" t="s">
        <v>301</v>
      </c>
      <c r="F59" s="62">
        <f>wkndRegLunch</f>
        <v>13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12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22">IF(J59 = "", I59 * M59, IF(ISNA(CONVERT(I59, J59, "kg")), CONVERT(I59, J59, "l") * IF(N59 &lt;&gt; 0, M59 / N59, 0), CONVERT(I59, J59, "kg")))</f>
        <v>2</v>
      </c>
      <c r="P59" s="43">
        <f t="shared" ref="P59:P60" si="123">IF(J59 = "", I59 * N59, IF(ISNA(CONVERT(I59, J59, "l")), CONVERT(I59, J59, "kg") * IF(M59 &lt;&gt; 0, N59 / M59, 0), CONVERT(I59, J59, "l")))</f>
        <v>3</v>
      </c>
      <c r="Q59" s="43">
        <f>MROUND(IF(AND(J59 = "", L59 = ""), I59 * recipe01DayScale, IF(ISNA(CONVERT(O59, "kg", L59)), CONVERT(P59 * recipe01DayScale, "l", L59), CONVERT(O59 * recipe01DayScale, "kg", L59))), roundTo)</f>
        <v>2.25</v>
      </c>
      <c r="R59" s="43">
        <f>recipe01TotScale * IF(L59 = "", Q59 * M59, IF(ISNA(CONVERT(Q59, L59, "kg")), CONVERT(Q59, L59, "l") * IF(N59 &lt;&gt; 0, M59 / N59, 0), CONVERT(Q59, L59, "kg")))</f>
        <v>2.25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2.25</v>
      </c>
      <c r="X59" s="54" t="str">
        <f>IF(V59, IF(L59 = "", "", L59), "")</f>
        <v>kg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4.75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313</v>
      </c>
      <c r="F60" s="46">
        <f>F59/F56</f>
        <v>1</v>
      </c>
      <c r="G60" s="47" t="s">
        <v>321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22"/>
        <v>0.84699995166919739</v>
      </c>
      <c r="P60" s="43">
        <f t="shared" si="123"/>
        <v>0.94635294599999997</v>
      </c>
      <c r="Q60" s="43">
        <f>MROUND(IF(AND(J60 = "", L60 = ""), I60 * recipe01DayScale, IF(ISNA(CONVERT(O60, "kg", L60)), CONVERT(P60 * recipe01DayScale, "l", L60), CONVERT(O60 * recipe01DayScale, "kg", L60))), roundTo)</f>
        <v>4.75</v>
      </c>
      <c r="R60" s="43">
        <f>recipe01TotScale * IF(L60 = "", Q60 * M60, IF(ISNA(CONVERT(Q60, L60, "kg")), CONVERT(Q60, L60, "l") * IF(N60 &lt;&gt; 0, M60 / N60, 0), CONVERT(Q60, L60, "kg")))</f>
        <v>1.005812442607172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223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4.75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16"/>
      <c r="B61" s="116"/>
      <c r="C61" s="116"/>
      <c r="D61" s="116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16" t="s">
        <v>19</v>
      </c>
      <c r="B62" s="116"/>
      <c r="C62" s="116"/>
      <c r="D62" s="116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8.25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4">IF(J63 = "", I63 * M63, IF(ISNA(CONVERT(I63, J63, "kg")), CONVERT(I63, J63, "l") * IF(N63 &lt;&gt; 0, M63 / N63, 0), CONVERT(I63, J63, "kg")))</f>
        <v>0</v>
      </c>
      <c r="P63" s="43">
        <f t="shared" ref="P63" si="125">IF(J63 = "", I63 * N63, IF(ISNA(CONVERT(I63, J63, "l")), CONVERT(I63, J63, "kg") * IF(M63 &lt;&gt; 0, N63 / M63, 0), CONVERT(I63, J63, "l")))</f>
        <v>0</v>
      </c>
      <c r="Q63" s="43">
        <f>MROUND(IF(AND(J63 = "", L63 = ""), I63 * recipe01DayScale, IF(ISNA(CONVERT(O63, "kg", L63)), CONVERT(P63 * recipe01DayScale, "l", L63), CONVERT(O63 * recipe01DayScale, "kg", L63))), roundTo)</f>
        <v>8.25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8.25</v>
      </c>
      <c r="U63" s="40" t="s">
        <v>222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2.75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MROUND(IF(AND(J64 = "", L64 = ""), I64 * recipe01DayScale, IF(ISNA(CONVERT(O64, "kg", L64)), CONVERT(P64 * recipe01DayScale, "l", L64), CONVERT(O64 * recipe01DayScale, "kg", L64))), roundTo)</f>
        <v>2.75</v>
      </c>
      <c r="R64" s="43">
        <f>recipe01TotScale * IF(L64 = "", Q64 * M64, IF(ISNA(CONVERT(Q64, L64, "kg")), CONVERT(Q64, L64, "l") * IF(N64 &lt;&gt; 0, M64 / N64, 0), CONVERT(Q64, L64, "kg")))</f>
        <v>0.50875000000000004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2.75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16"/>
      <c r="B65" s="116"/>
      <c r="C65" s="116"/>
      <c r="D65" s="116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16" t="s">
        <v>198</v>
      </c>
      <c r="B66" s="116"/>
      <c r="C66" s="116"/>
      <c r="D66" s="116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6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6">IF(J67 = "", I67 * M67, IF(ISNA(CONVERT(I67, J67, "kg")), CONVERT(I67, J67, "l") * IF(N67 &lt;&gt; 0, M67 / N67, 0), CONVERT(I67, J67, "kg")))</f>
        <v>4.0000085070626371E-2</v>
      </c>
      <c r="P67" s="43">
        <f t="shared" ref="P67:P71" si="127">IF(J67 = "", I67 * N67, IF(ISNA(CONVERT(I67, J67, "l")), CONVERT(I67, J67, "kg") * IF(M67 &lt;&gt; 0, N67 / M67, 0), CONVERT(I67, J67, "l")))</f>
        <v>7.3933823906250001E-2</v>
      </c>
      <c r="Q67" s="43">
        <f>MROUND(IF(AND(J67 = "", L67 = ""), I67 * recipe01DayScale, IF(ISNA(CONVERT(O67, "kg", L67)), CONVERT(P67 * recipe01DayScale, "l", L67), CONVERT(O67 * recipe01DayScale, "kg", L67))), roundTo)</f>
        <v>6</v>
      </c>
      <c r="R67" s="43">
        <f>recipe01TotScale * IF(L67 = "", Q67 * M67, IF(ISNA(CONVERT(Q67, L67, "kg")), CONVERT(Q67, L67, "l") * IF(N67 &lt;&gt; 0, M67 / N67, 0), CONVERT(Q67, L67, "kg")))</f>
        <v>4.8000102084751646E-2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4.75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6"/>
        <v>2.6666723380417583E-2</v>
      </c>
      <c r="P68" s="43">
        <f t="shared" si="127"/>
        <v>5.9147059124999998E-2</v>
      </c>
      <c r="Q68" s="43">
        <f>MROUND(IF(AND(J68 = "", L68 = ""), I68 * recipe01DayScale, IF(ISNA(CONVERT(O68, "kg", L68)), CONVERT(P68 * recipe01DayScale, "l", L68), CONVERT(O68 * recipe01DayScale, "kg", L68))), roundTo)</f>
        <v>4.75</v>
      </c>
      <c r="R68" s="43">
        <f>recipe01TotScale * IF(L68 = "", Q68 * M68, IF(ISNA(CONVERT(Q68, L68, "kg")), CONVERT(Q68, L68, "l") * IF(N68 &lt;&gt; 0, M68 / N68, 0), CONVERT(Q68, L68, "kg")))</f>
        <v>3.1666734014245877E-2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292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6"/>
        <v>9.3333531831461536E-3</v>
      </c>
      <c r="P69" s="43">
        <f t="shared" si="127"/>
        <v>1.478676478125E-2</v>
      </c>
      <c r="Q69" s="43">
        <f>MROUND(IF(AND(J69 = "", L69 = ""), I69 * recipe01DayScale, IF(ISNA(CONVERT(O69, "kg", L69)), CONVERT(P69 * recipe01DayScale, "l", L69), CONVERT(O69 * recipe01DayScale, "kg", L69))), roundTo)</f>
        <v>3.5</v>
      </c>
      <c r="R69" s="43">
        <f>recipe01TotScale * IF(L69 = "", Q69 * M69, IF(ISNA(CONVERT(Q69, L69, "kg")), CONVERT(Q69, L69, "l") * IF(N69 &lt;&gt; 0, M69 / N69, 0), CONVERT(Q69, L69, "kg")))</f>
        <v>1.0888912047003848E-2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6"/>
        <v>7.3333489296148338E-3</v>
      </c>
      <c r="P70" s="43">
        <f t="shared" si="127"/>
        <v>1.478676478125E-2</v>
      </c>
      <c r="Q70" s="43">
        <f>MROUND(IF(AND(J70 = "", L70 = ""), I70 * recipe01DayScale, IF(ISNA(CONVERT(O70, "kg", L70)), CONVERT(P70 * recipe01DayScale, "l", L70), CONVERT(O70 * recipe01DayScale, "kg", L70))), roundTo)</f>
        <v>3.5</v>
      </c>
      <c r="R70" s="43">
        <f>recipe01TotScale * IF(L70 = "", Q70 * M70, IF(ISNA(CONVERT(Q70, L70, "kg")), CONVERT(Q70, L70, "l") * IF(N70 &lt;&gt; 0, M70 / N70, 0), CONVERT(Q70, L70, "kg")))</f>
        <v>8.5555737512173075E-3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6"/>
        <v>1.111113474184066E-2</v>
      </c>
      <c r="P71" s="43">
        <f t="shared" si="127"/>
        <v>9.8578431874999997E-3</v>
      </c>
      <c r="Q71" s="43">
        <f>MROUND(IF(AND(J71 = "", L71 = ""), I71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16" t="s">
        <v>219</v>
      </c>
      <c r="B73" s="116"/>
      <c r="C73" s="116"/>
      <c r="D73" s="116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220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221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199</v>
      </c>
    </row>
    <row r="77" spans="1:30" ht="15.75" x14ac:dyDescent="0.25">
      <c r="A77" s="117" t="s">
        <v>24</v>
      </c>
      <c r="B77" s="117"/>
      <c r="C77" s="117"/>
      <c r="D77" s="117"/>
      <c r="E77" s="56" t="s">
        <v>117</v>
      </c>
      <c r="F77" s="85" t="s">
        <v>83</v>
      </c>
      <c r="G77" s="85"/>
    </row>
    <row r="78" spans="1:30" ht="24" x14ac:dyDescent="0.2">
      <c r="A78" s="117" t="s">
        <v>25</v>
      </c>
      <c r="B78" s="117"/>
      <c r="C78" s="117"/>
      <c r="D78" s="117"/>
      <c r="E78" s="38" t="s">
        <v>53</v>
      </c>
      <c r="F78" s="74">
        <v>11</v>
      </c>
      <c r="I78" s="65" t="s">
        <v>395</v>
      </c>
      <c r="J78" s="66" t="s">
        <v>396</v>
      </c>
      <c r="K78" s="66" t="s">
        <v>17</v>
      </c>
      <c r="L78" s="67" t="s">
        <v>399</v>
      </c>
      <c r="M78" s="65" t="s">
        <v>132</v>
      </c>
      <c r="N78" s="65" t="s">
        <v>133</v>
      </c>
      <c r="O78" s="65" t="s">
        <v>397</v>
      </c>
      <c r="P78" s="65" t="s">
        <v>398</v>
      </c>
      <c r="Q78" s="66" t="s">
        <v>314</v>
      </c>
      <c r="R78" s="65" t="s">
        <v>315</v>
      </c>
      <c r="S78" s="65" t="s">
        <v>316</v>
      </c>
      <c r="T78" s="65" t="s">
        <v>317</v>
      </c>
      <c r="U78" s="66" t="s">
        <v>22</v>
      </c>
      <c r="V78" s="66" t="s">
        <v>191</v>
      </c>
      <c r="W78" s="68" t="s">
        <v>314</v>
      </c>
      <c r="X78" s="66" t="s">
        <v>189</v>
      </c>
      <c r="Y78" s="66" t="s">
        <v>190</v>
      </c>
      <c r="Z78" s="66" t="s">
        <v>289</v>
      </c>
      <c r="AA78" s="66" t="s">
        <v>192</v>
      </c>
      <c r="AB78" s="68" t="s">
        <v>314</v>
      </c>
      <c r="AC78" s="66" t="s">
        <v>193</v>
      </c>
      <c r="AD78" s="66" t="s">
        <v>194</v>
      </c>
    </row>
    <row r="79" spans="1:30" ht="13.5" thickBot="1" x14ac:dyDescent="0.3">
      <c r="A79" s="118" t="str">
        <f>_xlfn.CONCAT(F79," servings")</f>
        <v>13 servings</v>
      </c>
      <c r="B79" s="118"/>
      <c r="C79" s="118"/>
      <c r="D79" s="118"/>
      <c r="E79" s="61" t="s">
        <v>309</v>
      </c>
      <c r="F79" s="74">
        <f>wkndRegDinner</f>
        <v>13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7" customFormat="1" ht="15.75" thickBot="1" x14ac:dyDescent="0.3">
      <c r="A80" s="116"/>
      <c r="B80" s="116"/>
      <c r="C80" s="116"/>
      <c r="D80" s="116"/>
      <c r="E80" s="61" t="s">
        <v>312</v>
      </c>
      <c r="F80" s="46">
        <f>F79/F78</f>
        <v>1.1818181818181819</v>
      </c>
      <c r="G80" s="47" t="s">
        <v>322</v>
      </c>
      <c r="I80" s="58"/>
      <c r="J80" s="85"/>
      <c r="K80" s="85"/>
      <c r="L80" s="59"/>
      <c r="M80" s="58"/>
      <c r="N80" s="58"/>
      <c r="O80" s="58"/>
      <c r="P80" s="58"/>
      <c r="Q80" s="85"/>
      <c r="R80" s="58"/>
      <c r="S80" s="58"/>
      <c r="T80" s="58"/>
      <c r="U80" s="85"/>
      <c r="W80" s="44"/>
      <c r="Z80" s="45"/>
    </row>
    <row r="81" spans="1:30" x14ac:dyDescent="0.25">
      <c r="A81" s="116" t="s">
        <v>18</v>
      </c>
      <c r="B81" s="116"/>
      <c r="C81" s="116"/>
      <c r="D81" s="116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301</v>
      </c>
      <c r="F82" s="62">
        <f>wkndRegDinner</f>
        <v>13</v>
      </c>
      <c r="G82" s="62"/>
      <c r="H82" s="49"/>
      <c r="I82" s="50">
        <v>1.75</v>
      </c>
      <c r="J82" s="51" t="s">
        <v>16</v>
      </c>
      <c r="K82" s="51" t="s">
        <v>85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MROUND(IF(AND(J82 = "", L82 = ""), I82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223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16"/>
      <c r="B83" s="116"/>
      <c r="C83" s="116"/>
      <c r="D83" s="116"/>
      <c r="E83" s="61" t="s">
        <v>313</v>
      </c>
      <c r="F83" s="46">
        <f>F82/F79</f>
        <v>1</v>
      </c>
      <c r="G83" s="47" t="s">
        <v>323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16" t="s">
        <v>200</v>
      </c>
      <c r="B84" s="116"/>
      <c r="C84" s="116"/>
      <c r="D84" s="116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8">Q85</f>
        <v>3.5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89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9">IF(J85 = "", I85 * M85, IF(ISNA(CONVERT(I85, J85, "kg")), CONVERT(I85, J85, "l") * IF(N85 &lt;&gt; 0, M85 / N85, 0), CONVERT(I85, J85, "kg")))</f>
        <v>0.16400000000000001</v>
      </c>
      <c r="P85" s="43">
        <f t="shared" ref="P85:P87" si="130">IF(J85 = "", I85 * N85, IF(ISNA(CONVERT(I85, J85, "l")), CONVERT(I85, J85, "kg") * IF(M85 &lt;&gt; 0, N85 / M85, 0), CONVERT(I85, J85, "l")))</f>
        <v>0.33</v>
      </c>
      <c r="Q85" s="43">
        <f>MROUND(IF(AND(J85 = "", L85 = ""), I85 * recipe02DayScale, IF(ISNA(CONVERT(O85, "kg", L85)), CONVERT(P85 * recipe02DayScale, "l", L85), CONVERT(O85 * recipe02DayScale, "kg", L85))), roundTo)</f>
        <v>3.5</v>
      </c>
      <c r="R85" s="43">
        <f>recipe02TotScale * IF(L85 = "", Q85 * M85, IF(ISNA(CONVERT(Q85, L85, "kg")), CONVERT(Q85, L85, "l") * IF(N85 &lt;&gt; 0, M85 / N85, 0), CONVERT(Q85, L85, "kg")))</f>
        <v>0.19133333333333336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8"/>
        <v>8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88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9"/>
        <v>1.012</v>
      </c>
      <c r="P86" s="43">
        <f t="shared" si="130"/>
        <v>1.6</v>
      </c>
      <c r="Q86" s="43">
        <f>MROUND(IF(AND(J86 = "", L86 = ""), I86 * recipe02DayScale, IF(ISNA(CONVERT(O86, "kg", L86)), CONVERT(P86 * recipe02DayScale, "l", L86), CONVERT(O86 * recipe02DayScale, "kg", L86))), roundTo)</f>
        <v>8</v>
      </c>
      <c r="R86" s="43">
        <f>recipe02TotScale * IF(L86 = "", Q86 * M86, IF(ISNA(CONVERT(Q86, L86, "kg")), CONVERT(Q86, L86, "l") * IF(N86 &lt;&gt; 0, M86 / N86, 0), CONVERT(Q86, L86, "kg")))</f>
        <v>1.1971364766899999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8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8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9"/>
        <v>1.111113474184066E-2</v>
      </c>
      <c r="P87" s="43">
        <f t="shared" si="130"/>
        <v>9.8578431874999997E-3</v>
      </c>
      <c r="Q87" s="43">
        <f>MROUND(IF(AND(J87 = "", L87 = ""), I87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16"/>
      <c r="B88" s="116"/>
      <c r="C88" s="116"/>
      <c r="D88" s="116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16" t="s">
        <v>201</v>
      </c>
      <c r="B89" s="116"/>
      <c r="C89" s="116"/>
      <c r="D89" s="116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31">Q90</f>
        <v>3.5</v>
      </c>
      <c r="C90" s="35" t="str">
        <f t="shared" ref="C90:C95" si="132">IF(L90="","",L90)</f>
        <v>tsp</v>
      </c>
      <c r="D90" s="36" t="str">
        <f t="shared" ref="D90:D95" si="133">_xlfn.CONCAT(K90, U90)</f>
        <v>paprika</v>
      </c>
      <c r="I90" s="50">
        <v>3</v>
      </c>
      <c r="J90" s="51" t="s">
        <v>13</v>
      </c>
      <c r="K90" s="51" t="s">
        <v>91</v>
      </c>
      <c r="L90" s="52" t="s">
        <v>13</v>
      </c>
      <c r="M90" s="43">
        <f t="shared" ref="M90:M95" si="134">INDEX(itemGPerQty, MATCH(K90, itemNames, 0))</f>
        <v>1.2E-2</v>
      </c>
      <c r="N90" s="43">
        <f t="shared" ref="N90:N95" si="135">INDEX(itemMlPerQty, MATCH(K90, itemNames, 0))</f>
        <v>2.2180100000000001E-2</v>
      </c>
      <c r="O90" s="43">
        <f t="shared" ref="O90:O95" si="136">IF(J90 = "", I90 * M90, IF(ISNA(CONVERT(I90, J90, "kg")), CONVERT(I90, J90, "l") * IF(N90 &lt;&gt; 0, M90 / N90, 0), CONVERT(I90, J90, "kg")))</f>
        <v>8.0000170141252738E-3</v>
      </c>
      <c r="P90" s="43">
        <f t="shared" ref="P90:P95" si="137">IF(J90 = "", I90 * N90, IF(ISNA(CONVERT(I90, J90, "l")), CONVERT(I90, J90, "kg") * IF(M90 &lt;&gt; 0, N90 / M90, 0), CONVERT(I90, J90, "l")))</f>
        <v>1.478676478125E-2</v>
      </c>
      <c r="Q90" s="43">
        <f t="shared" ref="Q90:Q95" si="138">MROUND(IF(AND(J90 = "", L90 = ""), I90 * recipe02DayScale, IF(ISNA(CONVERT(O90, "kg", L90)), CONVERT(P90 * recipe02DayScale, "l", L90), CONVERT(O90 * recipe02DayScale, "kg", L90))), roundTo)</f>
        <v>3.5</v>
      </c>
      <c r="R90" s="43">
        <f t="shared" ref="R90:R95" si="139">recipe02TotScale * IF(L90 = "", Q90 * M90, IF(ISNA(CONVERT(Q90, L90, "kg")), CONVERT(Q90, L90, "l") * IF(N90 &lt;&gt; 0, M90 / N90, 0), CONVERT(Q90, L90, "kg")))</f>
        <v>9.3333531831461536E-3</v>
      </c>
      <c r="S90" s="43">
        <f t="shared" ref="S90:S95" si="140">recipe02TotScale * IF(R90 = 0, IF(L90 = "", Q90 * N90, IF(ISNA(CONVERT(Q90, L90, "l")), CONVERT(Q90, L90, "kg") * IF(M90 &lt;&gt; 0, N90 / M90, 0), CONVERT(Q90, L90, "l"))), 0)</f>
        <v>0</v>
      </c>
      <c r="T90" s="43">
        <f t="shared" ref="T90:T95" si="141">recipe02TotScale * IF(AND(R90 = 0, S90 = 0, J90 = "", L90 = ""), Q90, 0)</f>
        <v>0</v>
      </c>
      <c r="V90" s="40" t="b">
        <f t="shared" ref="V90:V95" si="142">INDEX(itemPrepMethods, MATCH(K90, itemNames, 0))="chop"</f>
        <v>0</v>
      </c>
      <c r="W90" s="53" t="str">
        <f t="shared" ref="W90:W95" si="143">IF(V90, Q90, "")</f>
        <v/>
      </c>
      <c r="X90" s="54" t="str">
        <f t="shared" ref="X90:X95" si="144">IF(V90, IF(L90 = "", "", L90), "")</f>
        <v/>
      </c>
      <c r="Y90" s="54" t="str">
        <f t="shared" ref="Y90:Y95" si="145">IF(V90, K90, "")</f>
        <v/>
      </c>
      <c r="Z90" s="55"/>
      <c r="AA90" s="40" t="b">
        <f t="shared" ref="AA90:AA95" si="146">INDEX(itemPrepMethods, MATCH(K90, itemNames, 0))="soak"</f>
        <v>0</v>
      </c>
      <c r="AB90" s="54" t="str">
        <f t="shared" ref="AB90:AB95" si="147">IF(AA90, Q90, "")</f>
        <v/>
      </c>
      <c r="AC90" s="54" t="str">
        <f t="shared" ref="AC90:AC95" si="148">IF(AA90, IF(L90 = "", "", L90), "")</f>
        <v/>
      </c>
      <c r="AD90" s="54" t="str">
        <f t="shared" ref="AD90:AD95" si="149">IF(AA90, K90, "")</f>
        <v/>
      </c>
    </row>
    <row r="91" spans="1:30" x14ac:dyDescent="0.25">
      <c r="A91" s="36" t="s">
        <v>21</v>
      </c>
      <c r="B91" s="48">
        <f t="shared" si="131"/>
        <v>2.25</v>
      </c>
      <c r="C91" s="35" t="str">
        <f t="shared" si="132"/>
        <v>tsp</v>
      </c>
      <c r="D91" s="36" t="str">
        <f t="shared" si="133"/>
        <v>ground turmeric</v>
      </c>
      <c r="I91" s="50">
        <v>2</v>
      </c>
      <c r="J91" s="51" t="s">
        <v>13</v>
      </c>
      <c r="K91" s="51" t="s">
        <v>292</v>
      </c>
      <c r="L91" s="52" t="s">
        <v>13</v>
      </c>
      <c r="M91" s="43">
        <f t="shared" si="134"/>
        <v>1.4E-2</v>
      </c>
      <c r="N91" s="43">
        <f t="shared" si="135"/>
        <v>2.2180100000000001E-2</v>
      </c>
      <c r="O91" s="43">
        <f t="shared" si="136"/>
        <v>6.2222354554307691E-3</v>
      </c>
      <c r="P91" s="43">
        <f t="shared" si="137"/>
        <v>9.8578431874999997E-3</v>
      </c>
      <c r="Q91" s="43">
        <f t="shared" si="138"/>
        <v>2.25</v>
      </c>
      <c r="R91" s="43">
        <f t="shared" si="139"/>
        <v>7.0000148873596143E-3</v>
      </c>
      <c r="S91" s="43">
        <f t="shared" si="140"/>
        <v>0</v>
      </c>
      <c r="T91" s="43">
        <f t="shared" si="141"/>
        <v>0</v>
      </c>
      <c r="V91" s="40" t="b">
        <f t="shared" si="142"/>
        <v>0</v>
      </c>
      <c r="W91" s="53" t="str">
        <f t="shared" si="143"/>
        <v/>
      </c>
      <c r="X91" s="54" t="str">
        <f t="shared" si="144"/>
        <v/>
      </c>
      <c r="Y91" s="54" t="str">
        <f t="shared" si="145"/>
        <v/>
      </c>
      <c r="Z91" s="55"/>
      <c r="AA91" s="40" t="b">
        <f t="shared" si="146"/>
        <v>0</v>
      </c>
      <c r="AB91" s="54" t="str">
        <f t="shared" si="147"/>
        <v/>
      </c>
      <c r="AC91" s="54" t="str">
        <f t="shared" si="148"/>
        <v/>
      </c>
      <c r="AD91" s="54" t="str">
        <f t="shared" si="149"/>
        <v/>
      </c>
    </row>
    <row r="92" spans="1:30" x14ac:dyDescent="0.25">
      <c r="A92" s="36" t="s">
        <v>21</v>
      </c>
      <c r="B92" s="48">
        <f t="shared" si="131"/>
        <v>2.25</v>
      </c>
      <c r="C92" s="35" t="str">
        <f t="shared" si="132"/>
        <v>tsp</v>
      </c>
      <c r="D92" s="36" t="str">
        <f t="shared" si="133"/>
        <v>dried basil</v>
      </c>
      <c r="I92" s="50">
        <v>2</v>
      </c>
      <c r="J92" s="51" t="s">
        <v>13</v>
      </c>
      <c r="K92" s="51" t="s">
        <v>92</v>
      </c>
      <c r="L92" s="52" t="s">
        <v>13</v>
      </c>
      <c r="M92" s="43">
        <f t="shared" si="134"/>
        <v>3.0000000000000001E-3</v>
      </c>
      <c r="N92" s="43">
        <f t="shared" si="135"/>
        <v>2.2180100000000001E-2</v>
      </c>
      <c r="O92" s="43">
        <f t="shared" si="136"/>
        <v>1.333336169020879E-3</v>
      </c>
      <c r="P92" s="43">
        <f t="shared" si="137"/>
        <v>9.8578431874999997E-3</v>
      </c>
      <c r="Q92" s="43">
        <f t="shared" si="138"/>
        <v>2.25</v>
      </c>
      <c r="R92" s="43">
        <f t="shared" si="139"/>
        <v>1.5000031901484889E-3</v>
      </c>
      <c r="S92" s="43">
        <f t="shared" si="140"/>
        <v>0</v>
      </c>
      <c r="T92" s="43">
        <f t="shared" si="141"/>
        <v>0</v>
      </c>
      <c r="V92" s="40" t="b">
        <f t="shared" si="142"/>
        <v>0</v>
      </c>
      <c r="W92" s="53" t="str">
        <f t="shared" si="143"/>
        <v/>
      </c>
      <c r="X92" s="54" t="str">
        <f t="shared" si="144"/>
        <v/>
      </c>
      <c r="Y92" s="54" t="str">
        <f t="shared" si="145"/>
        <v/>
      </c>
      <c r="Z92" s="55"/>
      <c r="AA92" s="40" t="b">
        <f t="shared" si="146"/>
        <v>0</v>
      </c>
      <c r="AB92" s="54" t="str">
        <f t="shared" si="147"/>
        <v/>
      </c>
      <c r="AC92" s="54" t="str">
        <f t="shared" si="148"/>
        <v/>
      </c>
      <c r="AD92" s="54" t="str">
        <f t="shared" si="149"/>
        <v/>
      </c>
    </row>
    <row r="93" spans="1:30" x14ac:dyDescent="0.25">
      <c r="A93" s="36" t="s">
        <v>21</v>
      </c>
      <c r="B93" s="48">
        <f t="shared" si="131"/>
        <v>0.5</v>
      </c>
      <c r="C93" s="35" t="str">
        <f t="shared" si="132"/>
        <v>tsp</v>
      </c>
      <c r="D93" s="36" t="str">
        <f t="shared" si="133"/>
        <v>cinnamon</v>
      </c>
      <c r="I93" s="50">
        <v>0.5</v>
      </c>
      <c r="J93" s="51" t="s">
        <v>13</v>
      </c>
      <c r="K93" s="51" t="s">
        <v>93</v>
      </c>
      <c r="L93" s="52" t="s">
        <v>13</v>
      </c>
      <c r="M93" s="43">
        <f t="shared" si="134"/>
        <v>1.0999999999999999E-2</v>
      </c>
      <c r="N93" s="43">
        <f t="shared" si="135"/>
        <v>2.2180100000000001E-2</v>
      </c>
      <c r="O93" s="43">
        <f t="shared" si="136"/>
        <v>1.2222248216024723E-3</v>
      </c>
      <c r="P93" s="43">
        <f t="shared" si="137"/>
        <v>2.4644607968749999E-3</v>
      </c>
      <c r="Q93" s="43">
        <f t="shared" si="138"/>
        <v>0.5</v>
      </c>
      <c r="R93" s="43">
        <f t="shared" si="139"/>
        <v>1.2222248216024723E-3</v>
      </c>
      <c r="S93" s="43">
        <f t="shared" si="140"/>
        <v>0</v>
      </c>
      <c r="T93" s="43">
        <f t="shared" si="141"/>
        <v>0</v>
      </c>
      <c r="V93" s="40" t="b">
        <f t="shared" si="142"/>
        <v>0</v>
      </c>
      <c r="W93" s="53" t="str">
        <f t="shared" si="143"/>
        <v/>
      </c>
      <c r="X93" s="54" t="str">
        <f t="shared" si="144"/>
        <v/>
      </c>
      <c r="Y93" s="54" t="str">
        <f t="shared" si="145"/>
        <v/>
      </c>
      <c r="Z93" s="55"/>
      <c r="AA93" s="40" t="b">
        <f t="shared" si="146"/>
        <v>0</v>
      </c>
      <c r="AB93" s="54" t="str">
        <f t="shared" si="147"/>
        <v/>
      </c>
      <c r="AC93" s="54" t="str">
        <f t="shared" si="148"/>
        <v/>
      </c>
      <c r="AD93" s="54" t="str">
        <f t="shared" si="149"/>
        <v/>
      </c>
    </row>
    <row r="94" spans="1:30" x14ac:dyDescent="0.25">
      <c r="A94" s="36" t="s">
        <v>21</v>
      </c>
      <c r="B94" s="48">
        <f t="shared" si="131"/>
        <v>2.25</v>
      </c>
      <c r="C94" s="35" t="str">
        <f t="shared" si="132"/>
        <v/>
      </c>
      <c r="D94" s="36" t="str">
        <f t="shared" si="133"/>
        <v>bay leaves</v>
      </c>
      <c r="I94" s="50">
        <v>2</v>
      </c>
      <c r="J94" s="51"/>
      <c r="K94" s="51" t="s">
        <v>79</v>
      </c>
      <c r="L94" s="52"/>
      <c r="M94" s="43">
        <f t="shared" si="134"/>
        <v>0</v>
      </c>
      <c r="N94" s="43">
        <f t="shared" si="135"/>
        <v>0</v>
      </c>
      <c r="O94" s="43">
        <f t="shared" si="136"/>
        <v>0</v>
      </c>
      <c r="P94" s="43">
        <f t="shared" si="137"/>
        <v>0</v>
      </c>
      <c r="Q94" s="43">
        <f t="shared" si="138"/>
        <v>2.25</v>
      </c>
      <c r="R94" s="43">
        <f t="shared" si="139"/>
        <v>0</v>
      </c>
      <c r="S94" s="43">
        <f t="shared" si="140"/>
        <v>0</v>
      </c>
      <c r="T94" s="43">
        <f t="shared" si="141"/>
        <v>2.25</v>
      </c>
      <c r="V94" s="40" t="b">
        <f t="shared" si="142"/>
        <v>0</v>
      </c>
      <c r="W94" s="53" t="str">
        <f t="shared" si="143"/>
        <v/>
      </c>
      <c r="X94" s="54" t="str">
        <f t="shared" si="144"/>
        <v/>
      </c>
      <c r="Y94" s="54" t="str">
        <f t="shared" si="145"/>
        <v/>
      </c>
      <c r="Z94" s="55"/>
      <c r="AA94" s="40" t="b">
        <f t="shared" si="146"/>
        <v>0</v>
      </c>
      <c r="AB94" s="54" t="str">
        <f t="shared" si="147"/>
        <v/>
      </c>
      <c r="AC94" s="54" t="str">
        <f t="shared" si="148"/>
        <v/>
      </c>
      <c r="AD94" s="54" t="str">
        <f t="shared" si="149"/>
        <v/>
      </c>
    </row>
    <row r="95" spans="1:30" x14ac:dyDescent="0.25">
      <c r="A95" s="36" t="s">
        <v>21</v>
      </c>
      <c r="B95" s="48">
        <f t="shared" si="131"/>
        <v>9.5</v>
      </c>
      <c r="C95" s="35" t="str">
        <f t="shared" si="132"/>
        <v>cup</v>
      </c>
      <c r="D95" s="36" t="str">
        <f t="shared" si="133"/>
        <v>water, approximately</v>
      </c>
      <c r="I95" s="50">
        <v>8</v>
      </c>
      <c r="J95" s="51" t="s">
        <v>16</v>
      </c>
      <c r="K95" s="51" t="s">
        <v>47</v>
      </c>
      <c r="L95" s="52" t="s">
        <v>16</v>
      </c>
      <c r="M95" s="43">
        <f t="shared" si="134"/>
        <v>1</v>
      </c>
      <c r="N95" s="43">
        <f t="shared" si="135"/>
        <v>1</v>
      </c>
      <c r="O95" s="43">
        <f t="shared" si="136"/>
        <v>1.8927058919999999</v>
      </c>
      <c r="P95" s="43">
        <f t="shared" si="137"/>
        <v>1.8927058919999999</v>
      </c>
      <c r="Q95" s="43">
        <f t="shared" si="138"/>
        <v>9.5</v>
      </c>
      <c r="R95" s="43">
        <f t="shared" si="139"/>
        <v>2.2475882467499999</v>
      </c>
      <c r="S95" s="43">
        <f t="shared" si="140"/>
        <v>0</v>
      </c>
      <c r="T95" s="43">
        <f t="shared" si="141"/>
        <v>0</v>
      </c>
      <c r="U95" s="40" t="s">
        <v>205</v>
      </c>
      <c r="V95" s="40" t="b">
        <f t="shared" si="142"/>
        <v>0</v>
      </c>
      <c r="W95" s="53" t="str">
        <f t="shared" si="143"/>
        <v/>
      </c>
      <c r="X95" s="54" t="str">
        <f t="shared" si="144"/>
        <v/>
      </c>
      <c r="Y95" s="54" t="str">
        <f t="shared" si="145"/>
        <v/>
      </c>
      <c r="Z95" s="55"/>
      <c r="AA95" s="40" t="b">
        <f t="shared" si="146"/>
        <v>0</v>
      </c>
      <c r="AB95" s="54" t="str">
        <f t="shared" si="147"/>
        <v/>
      </c>
      <c r="AC95" s="54" t="str">
        <f t="shared" si="148"/>
        <v/>
      </c>
      <c r="AD95" s="54" t="str">
        <f t="shared" si="149"/>
        <v/>
      </c>
    </row>
    <row r="96" spans="1:30" x14ac:dyDescent="0.25">
      <c r="A96" s="116"/>
      <c r="B96" s="116"/>
      <c r="C96" s="116"/>
      <c r="D96" s="116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16" t="s">
        <v>202</v>
      </c>
      <c r="B97" s="116"/>
      <c r="C97" s="116"/>
      <c r="D97" s="116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16"/>
      <c r="B98" s="116"/>
      <c r="C98" s="116"/>
      <c r="D98" s="116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16" t="s">
        <v>203</v>
      </c>
      <c r="B99" s="116"/>
      <c r="C99" s="116"/>
      <c r="D99" s="116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50">Q100</f>
        <v>3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204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51">IF(J100 = "", I100 * M100, IF(ISNA(CONVERT(I100, J100, "kg")), CONVERT(I100, J100, "l") * IF(N100 &lt;&gt; 0, M100 / N100, 0), CONVERT(I100, J100, "kg")))</f>
        <v>0.44600000000000001</v>
      </c>
      <c r="P100" s="43">
        <f t="shared" ref="P100" si="152">IF(J100 = "", I100 * N100, IF(ISNA(CONVERT(I100, J100, "l")), CONVERT(I100, J100, "kg") * IF(M100 &lt;&gt; 0, N100 / M100, 0), CONVERT(I100, J100, "l")))</f>
        <v>0.59147059999999996</v>
      </c>
      <c r="Q100" s="43">
        <f>MROUND(IF(AND(J100 = "", L100 = ""), I100 * recipe02DayScale, IF(ISNA(CONVERT(O100, "kg", L100)), CONVERT(P100 * recipe02DayScale, "l", L100), CONVERT(O100 * recipe02DayScale, "kg", L100))), roundTo)</f>
        <v>3</v>
      </c>
      <c r="R100" s="43">
        <f>recipe02TotScale * IF(L100 = "", Q100 * M100, IF(ISNA(CONVERT(Q100, L100, "kg")), CONVERT(Q100, L100, "l") * IF(N100 &lt;&gt; 0, M100 / N100, 0), CONVERT(Q100, L100, "kg")))</f>
        <v>0.53519999208244673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3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16"/>
      <c r="B101" s="116"/>
      <c r="C101" s="116"/>
      <c r="D101" s="116"/>
      <c r="I101" s="43"/>
      <c r="M101" s="40"/>
      <c r="N101" s="40"/>
      <c r="O101" s="40"/>
      <c r="P101" s="40"/>
    </row>
    <row r="102" spans="1:30" x14ac:dyDescent="0.25">
      <c r="A102" s="116" t="s">
        <v>206</v>
      </c>
      <c r="B102" s="116"/>
      <c r="C102" s="116"/>
      <c r="D102" s="116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95</v>
      </c>
      <c r="I103" s="43"/>
      <c r="M103" s="40"/>
      <c r="N103" s="40"/>
      <c r="O103" s="40"/>
      <c r="P103" s="40"/>
    </row>
    <row r="104" spans="1:30" ht="15.75" x14ac:dyDescent="0.25">
      <c r="A104" s="117" t="s">
        <v>26</v>
      </c>
      <c r="B104" s="117"/>
      <c r="C104" s="117"/>
      <c r="D104" s="117"/>
      <c r="E104" s="39" t="s">
        <v>123</v>
      </c>
      <c r="F104" s="86" t="s">
        <v>68</v>
      </c>
      <c r="G104" s="86"/>
      <c r="I104" s="43"/>
    </row>
    <row r="105" spans="1:30" ht="24" x14ac:dyDescent="0.2">
      <c r="A105" s="117" t="s">
        <v>252</v>
      </c>
      <c r="B105" s="117"/>
      <c r="C105" s="117"/>
      <c r="D105" s="117"/>
      <c r="E105" s="38" t="s">
        <v>53</v>
      </c>
      <c r="F105" s="74">
        <v>21</v>
      </c>
      <c r="G105" s="43"/>
      <c r="H105" s="43"/>
      <c r="I105" s="65" t="s">
        <v>395</v>
      </c>
      <c r="J105" s="66" t="s">
        <v>396</v>
      </c>
      <c r="K105" s="66" t="s">
        <v>17</v>
      </c>
      <c r="L105" s="67" t="s">
        <v>399</v>
      </c>
      <c r="M105" s="65" t="s">
        <v>132</v>
      </c>
      <c r="N105" s="65" t="s">
        <v>133</v>
      </c>
      <c r="O105" s="65" t="s">
        <v>397</v>
      </c>
      <c r="P105" s="65" t="s">
        <v>398</v>
      </c>
      <c r="Q105" s="66" t="s">
        <v>314</v>
      </c>
      <c r="R105" s="65" t="s">
        <v>315</v>
      </c>
      <c r="S105" s="65" t="s">
        <v>316</v>
      </c>
      <c r="T105" s="65" t="s">
        <v>317</v>
      </c>
      <c r="U105" s="66" t="s">
        <v>22</v>
      </c>
      <c r="V105" s="66" t="s">
        <v>191</v>
      </c>
      <c r="W105" s="68" t="s">
        <v>314</v>
      </c>
      <c r="X105" s="66" t="s">
        <v>189</v>
      </c>
      <c r="Y105" s="66" t="s">
        <v>190</v>
      </c>
      <c r="Z105" s="66" t="s">
        <v>289</v>
      </c>
      <c r="AA105" s="66" t="s">
        <v>192</v>
      </c>
      <c r="AB105" s="68" t="s">
        <v>314</v>
      </c>
      <c r="AC105" s="66" t="s">
        <v>193</v>
      </c>
      <c r="AD105" s="66" t="s">
        <v>194</v>
      </c>
    </row>
    <row r="106" spans="1:30" ht="13.5" thickBot="1" x14ac:dyDescent="0.3">
      <c r="A106" s="118" t="str">
        <f>_xlfn.CONCAT(F106," servings")</f>
        <v>13 servings</v>
      </c>
      <c r="B106" s="118"/>
      <c r="C106" s="118"/>
      <c r="D106" s="118"/>
      <c r="E106" s="61" t="s">
        <v>309</v>
      </c>
      <c r="F106" s="74">
        <f>wkndRegLunch</f>
        <v>13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7" customFormat="1" ht="15.75" thickBot="1" x14ac:dyDescent="0.3">
      <c r="A107" s="116"/>
      <c r="B107" s="116"/>
      <c r="C107" s="116"/>
      <c r="D107" s="116"/>
      <c r="E107" s="61" t="s">
        <v>312</v>
      </c>
      <c r="F107" s="46">
        <f>F106/F105</f>
        <v>0.61904761904761907</v>
      </c>
      <c r="G107" s="47" t="s">
        <v>324</v>
      </c>
      <c r="H107" s="49"/>
      <c r="I107" s="58"/>
      <c r="J107" s="85"/>
      <c r="K107" s="85"/>
      <c r="L107" s="59"/>
      <c r="M107" s="58"/>
      <c r="N107" s="58"/>
      <c r="O107" s="58"/>
      <c r="P107" s="58"/>
      <c r="Q107" s="43"/>
      <c r="R107" s="43"/>
      <c r="S107" s="43"/>
      <c r="T107" s="43"/>
      <c r="U107" s="85"/>
      <c r="W107" s="44"/>
      <c r="Z107" s="45"/>
    </row>
    <row r="108" spans="1:30" x14ac:dyDescent="0.25">
      <c r="A108" s="116" t="s">
        <v>231</v>
      </c>
      <c r="B108" s="116"/>
      <c r="C108" s="116"/>
      <c r="D108" s="116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53">Q109</f>
        <v>4.75</v>
      </c>
      <c r="C109" s="35" t="str">
        <f t="shared" ref="C109:C140" si="154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301</v>
      </c>
      <c r="F109" s="74">
        <f>wkndRegLunch</f>
        <v>13</v>
      </c>
      <c r="G109" s="62"/>
      <c r="I109" s="57">
        <v>7.5</v>
      </c>
      <c r="J109" s="51" t="s">
        <v>16</v>
      </c>
      <c r="K109" s="51" t="s">
        <v>45</v>
      </c>
      <c r="L109" s="52" t="s">
        <v>16</v>
      </c>
      <c r="M109" s="43">
        <f t="shared" ref="M109:M135" si="155">INDEX(itemGPerQty, MATCH(K109, itemNames, 0))</f>
        <v>0.80800000000000005</v>
      </c>
      <c r="N109" s="43">
        <f t="shared" ref="N109:N135" si="156">INDEX(itemMlPerQty, MATCH(K109, itemNames, 0))</f>
        <v>0.946353</v>
      </c>
      <c r="O109" s="43">
        <f t="shared" ref="O109:O135" si="157">IF(J109 = "", I109 * M109, IF(ISNA(CONVERT(I109, J109, "kg")), CONVERT(I109, J109, "l") * IF(N109 &lt;&gt; 0, M109 / N109, 0), CONVERT(I109, J109, "kg")))</f>
        <v>1.5149999135523426</v>
      </c>
      <c r="P109" s="43">
        <f t="shared" ref="P109:P135" si="158">IF(J109 = "", I109 * N109, IF(ISNA(CONVERT(I109, J109, "l")), CONVERT(I109, J109, "kg") * IF(M109 &lt;&gt; 0, N109 / M109, 0), CONVERT(I109, J109, "l")))</f>
        <v>1.77441177375</v>
      </c>
      <c r="Q109" s="43">
        <f>MROUND(IF(AND(J109 = "", L109 = ""), I109 * recipe08DayScale, IF(ISNA(CONVERT(O109, "kg", L109)), CONVERT(P109 * recipe08DayScale, "l", L109), CONVERT(O109 * recipe08DayScale, "kg", L109))), roundTo)</f>
        <v>4.75</v>
      </c>
      <c r="R109" s="43">
        <f>recipe08TotScale * IF(L109 = "", Q109 * M109, IF(ISNA(CONVERT(Q109, L109, "kg")), CONVERT(Q109, L109, "l") * IF(N109 &lt;&gt; 0, M109 / N109, 0), CONVERT(Q109, L109, "kg")))</f>
        <v>0.95949994524981697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207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4.75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16"/>
      <c r="B110" s="116"/>
      <c r="C110" s="116"/>
      <c r="D110" s="116"/>
      <c r="E110" s="61" t="s">
        <v>313</v>
      </c>
      <c r="F110" s="46">
        <f>F109/F106</f>
        <v>1</v>
      </c>
      <c r="G110" s="47" t="s">
        <v>325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16" t="s">
        <v>227</v>
      </c>
      <c r="B111" s="116"/>
      <c r="C111" s="116"/>
      <c r="D111" s="116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224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53"/>
        <v>1.5</v>
      </c>
      <c r="C113" s="35" t="str">
        <f t="shared" si="154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292</v>
      </c>
      <c r="L113" s="52" t="s">
        <v>15</v>
      </c>
      <c r="M113" s="43">
        <f t="shared" si="155"/>
        <v>1.4E-2</v>
      </c>
      <c r="N113" s="43">
        <f t="shared" si="156"/>
        <v>2.2180100000000001E-2</v>
      </c>
      <c r="O113" s="43">
        <f t="shared" si="157"/>
        <v>2.3333382957865384E-2</v>
      </c>
      <c r="P113" s="43">
        <f t="shared" si="158"/>
        <v>3.6966911953125001E-2</v>
      </c>
      <c r="Q113" s="43">
        <f>MROUND(IF(AND(J113 = "", L113 = ""), I113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53"/>
        <v>0.5</v>
      </c>
      <c r="C114" s="35" t="str">
        <f t="shared" si="154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46</v>
      </c>
      <c r="L114" s="52" t="s">
        <v>16</v>
      </c>
      <c r="M114" s="43">
        <f t="shared" si="155"/>
        <v>0</v>
      </c>
      <c r="N114" s="43">
        <f t="shared" si="156"/>
        <v>0</v>
      </c>
      <c r="O114" s="43">
        <f t="shared" si="157"/>
        <v>0</v>
      </c>
      <c r="P114" s="43">
        <f t="shared" si="158"/>
        <v>0.17744117737499998</v>
      </c>
      <c r="Q114" s="43">
        <f>MROUND(IF(AND(J114 = "", L114 = ""), I114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16"/>
      <c r="B115" s="116"/>
      <c r="C115" s="116"/>
      <c r="D115" s="116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16" t="s">
        <v>226</v>
      </c>
      <c r="B116" s="116"/>
      <c r="C116" s="116"/>
      <c r="D116" s="116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53"/>
        <v>1.75</v>
      </c>
      <c r="C117" s="35" t="str">
        <f t="shared" si="154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407</v>
      </c>
      <c r="L117" s="52"/>
      <c r="M117" s="43">
        <f t="shared" si="155"/>
        <v>0</v>
      </c>
      <c r="N117" s="43">
        <f t="shared" si="156"/>
        <v>0</v>
      </c>
      <c r="O117" s="43">
        <f t="shared" si="157"/>
        <v>0</v>
      </c>
      <c r="P117" s="43">
        <f t="shared" si="158"/>
        <v>0</v>
      </c>
      <c r="Q117" s="43">
        <f>MROUND(IF(AND(J117 = "", L117 = ""), I117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209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53"/>
        <v>6.25</v>
      </c>
      <c r="C118" s="35" t="str">
        <f t="shared" si="154"/>
        <v/>
      </c>
      <c r="D118" s="36" t="str">
        <f>_xlfn.CONCAT(K118, U118)</f>
        <v>chopped zucchini</v>
      </c>
      <c r="I118" s="57">
        <v>10</v>
      </c>
      <c r="J118" s="51"/>
      <c r="K118" s="51" t="s">
        <v>176</v>
      </c>
      <c r="L118" s="52"/>
      <c r="M118" s="43">
        <f t="shared" si="155"/>
        <v>0</v>
      </c>
      <c r="N118" s="43">
        <f t="shared" si="156"/>
        <v>0</v>
      </c>
      <c r="O118" s="43">
        <f t="shared" si="157"/>
        <v>0</v>
      </c>
      <c r="P118" s="43">
        <f t="shared" si="158"/>
        <v>0</v>
      </c>
      <c r="Q118" s="43">
        <f>MROUND(IF(AND(J118 = "", L118 = ""), I118 * recipe08DayScale, IF(ISNA(CONVERT(O118, "kg", L118)), CONVERT(P118 * recipe08DayScale, "l", L118), CONVERT(O118 * recipe08DayScale, "kg", L118))), roundTo)</f>
        <v>6.25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6.25</v>
      </c>
      <c r="V118" s="40" t="b">
        <f>INDEX(itemPrepMethods, MATCH(K118, itemNames, 0))="chop"</f>
        <v>1</v>
      </c>
      <c r="W118" s="53">
        <f>IF(V118, Q118, "")</f>
        <v>6.25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16"/>
      <c r="B119" s="116"/>
      <c r="C119" s="116"/>
      <c r="D119" s="116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16" t="s">
        <v>208</v>
      </c>
      <c r="B120" s="116"/>
      <c r="C120" s="116"/>
      <c r="D120" s="116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53"/>
        <v>13</v>
      </c>
      <c r="C121" s="35" t="str">
        <f t="shared" si="154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47</v>
      </c>
      <c r="L121" s="52" t="s">
        <v>16</v>
      </c>
      <c r="M121" s="43">
        <f t="shared" si="155"/>
        <v>1</v>
      </c>
      <c r="N121" s="43">
        <f t="shared" si="156"/>
        <v>1</v>
      </c>
      <c r="O121" s="43">
        <f t="shared" si="157"/>
        <v>4.9683529664999995</v>
      </c>
      <c r="P121" s="43">
        <f t="shared" si="158"/>
        <v>4.9683529664999995</v>
      </c>
      <c r="Q121" s="43">
        <f>MROUND(IF(AND(J121 = "", L121 = ""), I121 * recipe08DayScale, IF(ISNA(CONVERT(O121, "kg", L121)), CONVERT(P121 * recipe08DayScale, "l", L121), CONVERT(O121 * recipe08DayScale, "kg", L121))), roundTo)</f>
        <v>13</v>
      </c>
      <c r="R121" s="43">
        <f>recipe08TotScale * IF(L121 = "", Q121 * M121, IF(ISNA(CONVERT(Q121, L121, "kg")), CONVERT(Q121, L121, "l") * IF(N121 &lt;&gt; 0, M121 / N121, 0), CONVERT(Q121, L121, "kg")))</f>
        <v>3.0756470745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53"/>
        <v>3</v>
      </c>
      <c r="C122" s="35" t="str">
        <f t="shared" si="154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5"/>
        <v>2.5000000000000001E-2</v>
      </c>
      <c r="N122" s="43">
        <f t="shared" si="156"/>
        <v>2.2180100000000001E-2</v>
      </c>
      <c r="O122" s="43">
        <f t="shared" si="157"/>
        <v>2.777783685460165E-2</v>
      </c>
      <c r="P122" s="43">
        <f t="shared" si="158"/>
        <v>2.4644607968749999E-2</v>
      </c>
      <c r="Q122" s="43">
        <f>MROUND(IF(AND(J122 = "", L122 = ""), I122 * recipe08DayScale, IF(ISNA(CONVERT(O122, "kg", L122)), CONVERT(P122 * recipe08DayScale, "l", L122), CONVERT(O122 * recipe08DayScale, "kg", L122))), roundTo)</f>
        <v>3</v>
      </c>
      <c r="R122" s="43">
        <f>recipe08TotScale * IF(L122 = "", Q122 * M122, IF(ISNA(CONVERT(Q122, L122, "kg")), CONVERT(Q122, L122, "l") * IF(N122 &lt;&gt; 0, M122 / N122, 0), CONVERT(Q122, L122, "kg")))</f>
        <v>1.666670211276099E-2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53"/>
        <v>1.75</v>
      </c>
      <c r="C123" s="35" t="str">
        <f t="shared" si="154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210</v>
      </c>
      <c r="L123" s="52" t="s">
        <v>15</v>
      </c>
      <c r="M123" s="43">
        <f t="shared" si="155"/>
        <v>0</v>
      </c>
      <c r="N123" s="43">
        <f t="shared" si="156"/>
        <v>0</v>
      </c>
      <c r="O123" s="43">
        <f t="shared" si="157"/>
        <v>0</v>
      </c>
      <c r="P123" s="43">
        <f t="shared" si="158"/>
        <v>4.4360294343749995E-2</v>
      </c>
      <c r="Q123" s="43">
        <f>MROUND(IF(AND(J123 = "", L123 = ""), I123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16"/>
      <c r="B124" s="116"/>
      <c r="C124" s="116"/>
      <c r="D124" s="116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16" t="s">
        <v>211</v>
      </c>
      <c r="B125" s="116"/>
      <c r="C125" s="116"/>
      <c r="D125" s="116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212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213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214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16"/>
      <c r="B129" s="116"/>
      <c r="C129" s="116"/>
      <c r="D129" s="116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16" t="s">
        <v>225</v>
      </c>
      <c r="B130" s="116"/>
      <c r="C130" s="116"/>
      <c r="D130" s="116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53"/>
        <v>0.25</v>
      </c>
      <c r="C131" s="35" t="str">
        <f t="shared" si="154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46</v>
      </c>
      <c r="L131" s="52" t="s">
        <v>16</v>
      </c>
      <c r="M131" s="43">
        <f t="shared" si="155"/>
        <v>0</v>
      </c>
      <c r="N131" s="43">
        <f t="shared" si="156"/>
        <v>0</v>
      </c>
      <c r="O131" s="43">
        <f t="shared" si="157"/>
        <v>0</v>
      </c>
      <c r="P131" s="43">
        <f t="shared" si="158"/>
        <v>0.11829411825</v>
      </c>
      <c r="Q131" s="43">
        <f>MROUND(IF(AND(J131 = "", L131 = ""), I131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16"/>
      <c r="B132" s="116"/>
      <c r="C132" s="116"/>
      <c r="D132" s="116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16" t="s">
        <v>263</v>
      </c>
      <c r="B133" s="116"/>
      <c r="C133" s="116"/>
      <c r="D133" s="116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53"/>
        <v>4.75</v>
      </c>
      <c r="C134" s="35" t="str">
        <f t="shared" si="154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49</v>
      </c>
      <c r="L134" s="52" t="s">
        <v>15</v>
      </c>
      <c r="M134" s="43">
        <f t="shared" si="155"/>
        <v>1.0999999999999999E-2</v>
      </c>
      <c r="N134" s="43">
        <f t="shared" si="156"/>
        <v>2.2180100000000001E-2</v>
      </c>
      <c r="O134" s="43">
        <f t="shared" si="157"/>
        <v>5.5000116972111261E-2</v>
      </c>
      <c r="P134" s="43">
        <f t="shared" si="158"/>
        <v>0.110900735859375</v>
      </c>
      <c r="Q134" s="43">
        <f>MROUND(IF(AND(J134 = "", L134 = ""), I134 * recipe08DayScale, IF(ISNA(CONVERT(O134, "kg", L134)), CONVERT(P134 * recipe08DayScale, "l", L134), CONVERT(O134 * recipe08DayScale, "kg", L134))), roundTo)</f>
        <v>4.75</v>
      </c>
      <c r="R134" s="43">
        <f>recipe08TotScale * IF(L134 = "", Q134 * M134, IF(ISNA(CONVERT(Q134, L134, "kg")), CONVERT(Q134, L134, "l") * IF(N134 &lt;&gt; 0, M134 / N134, 0), CONVERT(Q134, L134, "kg")))</f>
        <v>3.483340741567046E-2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53"/>
        <v>4.75</v>
      </c>
      <c r="C135" s="35" t="str">
        <f t="shared" si="154"/>
        <v>tbs</v>
      </c>
      <c r="D135" s="36" t="str">
        <f>_xlfn.CONCAT(K135, U135)</f>
        <v>black mustard seeds</v>
      </c>
      <c r="I135" s="57">
        <v>7.5</v>
      </c>
      <c r="J135" s="51" t="s">
        <v>15</v>
      </c>
      <c r="K135" s="51" t="s">
        <v>48</v>
      </c>
      <c r="L135" s="52" t="s">
        <v>15</v>
      </c>
      <c r="M135" s="43">
        <f t="shared" si="155"/>
        <v>1.6E-2</v>
      </c>
      <c r="N135" s="43">
        <f t="shared" si="156"/>
        <v>2.2180100000000001E-2</v>
      </c>
      <c r="O135" s="43">
        <f t="shared" si="157"/>
        <v>8.0000170141252741E-2</v>
      </c>
      <c r="P135" s="43">
        <f t="shared" si="158"/>
        <v>0.110900735859375</v>
      </c>
      <c r="Q135" s="43">
        <f>MROUND(IF(AND(J135 = "", L135 = ""), I135 * recipe08DayScale, IF(ISNA(CONVERT(O135, "kg", L135)), CONVERT(P135 * recipe08DayScale, "l", L135), CONVERT(O135 * recipe08DayScale, "kg", L135))), roundTo)</f>
        <v>4.75</v>
      </c>
      <c r="R135" s="43">
        <f>recipe08TotScale * IF(L135 = "", Q135 * M135, IF(ISNA(CONVERT(Q135, L135, "kg")), CONVERT(Q135, L135, "l") * IF(N135 &lt;&gt; 0, M135 / N135, 0), CONVERT(Q135, L135, "kg")))</f>
        <v>5.0666774422793402E-2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16"/>
      <c r="B136" s="116"/>
      <c r="C136" s="116"/>
      <c r="D136" s="116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16" t="s">
        <v>215</v>
      </c>
      <c r="B137" s="116"/>
      <c r="C137" s="116"/>
      <c r="D137" s="116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16" t="s">
        <v>216</v>
      </c>
      <c r="B139" s="116"/>
      <c r="C139" s="116"/>
      <c r="D139" s="116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4"/>
        <v/>
      </c>
      <c r="D140" s="36" t="str">
        <f>_xlfn.CONCAT(K140, U140)</f>
        <v>sprigs fresh corriander, if available</v>
      </c>
      <c r="I140" s="58"/>
      <c r="J140" s="56"/>
      <c r="K140" s="51" t="s">
        <v>76</v>
      </c>
      <c r="L140" s="56"/>
      <c r="M140" s="56"/>
      <c r="N140" s="56"/>
      <c r="O140" s="56"/>
      <c r="P140" s="56"/>
      <c r="U140" s="40" t="s">
        <v>217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7" t="s">
        <v>27</v>
      </c>
      <c r="B141" s="117"/>
      <c r="C141" s="117"/>
      <c r="D141" s="117"/>
      <c r="E141" s="39" t="s">
        <v>118</v>
      </c>
      <c r="F141" s="85" t="s">
        <v>75</v>
      </c>
      <c r="G141" s="85"/>
      <c r="H141" s="43"/>
    </row>
    <row r="142" spans="1:30" ht="24" x14ac:dyDescent="0.2">
      <c r="A142" s="117" t="s">
        <v>28</v>
      </c>
      <c r="B142" s="117"/>
      <c r="C142" s="117"/>
      <c r="D142" s="117"/>
      <c r="E142" s="38" t="s">
        <v>53</v>
      </c>
      <c r="F142" s="74">
        <v>21</v>
      </c>
      <c r="G142" s="43"/>
      <c r="H142" s="43"/>
      <c r="I142" s="65" t="s">
        <v>395</v>
      </c>
      <c r="J142" s="66" t="s">
        <v>396</v>
      </c>
      <c r="K142" s="66" t="s">
        <v>17</v>
      </c>
      <c r="L142" s="67" t="s">
        <v>399</v>
      </c>
      <c r="M142" s="65" t="s">
        <v>132</v>
      </c>
      <c r="N142" s="65" t="s">
        <v>133</v>
      </c>
      <c r="O142" s="65" t="s">
        <v>397</v>
      </c>
      <c r="P142" s="65" t="s">
        <v>398</v>
      </c>
      <c r="Q142" s="66" t="s">
        <v>314</v>
      </c>
      <c r="R142" s="65" t="s">
        <v>315</v>
      </c>
      <c r="S142" s="65" t="s">
        <v>316</v>
      </c>
      <c r="T142" s="65" t="s">
        <v>317</v>
      </c>
      <c r="U142" s="66" t="s">
        <v>22</v>
      </c>
      <c r="V142" s="66" t="s">
        <v>191</v>
      </c>
      <c r="W142" s="68" t="s">
        <v>314</v>
      </c>
      <c r="X142" s="66" t="s">
        <v>189</v>
      </c>
      <c r="Y142" s="66" t="s">
        <v>190</v>
      </c>
      <c r="Z142" s="66" t="s">
        <v>289</v>
      </c>
      <c r="AA142" s="66" t="s">
        <v>192</v>
      </c>
      <c r="AB142" s="68" t="s">
        <v>314</v>
      </c>
      <c r="AC142" s="66" t="s">
        <v>193</v>
      </c>
      <c r="AD142" s="66" t="s">
        <v>194</v>
      </c>
    </row>
    <row r="143" spans="1:30" ht="13.5" thickBot="1" x14ac:dyDescent="0.3">
      <c r="A143" s="118" t="str">
        <f>_xlfn.CONCAT(F143," servings")</f>
        <v>13 servings</v>
      </c>
      <c r="B143" s="118"/>
      <c r="C143" s="118"/>
      <c r="D143" s="118"/>
      <c r="E143" s="61" t="s">
        <v>309</v>
      </c>
      <c r="F143" s="74">
        <f>wkndRegDinner</f>
        <v>13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7" customFormat="1" ht="15.75" thickBot="1" x14ac:dyDescent="0.3">
      <c r="A144" s="116"/>
      <c r="B144" s="116"/>
      <c r="C144" s="116"/>
      <c r="D144" s="116"/>
      <c r="E144" s="61" t="s">
        <v>312</v>
      </c>
      <c r="F144" s="46">
        <f>F143/F142</f>
        <v>0.61904761904761907</v>
      </c>
      <c r="G144" s="47" t="s">
        <v>326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16" t="s">
        <v>218</v>
      </c>
      <c r="B145" s="116"/>
      <c r="C145" s="116"/>
      <c r="D145" s="116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9">Q146</f>
        <v>0.75</v>
      </c>
      <c r="C146" s="35" t="str">
        <f t="shared" ref="C146:C158" si="160">IF(L146="","",L146)</f>
        <v>cup</v>
      </c>
      <c r="D146" s="36" t="str">
        <f>_xlfn.CONCAT(K146, U146)</f>
        <v>oil</v>
      </c>
      <c r="E146" s="61" t="s">
        <v>301</v>
      </c>
      <c r="F146" s="74">
        <f>wkndRegDinner</f>
        <v>13</v>
      </c>
      <c r="G146" s="62"/>
      <c r="I146" s="50">
        <v>1.25</v>
      </c>
      <c r="J146" s="51" t="s">
        <v>16</v>
      </c>
      <c r="K146" s="51" t="s">
        <v>46</v>
      </c>
      <c r="L146" s="52" t="s">
        <v>16</v>
      </c>
      <c r="M146" s="43">
        <f t="shared" ref="M146:M155" si="161">INDEX(itemGPerQty, MATCH(K146, itemNames, 0))</f>
        <v>0</v>
      </c>
      <c r="N146" s="43">
        <f t="shared" ref="N146:N155" si="162">INDEX(itemMlPerQty, MATCH(K146, itemNames, 0))</f>
        <v>0</v>
      </c>
      <c r="O146" s="43">
        <f t="shared" ref="O146:O155" si="163">IF(J146 = "", I146 * M146, IF(ISNA(CONVERT(I146, J146, "kg")), CONVERT(I146, J146, "l") * IF(N146 &lt;&gt; 0, M146 / N146, 0), CONVERT(I146, J146, "kg")))</f>
        <v>0</v>
      </c>
      <c r="P146" s="43">
        <f t="shared" ref="P146:P155" si="164">IF(J146 = "", I146 * N146, IF(ISNA(CONVERT(I146, J146, "l")), CONVERT(I146, J146, "kg") * IF(M146 &lt;&gt; 0, N146 / M146, 0), CONVERT(I146, J146, "l")))</f>
        <v>0.29573529562500001</v>
      </c>
      <c r="Q146" s="43">
        <f>MROUND(IF(AND(J146 = "", L146 = ""), I146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9"/>
        <v>7.75</v>
      </c>
      <c r="C147" s="35" t="str">
        <f t="shared" si="160"/>
        <v>cup</v>
      </c>
      <c r="D147" s="36" t="str">
        <f>_xlfn.CONCAT(K147, U147)</f>
        <v>diced carrots</v>
      </c>
      <c r="E147" s="61" t="s">
        <v>313</v>
      </c>
      <c r="F147" s="46">
        <f>F146/F143</f>
        <v>1</v>
      </c>
      <c r="G147" s="47" t="s">
        <v>327</v>
      </c>
      <c r="I147" s="50">
        <v>15</v>
      </c>
      <c r="J147" s="51"/>
      <c r="K147" s="51" t="s">
        <v>88</v>
      </c>
      <c r="L147" s="52" t="s">
        <v>16</v>
      </c>
      <c r="M147" s="43">
        <f t="shared" si="161"/>
        <v>0.1265</v>
      </c>
      <c r="N147" s="43">
        <f t="shared" si="162"/>
        <v>0.2</v>
      </c>
      <c r="O147" s="43">
        <f t="shared" si="163"/>
        <v>1.8975</v>
      </c>
      <c r="P147" s="43">
        <f t="shared" si="164"/>
        <v>3</v>
      </c>
      <c r="Q147" s="43">
        <f>MROUND(IF(AND(J147 = "", L147 = ""), I147 * recipe03DayScale, IF(ISNA(CONVERT(O147, "kg", L147)), CONVERT(P147 * recipe03DayScale, "l", L147), CONVERT(O147 * recipe03DayScale, "kg", L147))), roundTo)</f>
        <v>7.75</v>
      </c>
      <c r="R147" s="43">
        <f>recipe03TotScale * IF(L147 = "", Q147 * M147, IF(ISNA(CONVERT(Q147, L147, "kg")), CONVERT(Q147, L147, "l") * IF(N147 &lt;&gt; 0, M147 / N147, 0), CONVERT(Q147, L147, "kg")))</f>
        <v>1.1597259617934372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7.75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9"/>
        <v>3.75</v>
      </c>
      <c r="C148" s="35" t="str">
        <f t="shared" si="160"/>
        <v/>
      </c>
      <c r="D148" s="36" t="str">
        <f>_xlfn.CONCAT(K148, U148)</f>
        <v>diced celery stalks</v>
      </c>
      <c r="I148" s="50">
        <v>6</v>
      </c>
      <c r="J148" s="51"/>
      <c r="K148" s="51" t="s">
        <v>89</v>
      </c>
      <c r="L148" s="52"/>
      <c r="M148" s="43">
        <f t="shared" si="161"/>
        <v>5.4666666666666669E-2</v>
      </c>
      <c r="N148" s="43">
        <f t="shared" si="162"/>
        <v>0.11</v>
      </c>
      <c r="O148" s="43">
        <f t="shared" si="163"/>
        <v>0.32800000000000001</v>
      </c>
      <c r="P148" s="43">
        <f t="shared" si="164"/>
        <v>0.66</v>
      </c>
      <c r="Q148" s="43">
        <f>MROUND(IF(AND(J148 = "", L148 = ""), I148 * recipe03DayScale, IF(ISNA(CONVERT(O148, "kg", L148)), CONVERT(P148 * recipe03DayScale, "l", L148), CONVERT(O148 * recipe03DayScale, "kg", L148))), roundTo)</f>
        <v>3.75</v>
      </c>
      <c r="R148" s="43">
        <f>recipe03TotScale * IF(L148 = "", Q148 * M148, IF(ISNA(CONVERT(Q148, L148, "kg")), CONVERT(Q148, L148, "l") * IF(N148 &lt;&gt; 0, M148 / N148, 0), CONVERT(Q148, L148, "kg")))</f>
        <v>0.20500000000000002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3.75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16"/>
      <c r="B149" s="116"/>
      <c r="C149" s="116"/>
      <c r="D149" s="116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16" t="s">
        <v>108</v>
      </c>
      <c r="B150" s="116"/>
      <c r="C150" s="116"/>
      <c r="D150" s="116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3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407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MROUND(IF(AND(J151 = "", L151 = ""), I151 * recipe03DayScale, IF(ISNA(CONVERT(O151, "kg", L151)), CONVERT(P151 * recipe03DayScale, "l", L151), CONVERT(O151 * recipe03DayScale, "kg", L151))), roundTo)</f>
        <v>3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3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13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54</v>
      </c>
      <c r="K152" s="51" t="s">
        <v>55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MROUND(IF(AND(J152 = "", L152 = ""), I152 * recipe03DayScale, IF(ISNA(CONVERT(O152, "kg", L152)), CONVERT(P152 * recipe03DayScale, "l", L152), CONVERT(O152 * recipe03DayScale, "kg", L152))), roundTo)</f>
        <v>13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3.0756470745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9"/>
        <v>3</v>
      </c>
      <c r="C153" s="35" t="str">
        <f t="shared" si="160"/>
        <v/>
      </c>
      <c r="D153" s="36" t="str">
        <f>_xlfn.CONCAT(K153, U153)</f>
        <v>sprigs fresh rosemary</v>
      </c>
      <c r="I153" s="50">
        <v>5</v>
      </c>
      <c r="J153" s="51"/>
      <c r="K153" s="51" t="s">
        <v>77</v>
      </c>
      <c r="L153" s="52"/>
      <c r="M153" s="43">
        <f t="shared" si="161"/>
        <v>0</v>
      </c>
      <c r="N153" s="43">
        <f t="shared" si="162"/>
        <v>0</v>
      </c>
      <c r="O153" s="43">
        <f t="shared" si="163"/>
        <v>0</v>
      </c>
      <c r="P153" s="43">
        <f t="shared" si="164"/>
        <v>0</v>
      </c>
      <c r="Q153" s="43">
        <f>MROUND(IF(AND(J153 = "", L153 = ""), I153 * recipe03DayScale, IF(ISNA(CONVERT(O153, "kg", L153)), CONVERT(P153 * recipe03DayScale, "l", L153), CONVERT(O153 * recipe03DayScale, "kg", L153))), roundTo)</f>
        <v>3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3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9"/>
        <v>3</v>
      </c>
      <c r="C154" s="35" t="str">
        <f t="shared" si="160"/>
        <v/>
      </c>
      <c r="D154" s="36" t="str">
        <f>_xlfn.CONCAT(K154, U154)</f>
        <v>sprigs fresh thyme</v>
      </c>
      <c r="I154" s="50">
        <v>5</v>
      </c>
      <c r="J154" s="51"/>
      <c r="K154" s="51" t="s">
        <v>78</v>
      </c>
      <c r="L154" s="52"/>
      <c r="M154" s="43">
        <f t="shared" si="161"/>
        <v>0</v>
      </c>
      <c r="N154" s="43">
        <f t="shared" si="162"/>
        <v>0</v>
      </c>
      <c r="O154" s="43">
        <f t="shared" si="163"/>
        <v>0</v>
      </c>
      <c r="P154" s="43">
        <f t="shared" si="164"/>
        <v>0</v>
      </c>
      <c r="Q154" s="43">
        <f>MROUND(IF(AND(J154 = "", L154 = ""), I154 * recipe03DayScale, IF(ISNA(CONVERT(O154, "kg", L154)), CONVERT(P154 * recipe03DayScale, "l", L154), CONVERT(O154 * recipe03DayScale, "kg", L154))), roundTo)</f>
        <v>3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3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9"/>
        <v>3</v>
      </c>
      <c r="C155" s="35" t="str">
        <f t="shared" si="160"/>
        <v/>
      </c>
      <c r="D155" s="36" t="str">
        <f>_xlfn.CONCAT(K155, U155)</f>
        <v>bay leaves</v>
      </c>
      <c r="I155" s="50">
        <v>5</v>
      </c>
      <c r="J155" s="51"/>
      <c r="K155" s="51" t="s">
        <v>79</v>
      </c>
      <c r="L155" s="52"/>
      <c r="M155" s="43">
        <f t="shared" si="161"/>
        <v>0</v>
      </c>
      <c r="N155" s="43">
        <f t="shared" si="162"/>
        <v>0</v>
      </c>
      <c r="O155" s="43">
        <f t="shared" si="163"/>
        <v>0</v>
      </c>
      <c r="P155" s="43">
        <f t="shared" si="164"/>
        <v>0</v>
      </c>
      <c r="Q155" s="43">
        <f>MROUND(IF(AND(J155 = "", L155 = ""), I155 * recipe03DayScale, IF(ISNA(CONVERT(O155, "kg", L155)), CONVERT(P155 * recipe03DayScale, "l", L155), CONVERT(O155 * recipe03DayScale, "kg", L155))), roundTo)</f>
        <v>3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3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16"/>
      <c r="B156" s="116"/>
      <c r="C156" s="116"/>
      <c r="D156" s="116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16" t="s">
        <v>228</v>
      </c>
      <c r="B157" s="116"/>
      <c r="C157" s="116"/>
      <c r="D157" s="116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25.25</v>
      </c>
      <c r="C158" s="35" t="str">
        <f t="shared" si="160"/>
        <v>cup</v>
      </c>
      <c r="D158" s="84" t="str">
        <f>_xlfn.CONCAT(K158, U158)</f>
        <v>sliced silverbeet leaves</v>
      </c>
      <c r="I158" s="50">
        <v>1.5</v>
      </c>
      <c r="J158" s="51" t="s">
        <v>12</v>
      </c>
      <c r="K158" s="51" t="s">
        <v>98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MROUND(IF(AND(J158 = "", L158 = ""), I158 * recipe03DayScale, IF(ISNA(CONVERT(O158, "kg", L158)), CONVERT(P158 * recipe03DayScale, "l", L158), CONVERT(O158 * recipe03DayScale, "kg", L158))), roundTo)</f>
        <v>25.25</v>
      </c>
      <c r="R158" s="43">
        <f>recipe03TotScale * IF(L158 = "", Q158 * M158, IF(ISNA(CONVERT(Q158, L158, "kg")), CONVERT(Q158, L158, "l") * IF(N158 &lt;&gt; 0, M158 / N158, 0), CONVERT(Q158, L158, "kg")))</f>
        <v>0.92594721060187501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25.25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16"/>
      <c r="B159" s="116"/>
      <c r="C159" s="116"/>
      <c r="D159" s="116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16" t="s">
        <v>229</v>
      </c>
      <c r="B160" s="116"/>
      <c r="C160" s="116"/>
      <c r="D160" s="116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16"/>
      <c r="B161" s="116"/>
      <c r="C161" s="116"/>
      <c r="D161" s="116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16" t="s">
        <v>245</v>
      </c>
      <c r="B162" s="116"/>
      <c r="C162" s="116"/>
      <c r="D162" s="116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195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70</v>
      </c>
      <c r="L164" s="40"/>
      <c r="M164" s="40"/>
      <c r="N164" s="40"/>
      <c r="O164" s="40"/>
      <c r="P164" s="40"/>
      <c r="U164" s="40" t="s">
        <v>195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7" t="s">
        <v>30</v>
      </c>
      <c r="B165" s="117"/>
      <c r="C165" s="117"/>
      <c r="D165" s="117"/>
      <c r="E165" s="39" t="s">
        <v>125</v>
      </c>
      <c r="F165" s="85" t="s">
        <v>153</v>
      </c>
      <c r="G165" s="85"/>
    </row>
    <row r="166" spans="1:30" ht="24" x14ac:dyDescent="0.2">
      <c r="A166" s="117" t="s">
        <v>42</v>
      </c>
      <c r="B166" s="117"/>
      <c r="C166" s="117"/>
      <c r="D166" s="117"/>
      <c r="E166" s="38" t="s">
        <v>53</v>
      </c>
      <c r="F166" s="74">
        <v>16</v>
      </c>
      <c r="G166" s="43"/>
      <c r="I166" s="65" t="s">
        <v>395</v>
      </c>
      <c r="J166" s="66" t="s">
        <v>396</v>
      </c>
      <c r="K166" s="66" t="s">
        <v>17</v>
      </c>
      <c r="L166" s="67" t="s">
        <v>399</v>
      </c>
      <c r="M166" s="65" t="s">
        <v>132</v>
      </c>
      <c r="N166" s="65" t="s">
        <v>133</v>
      </c>
      <c r="O166" s="65" t="s">
        <v>397</v>
      </c>
      <c r="P166" s="65" t="s">
        <v>398</v>
      </c>
      <c r="Q166" s="66" t="s">
        <v>314</v>
      </c>
      <c r="R166" s="65" t="s">
        <v>315</v>
      </c>
      <c r="S166" s="65" t="s">
        <v>316</v>
      </c>
      <c r="T166" s="65" t="s">
        <v>317</v>
      </c>
      <c r="U166" s="66" t="s">
        <v>22</v>
      </c>
      <c r="V166" s="66" t="s">
        <v>191</v>
      </c>
      <c r="W166" s="68" t="s">
        <v>314</v>
      </c>
      <c r="X166" s="66" t="s">
        <v>189</v>
      </c>
      <c r="Y166" s="66" t="s">
        <v>190</v>
      </c>
      <c r="Z166" s="66" t="s">
        <v>289</v>
      </c>
      <c r="AA166" s="66" t="s">
        <v>192</v>
      </c>
      <c r="AB166" s="68" t="s">
        <v>314</v>
      </c>
      <c r="AC166" s="66" t="s">
        <v>193</v>
      </c>
      <c r="AD166" s="66" t="s">
        <v>194</v>
      </c>
    </row>
    <row r="167" spans="1:30" ht="13.5" thickBot="1" x14ac:dyDescent="0.3">
      <c r="A167" s="118" t="str">
        <f>_xlfn.CONCAT(F167," servings")</f>
        <v>11 servings</v>
      </c>
      <c r="B167" s="118"/>
      <c r="C167" s="118"/>
      <c r="D167" s="118"/>
      <c r="E167" s="61" t="s">
        <v>309</v>
      </c>
      <c r="F167" s="74">
        <f>wkdyRegLunch</f>
        <v>11</v>
      </c>
      <c r="G167" s="43"/>
      <c r="I167" s="43"/>
    </row>
    <row r="168" spans="1:30" s="87" customFormat="1" ht="15.75" thickBot="1" x14ac:dyDescent="0.3">
      <c r="A168" s="116"/>
      <c r="B168" s="116"/>
      <c r="C168" s="116"/>
      <c r="D168" s="116"/>
      <c r="E168" s="61" t="s">
        <v>312</v>
      </c>
      <c r="F168" s="46">
        <f>F167/F166</f>
        <v>0.6875</v>
      </c>
      <c r="G168" s="47" t="s">
        <v>340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16" t="s">
        <v>155</v>
      </c>
      <c r="B169" s="116"/>
      <c r="C169" s="116"/>
      <c r="D169" s="116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5">IF(L170="","",L170)</f>
        <v/>
      </c>
      <c r="D170" s="36" t="str">
        <f>_xlfn.CONCAT(K170, U170)</f>
        <v>oil</v>
      </c>
      <c r="E170" s="61" t="s">
        <v>301</v>
      </c>
      <c r="F170" s="74">
        <f>wkdyRegLunch</f>
        <v>11</v>
      </c>
      <c r="G170" s="62"/>
      <c r="I170" s="43"/>
      <c r="K170" s="51" t="s">
        <v>46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6">Q171</f>
        <v>550</v>
      </c>
      <c r="C171" s="35" t="str">
        <f t="shared" ref="C171" si="167">IF(L171="","",L171)</f>
        <v>g</v>
      </c>
      <c r="D171" s="36" t="str">
        <f>_xlfn.CONCAT(K171, U171)</f>
        <v>blocks tofu, cut into cubes</v>
      </c>
      <c r="E171" s="61" t="s">
        <v>313</v>
      </c>
      <c r="F171" s="46">
        <f>F170/F167</f>
        <v>1</v>
      </c>
      <c r="G171" s="47" t="s">
        <v>341</v>
      </c>
      <c r="I171" s="57">
        <v>800</v>
      </c>
      <c r="J171" s="51" t="s">
        <v>0</v>
      </c>
      <c r="K171" s="51" t="s">
        <v>249</v>
      </c>
      <c r="L171" s="52" t="s">
        <v>0</v>
      </c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8">IF(J171 = "", I171 * M171, IF(ISNA(CONVERT(I171, J171, "kg")), CONVERT(I171, J171, "l") * IF(N171 &lt;&gt; 0, M171 / N171, 0), CONVERT(I171, J171, "kg")))</f>
        <v>0.8</v>
      </c>
      <c r="P171" s="43">
        <f t="shared" ref="P171:P172" si="169">IF(J171 = "", I171 * N171, IF(ISNA(CONVERT(I171, J171, "l")), CONVERT(I171, J171, "kg") * IF(M171 &lt;&gt; 0, N171 / M171, 0), CONVERT(I171, J171, "l")))</f>
        <v>1.2861736334405145</v>
      </c>
      <c r="Q171" s="43">
        <f>MROUND(IF(AND(J171 = "", L171 = ""), I171 * recipe10DayScale, IF(ISNA(CONVERT(O171, "kg", L171)), CONVERT(P171 * recipe10DayScale, "l", L171), CONVERT(O171 * recipe10DayScale, "kg", L171))), roundTo)</f>
        <v>550</v>
      </c>
      <c r="R171" s="43">
        <f>recipe10TotScale * IF(L171 = "", Q171 * M171, IF(ISNA(CONVERT(Q171, L171, "kg")), CONVERT(Q171, L171, "l") * IF(N171 &lt;&gt; 0, M171 / N171, 0), CONVERT(Q171, L171, "kg")))</f>
        <v>0.55000000000000004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550</v>
      </c>
      <c r="X171" s="54" t="str">
        <f>IF(V171, IF(L171 = "", "", L171), "")</f>
        <v>g</v>
      </c>
      <c r="Y171" s="54" t="str">
        <f>IF(V171, K171, "")</f>
        <v>blocks tofu, cut into cubes</v>
      </c>
      <c r="Z171" s="55" t="s">
        <v>251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70">Q172</f>
        <v>3.25</v>
      </c>
      <c r="C172" s="35" t="str">
        <f t="shared" ref="C172" si="171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154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8"/>
        <v>0</v>
      </c>
      <c r="P172" s="43">
        <f t="shared" si="169"/>
        <v>7.0976470949999995E-2</v>
      </c>
      <c r="Q172" s="43">
        <f>MROUND(IF(AND(J172 = "", L172 = ""), I172 * recipe10DayScale, IF(ISNA(CONVERT(O172, "kg", L172)), CONVERT(P172 * recipe10DayScale, "l", L172), CONVERT(O172 * recipe10DayScale, "kg", L172))), roundTo)</f>
        <v>3.25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4.8056985539062499E-2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16"/>
      <c r="B173" s="116"/>
      <c r="C173" s="116"/>
      <c r="D173" s="116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16" t="s">
        <v>163</v>
      </c>
      <c r="B174" s="116"/>
      <c r="C174" s="116"/>
      <c r="D174" s="116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72">Q175</f>
        <v>7</v>
      </c>
      <c r="C175" s="35" t="str">
        <f t="shared" ref="C175" si="173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156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4">IF(J175 = "", I175 * M175, IF(ISNA(CONVERT(I175, J175, "kg")), CONVERT(I175, J175, "l") * IF(N175 &lt;&gt; 0, M175 / N175, 0), CONVERT(I175, J175, "kg")))</f>
        <v>0</v>
      </c>
      <c r="P175" s="43">
        <f t="shared" ref="P175:P179" si="175">IF(J175 = "", I175 * N175, IF(ISNA(CONVERT(I175, J175, "l")), CONVERT(I175, J175, "kg") * IF(M175 &lt;&gt; 0, N175 / M175, 0), CONVERT(I175, J175, "l")))</f>
        <v>0.1478676478125</v>
      </c>
      <c r="Q175" s="43">
        <f>MROUND(IF(AND(J175 = "", L175 = ""), I175 * recipe10DayScale, IF(ISNA(CONVERT(O175, "kg", L175)), CONVERT(P175 * recipe10DayScale, "l", L175), CONVERT(O175 * recipe10DayScale, "kg", L175))), roundTo)</f>
        <v>7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0.10350735346874999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6">Q176</f>
        <v>2</v>
      </c>
      <c r="C176" s="35" t="str">
        <f t="shared" ref="C176:C177" si="177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157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4"/>
        <v>0</v>
      </c>
      <c r="P176" s="43">
        <f t="shared" si="175"/>
        <v>4.4360294343749995E-2</v>
      </c>
      <c r="Q176" s="43">
        <f>MROUND(IF(AND(J176 = "", L176 = ""), I176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6"/>
        <v>2.75</v>
      </c>
      <c r="C177" s="35" t="str">
        <f t="shared" si="177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4"/>
        <v>0.74</v>
      </c>
      <c r="P177" s="43">
        <f t="shared" si="175"/>
        <v>1.2</v>
      </c>
      <c r="Q177" s="43">
        <f>MROUND(IF(AND(J177 = "", L177 = ""), I177 * recipe10DayScale, IF(ISNA(CONVERT(O177, "kg", L177)), CONVERT(P177 * recipe10DayScale, "l", L177), CONVERT(O177 * recipe10DayScale, "kg", L177))), roundTo)</f>
        <v>2.75</v>
      </c>
      <c r="R177" s="43">
        <f>recipe10TotScale * IF(L177 = "", Q177 * M177, IF(ISNA(CONVERT(Q177, L177, "kg")), CONVERT(Q177, L177, "l") * IF(N177 &lt;&gt; 0, M177 / N177, 0), CONVERT(Q177, L177, "kg")))</f>
        <v>0.50875000000000004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2.75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8">Q178</f>
        <v>3.5</v>
      </c>
      <c r="C178" s="35" t="str">
        <f t="shared" ref="C178" si="179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210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4"/>
        <v>0</v>
      </c>
      <c r="P178" s="43">
        <f t="shared" si="175"/>
        <v>7.3933823906250001E-2</v>
      </c>
      <c r="Q178" s="43">
        <f>MROUND(IF(AND(J178 = "", L178 = ""), I178 * recipe10DayScale, IF(ISNA(CONVERT(O178, "kg", L178)), CONVERT(P178 * recipe10DayScale, "l", L178), CONVERT(O178 * recipe10DayScale, "kg", L178))), roundTo)</f>
        <v>3.5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5.1753676734374997E-2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80">Q179</f>
        <v>0.75</v>
      </c>
      <c r="C179" s="35" t="str">
        <f t="shared" ref="C179" si="181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150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4"/>
        <v>0</v>
      </c>
      <c r="P179" s="43">
        <f t="shared" si="175"/>
        <v>0</v>
      </c>
      <c r="Q179" s="43">
        <f>MROUND(IF(AND(J179 = "", L179 = ""), I179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16"/>
      <c r="B180" s="116"/>
      <c r="C180" s="116"/>
      <c r="D180" s="116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16" t="s">
        <v>164</v>
      </c>
      <c r="B181" s="116"/>
      <c r="C181" s="116"/>
      <c r="D181" s="116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82">Q182</f>
        <v>0.25</v>
      </c>
      <c r="C182" s="35" t="str">
        <f t="shared" ref="C182:C183" si="183">IF(L182="","",L182)</f>
        <v>l</v>
      </c>
      <c r="D182" s="36" t="str">
        <f>_xlfn.CONCAT(K182, U182)</f>
        <v>water</v>
      </c>
      <c r="I182" s="57">
        <v>0.5</v>
      </c>
      <c r="J182" s="51" t="s">
        <v>54</v>
      </c>
      <c r="K182" s="51" t="s">
        <v>47</v>
      </c>
      <c r="L182" s="52" t="s">
        <v>54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4">IF(J182 = "", I182 * M182, IF(ISNA(CONVERT(I182, J182, "kg")), CONVERT(I182, J182, "l") * IF(N182 &lt;&gt; 0, M182 / N182, 0), CONVERT(I182, J182, "kg")))</f>
        <v>0.5</v>
      </c>
      <c r="P182" s="43">
        <f t="shared" ref="P182:P186" si="185">IF(J182 = "", I182 * N182, IF(ISNA(CONVERT(I182, J182, "l")), CONVERT(I182, J182, "kg") * IF(M182 &lt;&gt; 0, N182 / M182, 0), CONVERT(I182, J182, "l")))</f>
        <v>0.5</v>
      </c>
      <c r="Q182" s="43">
        <f>MROUND(IF(AND(J182 = "", L182 = ""), I182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82"/>
        <v>1.25</v>
      </c>
      <c r="C183" s="35" t="str">
        <f t="shared" si="183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491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4"/>
        <v>0.51870000000000005</v>
      </c>
      <c r="P183" s="43">
        <f t="shared" si="185"/>
        <v>2.09</v>
      </c>
      <c r="Q183" s="43">
        <f>MROUND(IF(AND(J183 = "", L183 = ""), I183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6">Q184</f>
        <v>2.75</v>
      </c>
      <c r="C184" s="35" t="str">
        <f t="shared" ref="C184:C185" si="187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159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4"/>
        <v>0.754</v>
      </c>
      <c r="P184" s="43">
        <f t="shared" si="185"/>
        <v>1</v>
      </c>
      <c r="Q184" s="43">
        <f>MROUND(IF(AND(J184 = "", L184 = ""), I184 * recipe10DayScale, IF(ISNA(CONVERT(O184, "kg", L184)), CONVERT(P184 * recipe10DayScale, "l", L184), CONVERT(O184 * recipe10DayScale, "kg", L184))), roundTo)</f>
        <v>2.75</v>
      </c>
      <c r="R184" s="43">
        <f>recipe10TotScale * IF(L184 = "", Q184 * M184, IF(ISNA(CONVERT(Q184, L184, "kg")), CONVERT(Q184, L184, "l") * IF(N184 &lt;&gt; 0, M184 / N184, 0), CONVERT(Q184, L184, "kg")))</f>
        <v>0.51837500000000003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2.75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6"/>
        <v>7</v>
      </c>
      <c r="C185" s="35" t="str">
        <f t="shared" si="187"/>
        <v/>
      </c>
      <c r="D185" s="36" t="str">
        <f>_xlfn.CONCAT(K185, U185)</f>
        <v>sliced celery stalks</v>
      </c>
      <c r="I185" s="57">
        <v>10</v>
      </c>
      <c r="J185" s="51"/>
      <c r="K185" s="51" t="s">
        <v>160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4"/>
        <v>1</v>
      </c>
      <c r="P185" s="43">
        <f t="shared" si="185"/>
        <v>2</v>
      </c>
      <c r="Q185" s="43">
        <f>MROUND(IF(AND(J185 = "", L185 = ""), I185 * recipe10DayScale, IF(ISNA(CONVERT(O185, "kg", L185)), CONVERT(P185 * recipe10DayScale, "l", L185), CONVERT(O185 * recipe10DayScale, "kg", L185))), roundTo)</f>
        <v>7</v>
      </c>
      <c r="R185" s="43">
        <f>recipe10TotScale * IF(L185 = "", Q185 * M185, IF(ISNA(CONVERT(Q185, L185, "kg")), CONVERT(Q185, L185, "l") * IF(N185 &lt;&gt; 0, M185 / N185, 0), CONVERT(Q185, L185, "kg")))</f>
        <v>0.70000000000000007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7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8">Q186</f>
        <v>4.25</v>
      </c>
      <c r="C186" s="35" t="str">
        <f t="shared" ref="C186" si="189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404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4"/>
        <v>0</v>
      </c>
      <c r="P186" s="43">
        <f t="shared" si="185"/>
        <v>0</v>
      </c>
      <c r="Q186" s="43">
        <f>MROUND(IF(AND(J186 = "", L186 = ""), I186 * recipe10DayScale, IF(ISNA(CONVERT(O186, "kg", L186)), CONVERT(P186 * recipe10DayScale, "l", L186), CONVERT(O186 * recipe10DayScale, "kg", L186))), roundTo)</f>
        <v>4.25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4.25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16"/>
      <c r="B187" s="116"/>
      <c r="C187" s="116"/>
      <c r="D187" s="116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16" t="s">
        <v>144</v>
      </c>
      <c r="B188" s="116"/>
      <c r="C188" s="116"/>
      <c r="D188" s="116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90">Q189</f>
        <v>3.25</v>
      </c>
      <c r="C189" s="35" t="str">
        <f t="shared" ref="C189" si="191">IF(L189="","",L189)</f>
        <v/>
      </c>
      <c r="D189" s="99" t="str">
        <f>_xlfn.CONCAT(K189, U189)</f>
        <v>juiced lemons</v>
      </c>
      <c r="I189" s="57">
        <v>4.75</v>
      </c>
      <c r="J189" s="51"/>
      <c r="K189" s="51" t="s">
        <v>344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92">IF(J189 = "", I189 * M189, IF(ISNA(CONVERT(I189, J189, "kg")), CONVERT(I189, J189, "l") * IF(N189 &lt;&gt; 0, M189 / N189, 0), CONVERT(I189, J189, "kg")))</f>
        <v>0</v>
      </c>
      <c r="P189" s="43">
        <f t="shared" ref="P189:P191" si="193">IF(J189 = "", I189 * N189, IF(ISNA(CONVERT(I189, J189, "l")), CONVERT(I189, J189, "kg") * IF(M189 &lt;&gt; 0, N189 / M189, 0), CONVERT(I189, J189, "l")))</f>
        <v>0</v>
      </c>
      <c r="Q189" s="43">
        <f>MROUND(IF(AND(J189 = "", L189 = ""), I189 * recipe10DayScale, IF(ISNA(CONVERT(O189, "kg", L189)), CONVERT(P189 * recipe10DayScale, "l", L189), CONVERT(O189 * recipe10DayScale, "kg", L189))), roundTo)</f>
        <v>3.25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3.25</v>
      </c>
      <c r="V189" s="40" t="b">
        <f>INDEX(itemPrepMethods, MATCH(K189, itemNames, 0))="chop"</f>
        <v>1</v>
      </c>
      <c r="W189" s="53">
        <f>IF(V189, Q189, "")</f>
        <v>3.25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4">Q190</f>
        <v>825</v>
      </c>
      <c r="C190" s="35" t="str">
        <f t="shared" ref="C190" si="195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478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92"/>
        <v>1.2</v>
      </c>
      <c r="P190" s="43">
        <f t="shared" si="193"/>
        <v>0</v>
      </c>
      <c r="Q190" s="43">
        <f>MROUND(IF(AND(J190 = "", L190 = ""), I190 * recipe10DayScale, IF(ISNA(CONVERT(O190, "kg", L190)), CONVERT(P190 * recipe10DayScale, "l", L190), CONVERT(O190 * recipe10DayScale, "kg", L190))), roundTo)</f>
        <v>825</v>
      </c>
      <c r="R190" s="43">
        <f>recipe10TotScale * IF(L190 = "", Q190 * M190, IF(ISNA(CONVERT(Q190, L190, "kg")), CONVERT(Q190, L190, "l") * IF(N190 &lt;&gt; 0, M190 / N190, 0), CONVERT(Q190, L190, "kg")))</f>
        <v>0.82500000000000007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6">Q191</f>
        <v>1.25</v>
      </c>
      <c r="C191" s="35" t="str">
        <f t="shared" ref="C191" si="197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408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92"/>
        <v>0</v>
      </c>
      <c r="P191" s="43">
        <f t="shared" si="193"/>
        <v>0</v>
      </c>
      <c r="Q191" s="43">
        <f>MROUND(IF(AND(J191 = "", L191 = ""), I191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16"/>
      <c r="B192" s="116"/>
      <c r="C192" s="116"/>
      <c r="D192" s="116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16" t="s">
        <v>281</v>
      </c>
      <c r="B193" s="116"/>
      <c r="C193" s="116"/>
      <c r="D193" s="116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16"/>
      <c r="B194" s="116"/>
      <c r="C194" s="116"/>
      <c r="D194" s="116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16" t="s">
        <v>165</v>
      </c>
      <c r="B195" s="116"/>
      <c r="C195" s="116"/>
      <c r="D195" s="116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8">Q196</f>
        <v>2</v>
      </c>
      <c r="C196" s="35" t="str">
        <f t="shared" ref="C196:C198" si="199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166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MROUND(IF(AND(J196 = "", L196 = ""), I196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9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112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9"/>
        <v/>
      </c>
      <c r="D198" s="36" t="str">
        <f>_xlfn.CONCAT(K198, U198)</f>
        <v>sprigs fresh corriander, for garnish</v>
      </c>
      <c r="I198" s="58"/>
      <c r="J198" s="56"/>
      <c r="K198" s="51" t="s">
        <v>76</v>
      </c>
      <c r="L198" s="56"/>
      <c r="M198" s="56"/>
      <c r="N198" s="56"/>
      <c r="O198" s="56"/>
      <c r="P198" s="56"/>
      <c r="U198" s="40" t="s">
        <v>197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7" t="s">
        <v>29</v>
      </c>
      <c r="B199" s="117"/>
      <c r="C199" s="117"/>
      <c r="D199" s="117"/>
      <c r="E199" s="39" t="s">
        <v>120</v>
      </c>
      <c r="F199" s="85" t="s">
        <v>72</v>
      </c>
      <c r="G199" s="85"/>
      <c r="H199" s="43"/>
    </row>
    <row r="200" spans="1:30" ht="24" x14ac:dyDescent="0.2">
      <c r="A200" s="117" t="s">
        <v>238</v>
      </c>
      <c r="B200" s="117"/>
      <c r="C200" s="117"/>
      <c r="D200" s="117"/>
      <c r="E200" s="38" t="s">
        <v>53</v>
      </c>
      <c r="F200" s="74">
        <v>15</v>
      </c>
      <c r="G200" s="43"/>
      <c r="H200" s="43"/>
      <c r="I200" s="65" t="s">
        <v>395</v>
      </c>
      <c r="J200" s="66" t="s">
        <v>396</v>
      </c>
      <c r="K200" s="66" t="s">
        <v>17</v>
      </c>
      <c r="L200" s="67" t="s">
        <v>399</v>
      </c>
      <c r="M200" s="65" t="s">
        <v>132</v>
      </c>
      <c r="N200" s="65" t="s">
        <v>133</v>
      </c>
      <c r="O200" s="65" t="s">
        <v>397</v>
      </c>
      <c r="P200" s="65" t="s">
        <v>398</v>
      </c>
      <c r="Q200" s="66" t="s">
        <v>314</v>
      </c>
      <c r="R200" s="65" t="s">
        <v>315</v>
      </c>
      <c r="S200" s="65" t="s">
        <v>316</v>
      </c>
      <c r="T200" s="65" t="s">
        <v>317</v>
      </c>
      <c r="U200" s="66" t="s">
        <v>22</v>
      </c>
      <c r="V200" s="66" t="s">
        <v>191</v>
      </c>
      <c r="W200" s="68" t="s">
        <v>314</v>
      </c>
      <c r="X200" s="66" t="s">
        <v>189</v>
      </c>
      <c r="Y200" s="66" t="s">
        <v>190</v>
      </c>
      <c r="Z200" s="66" t="s">
        <v>289</v>
      </c>
      <c r="AA200" s="66" t="s">
        <v>192</v>
      </c>
      <c r="AB200" s="68" t="s">
        <v>314</v>
      </c>
      <c r="AC200" s="66" t="s">
        <v>193</v>
      </c>
      <c r="AD200" s="66" t="s">
        <v>194</v>
      </c>
    </row>
    <row r="201" spans="1:30" ht="13.5" thickBot="1" x14ac:dyDescent="0.3">
      <c r="A201" s="118" t="str">
        <f>_xlfn.CONCAT(F201," servings")</f>
        <v>11 servings</v>
      </c>
      <c r="B201" s="118"/>
      <c r="C201" s="118"/>
      <c r="D201" s="118"/>
      <c r="E201" s="61" t="s">
        <v>309</v>
      </c>
      <c r="F201" s="74">
        <f>wkdyRegDinner</f>
        <v>11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7" customFormat="1" ht="15.75" thickBot="1" x14ac:dyDescent="0.3">
      <c r="A202" s="116"/>
      <c r="B202" s="116"/>
      <c r="C202" s="116"/>
      <c r="D202" s="116"/>
      <c r="E202" s="61" t="s">
        <v>312</v>
      </c>
      <c r="F202" s="46">
        <f>F201/F200</f>
        <v>0.73333333333333328</v>
      </c>
      <c r="G202" s="47" t="s">
        <v>330</v>
      </c>
      <c r="H202" s="43"/>
      <c r="I202" s="58"/>
      <c r="J202" s="85"/>
      <c r="K202" s="85"/>
      <c r="L202" s="59"/>
      <c r="M202" s="58"/>
      <c r="N202" s="58"/>
      <c r="O202" s="58"/>
      <c r="P202" s="58"/>
      <c r="Q202" s="85"/>
      <c r="R202" s="58"/>
      <c r="S202" s="58"/>
      <c r="T202" s="58"/>
      <c r="U202" s="85"/>
      <c r="V202" s="85"/>
      <c r="W202" s="86"/>
      <c r="X202" s="85"/>
      <c r="Y202" s="85"/>
      <c r="Z202" s="37"/>
      <c r="AA202" s="85"/>
      <c r="AB202" s="85"/>
      <c r="AC202" s="85"/>
      <c r="AD202" s="85"/>
    </row>
    <row r="203" spans="1:30" x14ac:dyDescent="0.25">
      <c r="A203" s="116" t="s">
        <v>239</v>
      </c>
      <c r="B203" s="116"/>
      <c r="C203" s="116"/>
      <c r="D203" s="116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3.25</v>
      </c>
      <c r="C204" s="35" t="str">
        <f>IF(L204="","",L204)</f>
        <v>l</v>
      </c>
      <c r="D204" s="36" t="str">
        <f>_xlfn.CONCAT(K204, U204)</f>
        <v>vegetable stock</v>
      </c>
      <c r="E204" s="61" t="s">
        <v>301</v>
      </c>
      <c r="F204" s="74">
        <f>wkdyRegDinner</f>
        <v>11</v>
      </c>
      <c r="G204" s="62"/>
      <c r="I204" s="50">
        <v>4.5</v>
      </c>
      <c r="J204" s="51" t="s">
        <v>54</v>
      </c>
      <c r="K204" s="51" t="s">
        <v>55</v>
      </c>
      <c r="L204" s="52" t="s">
        <v>54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MROUND(IF(AND(J204 = "", L204 = ""), I204 * recipe05DayScale, IF(ISNA(CONVERT(O204, "kg", L204)), CONVERT(P204 * recipe05DayScale, "l", L204), CONVERT(O204 * recipe05DayScale, "kg", L204))), roundTo)</f>
        <v>3.25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3.25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0"/>
      <c r="B205" s="120"/>
      <c r="C205" s="120"/>
      <c r="D205" s="120"/>
      <c r="E205" s="61" t="s">
        <v>313</v>
      </c>
      <c r="F205" s="46">
        <f>F204/F201</f>
        <v>1</v>
      </c>
      <c r="G205" s="47" t="s">
        <v>331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16" t="s">
        <v>108</v>
      </c>
      <c r="B206" s="116"/>
      <c r="C206" s="116"/>
      <c r="D206" s="116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200">Q207</f>
        <v>21.5</v>
      </c>
      <c r="C207" s="35" t="str">
        <f t="shared" ref="C207:C231" si="201">IF(L207="","",L207)</f>
        <v>cup</v>
      </c>
      <c r="D207" s="108" t="str">
        <f>_xlfn.CONCAT(K207, U207)</f>
        <v>chopped kumara</v>
      </c>
      <c r="I207" s="50">
        <v>12</v>
      </c>
      <c r="J207" s="51"/>
      <c r="K207" s="51" t="s">
        <v>142</v>
      </c>
      <c r="L207" s="52" t="s">
        <v>16</v>
      </c>
      <c r="M207" s="43">
        <f t="shared" ref="M207:M222" si="202">INDEX(itemGPerQty, MATCH(K207, itemNames, 0))</f>
        <v>0.30149999999999999</v>
      </c>
      <c r="N207" s="43">
        <f t="shared" ref="N207:N222" si="203">INDEX(itemMlPerQty, MATCH(K207, itemNames, 0))</f>
        <v>0.57499999999999996</v>
      </c>
      <c r="O207" s="43">
        <f t="shared" ref="O207:O222" si="204">IF(J207 = "", I207 * M207, IF(ISNA(CONVERT(I207, J207, "kg")), CONVERT(I207, J207, "l") * IF(N207 &lt;&gt; 0, M207 / N207, 0), CONVERT(I207, J207, "kg")))</f>
        <v>3.6179999999999999</v>
      </c>
      <c r="P207" s="43">
        <f t="shared" ref="P207:P222" si="205">IF(J207 = "", I207 * N207, IF(ISNA(CONVERT(I207, J207, "l")), CONVERT(I207, J207, "kg") * IF(M207 &lt;&gt; 0, N207 / M207, 0), CONVERT(I207, J207, "l")))</f>
        <v>6.8999999999999995</v>
      </c>
      <c r="Q207" s="43">
        <f>MROUND(IF(AND(J207 = "", L207 = ""), I207 * recipe05DayScale, IF(ISNA(CONVERT(O207, "kg", L207)), CONVERT(P207 * recipe05DayScale, "l", L207), CONVERT(O207 * recipe05DayScale, "kg", L207))), roundTo)</f>
        <v>21.5</v>
      </c>
      <c r="R207" s="43">
        <f>recipe05TotScale * IF(L207 = "", Q207 * M207, IF(ISNA(CONVERT(Q207, L207, "kg")), CONVERT(Q207, L207, "l") * IF(N207 &lt;&gt; 0, M207 / N207, 0), CONVERT(Q207, L207, "kg")))</f>
        <v>2.6671723409602173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21.5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200"/>
        <v>7.5</v>
      </c>
      <c r="C208" s="35" t="str">
        <f t="shared" si="201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202"/>
        <v>0.14833333333333334</v>
      </c>
      <c r="N208" s="43">
        <f t="shared" si="203"/>
        <v>0.19999999999999998</v>
      </c>
      <c r="O208" s="43">
        <f t="shared" si="204"/>
        <v>1.7800000000000002</v>
      </c>
      <c r="P208" s="43">
        <f t="shared" si="205"/>
        <v>2.4</v>
      </c>
      <c r="Q208" s="43">
        <f>MROUND(IF(AND(J208 = "", L208 = ""), I208 * recipe05DayScale, IF(ISNA(CONVERT(O208, "kg", L208)), CONVERT(P208 * recipe05DayScale, "l", L208), CONVERT(O208 * recipe05DayScale, "kg", L208))), roundTo)</f>
        <v>7.5</v>
      </c>
      <c r="R208" s="43">
        <f>recipe05TotScale * IF(L208 = "", Q208 * M208, IF(ISNA(CONVERT(Q208, L208, "kg")), CONVERT(Q208, L208, "l") * IF(N208 &lt;&gt; 0, M208 / N208, 0), CONVERT(Q208, L208, "kg")))</f>
        <v>1.3160220655312502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7.5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47</v>
      </c>
      <c r="L209" s="40"/>
      <c r="M209" s="40"/>
      <c r="N209" s="40"/>
      <c r="O209" s="40"/>
      <c r="P209" s="40"/>
      <c r="U209" s="40" t="s">
        <v>240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0"/>
      <c r="B210" s="120"/>
      <c r="C210" s="120"/>
      <c r="D210" s="12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16" t="s">
        <v>241</v>
      </c>
      <c r="B211" s="116"/>
      <c r="C211" s="116"/>
      <c r="D211" s="116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0"/>
      <c r="B212" s="120"/>
      <c r="C212" s="120"/>
      <c r="D212" s="12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16" t="s">
        <v>248</v>
      </c>
      <c r="B213" s="116"/>
      <c r="C213" s="116"/>
      <c r="D213" s="116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0"/>
      <c r="B214" s="120"/>
      <c r="C214" s="120"/>
      <c r="D214" s="12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16" t="s">
        <v>242</v>
      </c>
      <c r="B215" s="116"/>
      <c r="C215" s="116"/>
      <c r="D215" s="116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200"/>
        <v>2.25</v>
      </c>
      <c r="C216" s="35" t="str">
        <f t="shared" si="201"/>
        <v/>
      </c>
      <c r="D216" s="36" t="str">
        <f>_xlfn.CONCAT(K216, U216)</f>
        <v>tinned creamed corn</v>
      </c>
      <c r="I216" s="50">
        <v>3</v>
      </c>
      <c r="J216" s="51"/>
      <c r="K216" s="51" t="s">
        <v>410</v>
      </c>
      <c r="L216" s="52"/>
      <c r="M216" s="43">
        <f t="shared" si="202"/>
        <v>0</v>
      </c>
      <c r="N216" s="43">
        <f t="shared" si="203"/>
        <v>0</v>
      </c>
      <c r="O216" s="43">
        <f t="shared" si="204"/>
        <v>0</v>
      </c>
      <c r="P216" s="43">
        <f t="shared" si="205"/>
        <v>0</v>
      </c>
      <c r="Q216" s="43">
        <f>MROUND(IF(AND(J216 = "", L216 = ""), I216 * recipe05DayScale, IF(ISNA(CONVERT(O216, "kg", L216)), CONVERT(P216 * recipe05DayScale, "l", L216), CONVERT(O216 * recipe05DayScale, "kg", L216))), roundTo)</f>
        <v>2.25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2.25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200"/>
        <v>5.75</v>
      </c>
      <c r="C217" s="35" t="str">
        <f t="shared" si="201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65</v>
      </c>
      <c r="L217" s="52" t="s">
        <v>15</v>
      </c>
      <c r="M217" s="43">
        <f t="shared" si="202"/>
        <v>0</v>
      </c>
      <c r="N217" s="43">
        <f t="shared" si="203"/>
        <v>0</v>
      </c>
      <c r="O217" s="43">
        <f t="shared" si="204"/>
        <v>0</v>
      </c>
      <c r="P217" s="43">
        <f t="shared" si="205"/>
        <v>0.11829411825</v>
      </c>
      <c r="Q217" s="43">
        <f>MROUND(IF(AND(J217 = "", L217 = ""), I217 * recipe05DayScale, IF(ISNA(CONVERT(O217, "kg", L217)), CONVERT(P217 * recipe05DayScale, "l", L217), CONVERT(O217 * recipe05DayScale, "kg", L217))), roundTo)</f>
        <v>5.75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8.50238974921875E-2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67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MROUND(IF(AND(J218 = "", L218 = ""), I218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0"/>
      <c r="B219" s="120"/>
      <c r="C219" s="120"/>
      <c r="D219" s="12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16" t="s">
        <v>243</v>
      </c>
      <c r="B220" s="116"/>
      <c r="C220" s="116"/>
      <c r="D220" s="116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4.5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MROUND(IF(AND(J221 = "", L221 = ""), I221 * recipe05DayScale, IF(ISNA(CONVERT(O221, "kg", L221)), CONVERT(P221 * recipe05DayScale, "l", L221), CONVERT(O221 * recipe05DayScale, "kg", L221))), roundTo)</f>
        <v>4.5</v>
      </c>
      <c r="R221" s="43">
        <f>recipe05TotScale * IF(L221 = "", Q221 * M221, IF(ISNA(CONVERT(Q221, L221, "kg")), CONVERT(Q221, L221, "l") * IF(N221 &lt;&gt; 0, M221 / N221, 0), CONVERT(Q221, L221, "kg")))</f>
        <v>1.1000023394422249E-2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200"/>
        <v>4.5</v>
      </c>
      <c r="C222" s="35" t="str">
        <f t="shared" si="201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66</v>
      </c>
      <c r="L222" s="52" t="s">
        <v>15</v>
      </c>
      <c r="M222" s="43">
        <f t="shared" si="202"/>
        <v>0</v>
      </c>
      <c r="N222" s="43">
        <f t="shared" si="203"/>
        <v>0</v>
      </c>
      <c r="O222" s="43">
        <f t="shared" si="204"/>
        <v>0</v>
      </c>
      <c r="P222" s="43">
        <f t="shared" si="205"/>
        <v>8.872058868749999E-2</v>
      </c>
      <c r="Q222" s="43">
        <f>MROUND(IF(AND(J222 = "", L222 = ""), I222 * recipe05DayScale, IF(ISNA(CONVERT(O222, "kg", L222)), CONVERT(P222 * recipe05DayScale, "l", L222), CONVERT(O222 * recipe05DayScale, "kg", L222))), roundTo)</f>
        <v>4.5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6.6540441515624993E-2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16" t="s">
        <v>244</v>
      </c>
      <c r="B224" s="116"/>
      <c r="C224" s="116"/>
      <c r="D224" s="116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16" t="s">
        <v>246</v>
      </c>
      <c r="B226" s="116"/>
      <c r="C226" s="116"/>
      <c r="D226" s="116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6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195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201"/>
        <v/>
      </c>
      <c r="D228" s="36" t="str">
        <f>_xlfn.CONCAT(K228, U228)</f>
        <v>ground black pepper, to taste</v>
      </c>
      <c r="I228" s="43"/>
      <c r="K228" s="51" t="s">
        <v>70</v>
      </c>
      <c r="L228" s="40"/>
      <c r="M228" s="40"/>
      <c r="N228" s="40"/>
      <c r="O228" s="40"/>
      <c r="P228" s="40"/>
      <c r="U228" s="40" t="s">
        <v>195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16" t="s">
        <v>247</v>
      </c>
      <c r="B230" s="116"/>
      <c r="C230" s="116"/>
      <c r="D230" s="116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201"/>
        <v/>
      </c>
      <c r="D231" s="36" t="str">
        <f>_xlfn.CONCAT(K231, U231)</f>
        <v>chopped fresh chives, if available</v>
      </c>
      <c r="I231" s="43"/>
      <c r="K231" s="51" t="s">
        <v>73</v>
      </c>
      <c r="L231" s="40"/>
      <c r="M231" s="40"/>
      <c r="N231" s="40"/>
      <c r="O231" s="40"/>
      <c r="P231" s="40"/>
      <c r="U231" s="40" t="s">
        <v>217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7" t="s">
        <v>31</v>
      </c>
      <c r="B232" s="117"/>
      <c r="C232" s="117"/>
      <c r="D232" s="117"/>
      <c r="E232" s="39" t="s">
        <v>121</v>
      </c>
      <c r="F232" s="85" t="s">
        <v>84</v>
      </c>
      <c r="G232" s="85"/>
      <c r="H232" s="43"/>
    </row>
    <row r="233" spans="1:30" ht="24" x14ac:dyDescent="0.2">
      <c r="A233" s="117" t="s">
        <v>39</v>
      </c>
      <c r="B233" s="117"/>
      <c r="C233" s="117"/>
      <c r="D233" s="117"/>
      <c r="E233" s="38" t="s">
        <v>53</v>
      </c>
      <c r="F233" s="74">
        <v>14</v>
      </c>
      <c r="G233" s="43"/>
      <c r="H233" s="43"/>
      <c r="I233" s="65" t="s">
        <v>395</v>
      </c>
      <c r="J233" s="66" t="s">
        <v>396</v>
      </c>
      <c r="K233" s="66" t="s">
        <v>17</v>
      </c>
      <c r="L233" s="67" t="s">
        <v>399</v>
      </c>
      <c r="M233" s="65" t="s">
        <v>132</v>
      </c>
      <c r="N233" s="65" t="s">
        <v>133</v>
      </c>
      <c r="O233" s="65" t="s">
        <v>397</v>
      </c>
      <c r="P233" s="65" t="s">
        <v>398</v>
      </c>
      <c r="Q233" s="66" t="s">
        <v>314</v>
      </c>
      <c r="R233" s="65" t="s">
        <v>315</v>
      </c>
      <c r="S233" s="65" t="s">
        <v>316</v>
      </c>
      <c r="T233" s="65" t="s">
        <v>317</v>
      </c>
      <c r="U233" s="66" t="s">
        <v>22</v>
      </c>
      <c r="V233" s="66" t="s">
        <v>191</v>
      </c>
      <c r="W233" s="68" t="s">
        <v>314</v>
      </c>
      <c r="X233" s="66" t="s">
        <v>189</v>
      </c>
      <c r="Y233" s="66" t="s">
        <v>190</v>
      </c>
      <c r="Z233" s="66" t="s">
        <v>289</v>
      </c>
      <c r="AA233" s="66" t="s">
        <v>192</v>
      </c>
      <c r="AB233" s="68" t="s">
        <v>314</v>
      </c>
      <c r="AC233" s="66" t="s">
        <v>193</v>
      </c>
      <c r="AD233" s="66" t="s">
        <v>194</v>
      </c>
    </row>
    <row r="234" spans="1:30" ht="13.5" thickBot="1" x14ac:dyDescent="0.3">
      <c r="A234" s="118" t="str">
        <f>_xlfn.CONCAT(F234," servings")</f>
        <v>11 servings</v>
      </c>
      <c r="B234" s="118"/>
      <c r="C234" s="118"/>
      <c r="D234" s="118"/>
      <c r="E234" s="61" t="s">
        <v>309</v>
      </c>
      <c r="F234" s="74">
        <f>wkdyRegLunch</f>
        <v>11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7" customFormat="1" ht="15.75" thickBot="1" x14ac:dyDescent="0.3">
      <c r="A235" s="116"/>
      <c r="B235" s="116"/>
      <c r="C235" s="116"/>
      <c r="D235" s="116"/>
      <c r="E235" s="61" t="s">
        <v>312</v>
      </c>
      <c r="F235" s="46">
        <f>F234/F233</f>
        <v>0.7857142857142857</v>
      </c>
      <c r="G235" s="47" t="s">
        <v>332</v>
      </c>
      <c r="H235" s="43"/>
      <c r="I235" s="58"/>
      <c r="J235" s="85"/>
      <c r="K235" s="85"/>
      <c r="L235" s="59"/>
      <c r="M235" s="58"/>
      <c r="N235" s="58"/>
      <c r="O235" s="58"/>
      <c r="P235" s="58"/>
      <c r="Q235" s="85"/>
      <c r="R235" s="58"/>
      <c r="S235" s="58"/>
      <c r="T235" s="58"/>
      <c r="U235" s="85"/>
      <c r="W235" s="44"/>
      <c r="Z235" s="45"/>
    </row>
    <row r="236" spans="1:30" x14ac:dyDescent="0.25">
      <c r="A236" s="116" t="s">
        <v>107</v>
      </c>
      <c r="B236" s="116"/>
      <c r="C236" s="116"/>
      <c r="D236" s="116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7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301</v>
      </c>
      <c r="F237" s="74">
        <f>wkdyRegLunch</f>
        <v>11</v>
      </c>
      <c r="G237" s="62"/>
      <c r="I237" s="50">
        <v>3</v>
      </c>
      <c r="J237" s="51" t="s">
        <v>16</v>
      </c>
      <c r="K237" s="51" t="s">
        <v>96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8">IF(J237 = "", I237 * M237, IF(ISNA(CONVERT(I237, J237, "kg")), CONVERT(I237, J237, "l") * IF(N237 &lt;&gt; 0, M237 / N237, 0), CONVERT(I237, J237, "kg")))</f>
        <v>0</v>
      </c>
      <c r="P237" s="43">
        <f t="shared" ref="P237:P238" si="209">IF(J237 = "", I237 * N237, IF(ISNA(CONVERT(I237, J237, "l")), CONVERT(I237, J237, "kg") * IF(M237 &lt;&gt; 0, N237 / M237, 0), CONVERT(I237, J237, "l")))</f>
        <v>0.70976470949999992</v>
      </c>
      <c r="Q237" s="43">
        <f>MROUND(IF(AND(J237 = "", L237 = ""), I237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7"/>
        <v>3.25</v>
      </c>
      <c r="C238" s="35" t="str">
        <f>IF(L238="","",L238)</f>
        <v>cup</v>
      </c>
      <c r="D238" s="36" t="str">
        <f>_xlfn.CONCAT(K238, U238)</f>
        <v>hot water</v>
      </c>
      <c r="E238" s="61" t="s">
        <v>313</v>
      </c>
      <c r="F238" s="46">
        <f>F237/F234</f>
        <v>1</v>
      </c>
      <c r="G238" s="47" t="s">
        <v>333</v>
      </c>
      <c r="I238" s="50">
        <v>4</v>
      </c>
      <c r="J238" s="51" t="s">
        <v>16</v>
      </c>
      <c r="K238" s="51" t="s">
        <v>103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8"/>
        <v>0.94635294599999997</v>
      </c>
      <c r="P238" s="43">
        <f t="shared" si="209"/>
        <v>0.94635294599999997</v>
      </c>
      <c r="Q238" s="43">
        <f>MROUND(IF(AND(J238 = "", L238 = ""), I238 * recipe06DayScale, IF(ISNA(CONVERT(O238, "kg", L238)), CONVERT(P238 * recipe06DayScale, "l", L238), CONVERT(O238 * recipe06DayScale, "kg", L238))), roundTo)</f>
        <v>3.25</v>
      </c>
      <c r="R238" s="43">
        <f>recipe06TotScale * IF(L238 = "", Q238 * M238, IF(ISNA(CONVERT(Q238, L238, "kg")), CONVERT(Q238, L238, "l") * IF(N238 &lt;&gt; 0, M238 / N238, 0), CONVERT(Q238, L238, "kg")))</f>
        <v>0.76891176862499999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16"/>
      <c r="B239" s="116"/>
      <c r="C239" s="116"/>
      <c r="D239" s="116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16" t="s">
        <v>108</v>
      </c>
      <c r="B240" s="116"/>
      <c r="C240" s="116"/>
      <c r="D240" s="116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10">Q241</f>
        <v>0.5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104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11">IF(J241 = "", I241 * M241, IF(ISNA(CONVERT(I241, J241, "kg")), CONVERT(I241, J241, "l") * IF(N241 &lt;&gt; 0, M241 / N241, 0), CONVERT(I241, J241, "kg")))</f>
        <v>0</v>
      </c>
      <c r="P241" s="43">
        <f t="shared" ref="P241:P242" si="212">IF(J241 = "", I241 * N241, IF(ISNA(CONVERT(I241, J241, "l")), CONVERT(I241, J241, "kg") * IF(M241 &lt;&gt; 0, N241 / M241, 0), CONVERT(I241, J241, "l")))</f>
        <v>0.11829411825</v>
      </c>
      <c r="Q241" s="43">
        <f>MROUND(IF(AND(J241 = "", L241 = ""), I241 * recipe06DayScale, IF(ISNA(CONVERT(O241, "kg", L241)), CONVERT(P241 * recipe06DayScale, "l", L241), CONVERT(O241 * recipe06DayScale, "kg", L241))), roundTo)</f>
        <v>0.5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0.11829411825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10"/>
        <v>0.5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105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11"/>
        <v>0</v>
      </c>
      <c r="P242" s="43">
        <f t="shared" si="212"/>
        <v>0.11829411825</v>
      </c>
      <c r="Q242" s="43">
        <f>MROUND(IF(AND(J242 = "", L242 = ""), I242 * recipe06DayScale, IF(ISNA(CONVERT(O242, "kg", L242)), CONVERT(P242 * recipe06DayScale, "l", L242), CONVERT(O242 * recipe06DayScale, "kg", L242))), roundTo)</f>
        <v>0.5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0.11829411825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16"/>
      <c r="B243" s="116"/>
      <c r="C243" s="116"/>
      <c r="D243" s="116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16" t="s">
        <v>109</v>
      </c>
      <c r="B244" s="116"/>
      <c r="C244" s="116"/>
      <c r="D244" s="116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249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MROUND(IF(AND(J245 = "", L245 = ""), I245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251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16"/>
      <c r="B246" s="116"/>
      <c r="C246" s="116"/>
      <c r="D246" s="116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16" t="s">
        <v>110</v>
      </c>
      <c r="B247" s="116"/>
      <c r="C247" s="116"/>
      <c r="D247" s="116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4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MROUND(IF(AND(J248 = "", L248 = ""), I248 * recipe06DayScale, IF(ISNA(CONVERT(O248, "kg", L248)), CONVERT(P248 * recipe06DayScale, "l", L248), CONVERT(O248 * recipe06DayScale, "kg", L248))), roundTo)</f>
        <v>4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4</v>
      </c>
      <c r="U248" s="40" t="s">
        <v>222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13">Q249</f>
        <v>2.25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4">IF(J249 = "", I249 * M249, IF(ISNA(CONVERT(I249, J249, "kg")), CONVERT(I249, J249, "l") * IF(N249 &lt;&gt; 0, M249 / N249, 0), CONVERT(I249, J249, "kg")))</f>
        <v>0.50875000000000004</v>
      </c>
      <c r="P249" s="43">
        <f t="shared" ref="P249:P250" si="215">IF(J249 = "", I249 * N249, IF(ISNA(CONVERT(I249, J249, "l")), CONVERT(I249, J249, "kg") * IF(M249 &lt;&gt; 0, N249 / M249, 0), CONVERT(I249, J249, "l")))</f>
        <v>0.82499999999999996</v>
      </c>
      <c r="Q249" s="43">
        <f>MROUND(IF(AND(J249 = "", L249 = ""), I249 * recipe06DayScale, IF(ISNA(CONVERT(O249, "kg", L249)), CONVERT(P249 * recipe06DayScale, "l", L249), CONVERT(O249 * recipe06DayScale, "kg", L249))), roundTo)</f>
        <v>2.25</v>
      </c>
      <c r="R249" s="43">
        <f>recipe06TotScale * IF(L249 = "", Q249 * M249, IF(ISNA(CONVERT(Q249, L249, "kg")), CONVERT(Q249, L249, "l") * IF(N249 &lt;&gt; 0, M249 / N249, 0), CONVERT(Q249, L249, "kg")))</f>
        <v>0.41625000000000001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2.25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13"/>
        <v>0.5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210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4"/>
        <v>0</v>
      </c>
      <c r="P250" s="43">
        <f t="shared" si="215"/>
        <v>0.11829411825</v>
      </c>
      <c r="Q250" s="43">
        <f>MROUND(IF(AND(J250 = "", L250 = ""), I250 * recipe06DayScale, IF(ISNA(CONVERT(O250, "kg", L250)), CONVERT(P250 * recipe06DayScale, "l", L250), CONVERT(O250 * recipe06DayScale, "kg", L250))), roundTo)</f>
        <v>0.5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0.11829411825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16"/>
      <c r="B251" s="116"/>
      <c r="C251" s="116"/>
      <c r="D251" s="116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16" t="s">
        <v>111</v>
      </c>
      <c r="B252" s="116"/>
      <c r="C252" s="116"/>
      <c r="D252" s="116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6">Q253</f>
        <v>2.25</v>
      </c>
      <c r="C253" s="35" t="str">
        <f>IF(L253="","",L253)</f>
        <v/>
      </c>
      <c r="D253" s="36" t="str">
        <f t="shared" ref="D253:D258" si="217">_xlfn.CONCAT(K253, U253)</f>
        <v>chopped broccoli florets</v>
      </c>
      <c r="I253" s="50">
        <v>3</v>
      </c>
      <c r="J253" s="51"/>
      <c r="K253" s="51" t="s">
        <v>491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8">IF(J253 = "", I253 * M253, IF(ISNA(CONVERT(I253, J253, "kg")), CONVERT(I253, J253, "l") * IF(N253 &lt;&gt; 0, M253 / N253, 0), CONVERT(I253, J253, "kg")))</f>
        <v>0.81900000000000006</v>
      </c>
      <c r="P253" s="43">
        <f t="shared" ref="P253:P256" si="219">IF(J253 = "", I253 * N253, IF(ISNA(CONVERT(I253, J253, "l")), CONVERT(I253, J253, "kg") * IF(M253 &lt;&gt; 0, N253 / M253, 0), CONVERT(I253, J253, "l")))</f>
        <v>3.3000000000000003</v>
      </c>
      <c r="Q253" s="43">
        <f>MROUND(IF(AND(J253 = "", L253 = ""), I253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6"/>
        <v>1.5</v>
      </c>
      <c r="C254" s="35" t="str">
        <f>IF(L254="","",L254)</f>
        <v/>
      </c>
      <c r="D254" s="36" t="str">
        <f t="shared" si="217"/>
        <v>chopped cauliflowers</v>
      </c>
      <c r="I254" s="50">
        <v>2</v>
      </c>
      <c r="J254" s="51"/>
      <c r="K254" s="51" t="s">
        <v>150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8"/>
        <v>0</v>
      </c>
      <c r="P254" s="43">
        <f t="shared" si="219"/>
        <v>0</v>
      </c>
      <c r="Q254" s="43">
        <f>MROUND(IF(AND(J254 = "", L254 = ""), I254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6"/>
        <v>1.25</v>
      </c>
      <c r="C255" s="35" t="str">
        <f>IF(L255="","",L255)</f>
        <v>cup</v>
      </c>
      <c r="D255" s="36" t="str">
        <f t="shared" si="217"/>
        <v>peanuts</v>
      </c>
      <c r="I255" s="50">
        <v>1.5</v>
      </c>
      <c r="J255" s="51" t="s">
        <v>16</v>
      </c>
      <c r="K255" s="51" t="s">
        <v>106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8"/>
        <v>0</v>
      </c>
      <c r="P255" s="43">
        <f t="shared" si="219"/>
        <v>0.35488235474999996</v>
      </c>
      <c r="Q255" s="43">
        <f>MROUND(IF(AND(J255 = "", L255 = ""), I255 * recipe06DayScale, IF(ISNA(CONVERT(O255, "kg", L255)), CONVERT(P255 * recipe06DayScale, "l", L255), CONVERT(O255 * recipe06DayScale, "kg", L255))), roundTo)</f>
        <v>1.25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0.29573529562500001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6"/>
        <v>2.25</v>
      </c>
      <c r="C256" s="35" t="str">
        <f>IF(L256="","",L256)</f>
        <v>cup</v>
      </c>
      <c r="D256" s="36" t="str">
        <f t="shared" si="217"/>
        <v>tinned coconut milk</v>
      </c>
      <c r="I256" s="50">
        <v>3</v>
      </c>
      <c r="J256" s="51" t="s">
        <v>16</v>
      </c>
      <c r="K256" s="51" t="s">
        <v>409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8"/>
        <v>0</v>
      </c>
      <c r="P256" s="43">
        <f t="shared" si="219"/>
        <v>0.70976470949999992</v>
      </c>
      <c r="Q256" s="43">
        <f>MROUND(IF(AND(J256 = "", L256 = ""), I256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7"/>
        <v>grilled tofu</v>
      </c>
      <c r="I257" s="43"/>
      <c r="U257" s="40" t="s">
        <v>112</v>
      </c>
    </row>
    <row r="258" spans="1:30" x14ac:dyDescent="0.25">
      <c r="A258" s="36" t="s">
        <v>21</v>
      </c>
      <c r="D258" s="36" t="str">
        <f t="shared" si="217"/>
        <v>peanut sauce</v>
      </c>
      <c r="I258" s="43"/>
      <c r="U258" s="40" t="s">
        <v>113</v>
      </c>
    </row>
    <row r="259" spans="1:30" ht="15.75" x14ac:dyDescent="0.25">
      <c r="A259" s="117" t="s">
        <v>32</v>
      </c>
      <c r="B259" s="117"/>
      <c r="C259" s="117"/>
      <c r="D259" s="117"/>
      <c r="E259" s="39" t="s">
        <v>122</v>
      </c>
      <c r="F259" s="85" t="s">
        <v>71</v>
      </c>
      <c r="G259" s="85"/>
      <c r="H259" s="43"/>
    </row>
    <row r="260" spans="1:30" ht="24" x14ac:dyDescent="0.2">
      <c r="A260" s="117" t="s">
        <v>40</v>
      </c>
      <c r="B260" s="117"/>
      <c r="C260" s="117"/>
      <c r="D260" s="117"/>
      <c r="E260" s="38" t="s">
        <v>53</v>
      </c>
      <c r="F260" s="74">
        <v>15</v>
      </c>
      <c r="G260" s="43"/>
      <c r="H260" s="43"/>
      <c r="I260" s="65" t="s">
        <v>395</v>
      </c>
      <c r="J260" s="66" t="s">
        <v>396</v>
      </c>
      <c r="K260" s="66" t="s">
        <v>17</v>
      </c>
      <c r="L260" s="67" t="s">
        <v>399</v>
      </c>
      <c r="M260" s="65" t="s">
        <v>132</v>
      </c>
      <c r="N260" s="65" t="s">
        <v>133</v>
      </c>
      <c r="O260" s="65" t="s">
        <v>397</v>
      </c>
      <c r="P260" s="65" t="s">
        <v>398</v>
      </c>
      <c r="Q260" s="66" t="s">
        <v>314</v>
      </c>
      <c r="R260" s="65" t="s">
        <v>315</v>
      </c>
      <c r="S260" s="65" t="s">
        <v>316</v>
      </c>
      <c r="T260" s="65" t="s">
        <v>317</v>
      </c>
      <c r="U260" s="66" t="s">
        <v>22</v>
      </c>
      <c r="V260" s="66" t="s">
        <v>191</v>
      </c>
      <c r="W260" s="68" t="s">
        <v>314</v>
      </c>
      <c r="X260" s="66" t="s">
        <v>189</v>
      </c>
      <c r="Y260" s="66" t="s">
        <v>190</v>
      </c>
      <c r="Z260" s="66" t="s">
        <v>289</v>
      </c>
      <c r="AA260" s="66" t="s">
        <v>192</v>
      </c>
      <c r="AB260" s="68" t="s">
        <v>314</v>
      </c>
      <c r="AC260" s="66" t="s">
        <v>193</v>
      </c>
      <c r="AD260" s="66" t="s">
        <v>194</v>
      </c>
    </row>
    <row r="261" spans="1:30" ht="13.5" thickBot="1" x14ac:dyDescent="0.3">
      <c r="A261" s="118" t="str">
        <f>_xlfn.CONCAT(F261," servings")</f>
        <v>11 servings</v>
      </c>
      <c r="B261" s="118"/>
      <c r="C261" s="118"/>
      <c r="D261" s="118"/>
      <c r="E261" s="61" t="s">
        <v>309</v>
      </c>
      <c r="F261" s="74">
        <f>wkdyRegDinner</f>
        <v>11</v>
      </c>
      <c r="G261" s="43"/>
      <c r="H261" s="49"/>
    </row>
    <row r="262" spans="1:30" s="87" customFormat="1" ht="15.75" thickBot="1" x14ac:dyDescent="0.3">
      <c r="A262" s="116"/>
      <c r="B262" s="116"/>
      <c r="C262" s="116"/>
      <c r="D262" s="116"/>
      <c r="E262" s="61" t="s">
        <v>312</v>
      </c>
      <c r="F262" s="46">
        <f>F261/F260</f>
        <v>0.73333333333333328</v>
      </c>
      <c r="G262" s="47" t="s">
        <v>334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16" t="s">
        <v>253</v>
      </c>
      <c r="B263" s="116"/>
      <c r="C263" s="116"/>
      <c r="D263" s="116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20">Q264</f>
        <v>3.75</v>
      </c>
      <c r="C264" s="35" t="str">
        <f t="shared" ref="C264:C281" si="221">IF(L264="","",L264)</f>
        <v>tbs</v>
      </c>
      <c r="D264" s="36" t="str">
        <f>_xlfn.CONCAT(K264, U264)</f>
        <v>minced fresh ginger</v>
      </c>
      <c r="E264" s="61" t="s">
        <v>301</v>
      </c>
      <c r="F264" s="74">
        <f>wkdyRegDinner</f>
        <v>11</v>
      </c>
      <c r="G264" s="62"/>
      <c r="I264" s="50">
        <v>5</v>
      </c>
      <c r="J264" s="51" t="s">
        <v>15</v>
      </c>
      <c r="K264" s="51" t="s">
        <v>210</v>
      </c>
      <c r="L264" s="52" t="s">
        <v>15</v>
      </c>
      <c r="M264" s="43">
        <f t="shared" ref="M264:M281" si="222">INDEX(itemGPerQty, MATCH(K264, itemNames, 0))</f>
        <v>0</v>
      </c>
      <c r="N264" s="43">
        <f t="shared" ref="N264:N281" si="223">INDEX(itemMlPerQty, MATCH(K264, itemNames, 0))</f>
        <v>0</v>
      </c>
      <c r="O264" s="43">
        <f t="shared" ref="O264:O281" si="224">IF(J264 = "", I264 * M264, IF(ISNA(CONVERT(I264, J264, "kg")), CONVERT(I264, J264, "l") * IF(N264 &lt;&gt; 0, M264 / N264, 0), CONVERT(I264, J264, "kg")))</f>
        <v>0</v>
      </c>
      <c r="P264" s="43">
        <f t="shared" ref="P264:P281" si="225">IF(J264 = "", I264 * N264, IF(ISNA(CONVERT(I264, J264, "l")), CONVERT(I264, J264, "kg") * IF(M264 &lt;&gt; 0, N264 / M264, 0), CONVERT(I264, J264, "l")))</f>
        <v>7.3933823906250001E-2</v>
      </c>
      <c r="Q264" s="43">
        <f>MROUND(IF(AND(J264 = "", L264 = ""), I264 * recipe07DayScale, IF(ISNA(CONVERT(O264, "kg", L264)), CONVERT(P264 * recipe07DayScale, "l", L264), CONVERT(O264 * recipe07DayScale, "kg", L264))), roundTo)</f>
        <v>3.75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5.5450367929687501E-2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3.75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20"/>
        <v>8.5</v>
      </c>
      <c r="C265" s="35" t="str">
        <f t="shared" si="221"/>
        <v>cup</v>
      </c>
      <c r="D265" s="36" t="str">
        <f>_xlfn.CONCAT(K265, U265)</f>
        <v>sliced carrots</v>
      </c>
      <c r="E265" s="61" t="s">
        <v>313</v>
      </c>
      <c r="F265" s="46">
        <f>F264/F261</f>
        <v>1</v>
      </c>
      <c r="G265" s="47" t="s">
        <v>335</v>
      </c>
      <c r="I265" s="50">
        <v>10</v>
      </c>
      <c r="J265" s="51"/>
      <c r="K265" s="51" t="s">
        <v>484</v>
      </c>
      <c r="L265" s="52" t="s">
        <v>16</v>
      </c>
      <c r="M265" s="43">
        <f t="shared" si="222"/>
        <v>0.14499999999999999</v>
      </c>
      <c r="N265" s="43">
        <f t="shared" si="223"/>
        <v>0.27500000000000002</v>
      </c>
      <c r="O265" s="43">
        <f t="shared" si="224"/>
        <v>1.45</v>
      </c>
      <c r="P265" s="43">
        <f t="shared" si="225"/>
        <v>2.75</v>
      </c>
      <c r="Q265" s="43">
        <f>MROUND(IF(AND(J265 = "", L265 = ""), I265 * recipe07DayScale, IF(ISNA(CONVERT(O265, "kg", L265)), CONVERT(P265 * recipe07DayScale, "l", L265), CONVERT(O265 * recipe07DayScale, "kg", L265))), roundTo)</f>
        <v>8.5</v>
      </c>
      <c r="R265" s="43">
        <f>recipe07TotScale * IF(L265 = "", Q265 * M265, IF(ISNA(CONVERT(Q265, L265, "kg")), CONVERT(Q265, L265, "l") * IF(N265 &lt;&gt; 0, M265 / N265, 0), CONVERT(Q265, L265, "kg")))</f>
        <v>1.06034545995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8.5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20"/>
        <v>3.75</v>
      </c>
      <c r="C266" s="35" t="str">
        <f t="shared" si="221"/>
        <v/>
      </c>
      <c r="D266" s="36" t="str">
        <f>_xlfn.CONCAT(K266, U266)</f>
        <v>sliced celery stalks</v>
      </c>
      <c r="I266" s="50">
        <v>5</v>
      </c>
      <c r="J266" s="51"/>
      <c r="K266" s="51" t="s">
        <v>160</v>
      </c>
      <c r="L266" s="52"/>
      <c r="M266" s="43">
        <f t="shared" si="222"/>
        <v>0.1</v>
      </c>
      <c r="N266" s="43">
        <f t="shared" si="223"/>
        <v>0.2</v>
      </c>
      <c r="O266" s="43">
        <f t="shared" si="224"/>
        <v>0.5</v>
      </c>
      <c r="P266" s="43">
        <f t="shared" si="225"/>
        <v>1</v>
      </c>
      <c r="Q266" s="43">
        <f>MROUND(IF(AND(J266 = "", L266 = ""), I266 * recipe07DayScale, IF(ISNA(CONVERT(O266, "kg", L266)), CONVERT(P266 * recipe07DayScale, "l", L266), CONVERT(O266 * recipe07DayScale, "kg", L266))), roundTo)</f>
        <v>3.75</v>
      </c>
      <c r="R266" s="43">
        <f>recipe07TotScale * IF(L266 = "", Q266 * M266, IF(ISNA(CONVERT(Q266, L266, "kg")), CONVERT(Q266, L266, "l") * IF(N266 &lt;&gt; 0, M266 / N266, 0), CONVERT(Q266, L266, "kg")))</f>
        <v>0.375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3.75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20"/>
        <v>14.75</v>
      </c>
      <c r="C267" s="35" t="str">
        <f t="shared" si="221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90</v>
      </c>
      <c r="L267" s="52"/>
      <c r="M267" s="43">
        <f t="shared" si="222"/>
        <v>7.4999999999999997E-2</v>
      </c>
      <c r="N267" s="43">
        <f t="shared" si="223"/>
        <v>0.32500000000000001</v>
      </c>
      <c r="O267" s="43">
        <f t="shared" si="224"/>
        <v>1.5</v>
      </c>
      <c r="P267" s="43">
        <f t="shared" si="225"/>
        <v>6.5</v>
      </c>
      <c r="Q267" s="43">
        <f>MROUND(IF(AND(J267 = "", L267 = ""), I267 * recipe07DayScale, IF(ISNA(CONVERT(O267, "kg", L267)), CONVERT(P267 * recipe07DayScale, "l", L267), CONVERT(O267 * recipe07DayScale, "kg", L267))), roundTo)</f>
        <v>14.75</v>
      </c>
      <c r="R267" s="43">
        <f>recipe07TotScale * IF(L267 = "", Q267 * M267, IF(ISNA(CONVERT(Q267, L267, "kg")), CONVERT(Q267, L267, "l") * IF(N267 &lt;&gt; 0, M267 / N267, 0), CONVERT(Q267, L267, "kg")))</f>
        <v>1.10625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14.75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16"/>
      <c r="B268" s="116"/>
      <c r="C268" s="116"/>
      <c r="D268" s="116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16" t="s">
        <v>254</v>
      </c>
      <c r="B269" s="116"/>
      <c r="C269" s="116"/>
      <c r="D269" s="116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20"/>
        <v>11</v>
      </c>
      <c r="C270" s="35" t="str">
        <f t="shared" si="221"/>
        <v>cup</v>
      </c>
      <c r="D270" s="36" t="str">
        <f>_xlfn.CONCAT(K270, U270)</f>
        <v>vegetable stock</v>
      </c>
      <c r="I270" s="50">
        <v>3.55</v>
      </c>
      <c r="J270" s="51" t="s">
        <v>54</v>
      </c>
      <c r="K270" s="51" t="s">
        <v>55</v>
      </c>
      <c r="L270" s="52" t="s">
        <v>16</v>
      </c>
      <c r="M270" s="43">
        <f t="shared" si="222"/>
        <v>0</v>
      </c>
      <c r="N270" s="43">
        <f t="shared" si="223"/>
        <v>0</v>
      </c>
      <c r="O270" s="43">
        <f t="shared" si="224"/>
        <v>0</v>
      </c>
      <c r="P270" s="43">
        <f t="shared" si="225"/>
        <v>3.55</v>
      </c>
      <c r="Q270" s="43">
        <f>MROUND(IF(AND(J270 = "", L270 = ""), I270 * recipe07DayScale, IF(ISNA(CONVERT(O270, "kg", L270)), CONVERT(P270 * recipe07DayScale, "l", L270), CONVERT(O270 * recipe07DayScale, "kg", L270))), roundTo)</f>
        <v>11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2.6024706014999999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16"/>
      <c r="B271" s="116"/>
      <c r="C271" s="116"/>
      <c r="D271" s="116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16" t="s">
        <v>255</v>
      </c>
      <c r="B272" s="116"/>
      <c r="C272" s="116"/>
      <c r="D272" s="116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16"/>
      <c r="B273" s="116"/>
      <c r="C273" s="116"/>
      <c r="D273" s="116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16" t="s">
        <v>256</v>
      </c>
      <c r="B274" s="116"/>
      <c r="C274" s="116"/>
      <c r="D274" s="116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20"/>
        <v>0.75</v>
      </c>
      <c r="C275" s="35" t="str">
        <f t="shared" si="221"/>
        <v>kg</v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250</v>
      </c>
      <c r="L275" s="52" t="s">
        <v>12</v>
      </c>
      <c r="M275" s="43">
        <f t="shared" si="222"/>
        <v>0.315</v>
      </c>
      <c r="N275" s="43">
        <f t="shared" si="223"/>
        <v>0.55000000000000004</v>
      </c>
      <c r="O275" s="43">
        <f t="shared" si="224"/>
        <v>1</v>
      </c>
      <c r="P275" s="43">
        <f t="shared" si="225"/>
        <v>1.7460317460317463</v>
      </c>
      <c r="Q275" s="43">
        <f>MROUND(IF(AND(J275 = "", L275 = ""), I275 * recipe07DayScale, IF(ISNA(CONVERT(O275, "kg", L275)), CONVERT(P275 * recipe07DayScale, "l", L275), CONVERT(O275 * recipe07DayScale, "kg", L275))), roundTo)</f>
        <v>0.75</v>
      </c>
      <c r="R275" s="43">
        <f>recipe07TotScale * IF(L275 = "", Q275 * M275, IF(ISNA(CONVERT(Q275, L275, "kg")), CONVERT(Q275, L275, "l") * IF(N275 &lt;&gt; 0, M275 / N275, 0), CONVERT(Q275, L275, "kg")))</f>
        <v>0.75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0.75</v>
      </c>
      <c r="X275" s="54" t="str">
        <f>IF(V275, IF(L275 = "", "", L275), "")</f>
        <v>kg</v>
      </c>
      <c r="Y275" s="54" t="str">
        <f>IF(V275, K275, "")</f>
        <v>blocks tofu, cut into small cubes</v>
      </c>
      <c r="Z275" s="55" t="s">
        <v>251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16" t="s">
        <v>257</v>
      </c>
      <c r="B277" s="116"/>
      <c r="C277" s="116"/>
      <c r="D277" s="116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20"/>
        <v>1</v>
      </c>
      <c r="C278" s="35" t="str">
        <f t="shared" si="221"/>
        <v/>
      </c>
      <c r="D278" s="84" t="str">
        <f>_xlfn.CONCAT(K278, U278)</f>
        <v>package wakame, then drain and set aside</v>
      </c>
      <c r="I278" s="50">
        <v>1.4</v>
      </c>
      <c r="J278" s="51"/>
      <c r="K278" s="51" t="s">
        <v>487</v>
      </c>
      <c r="L278" s="52"/>
      <c r="M278" s="43">
        <f t="shared" si="222"/>
        <v>0</v>
      </c>
      <c r="N278" s="43">
        <f t="shared" si="223"/>
        <v>0</v>
      </c>
      <c r="O278" s="43">
        <f t="shared" si="224"/>
        <v>0</v>
      </c>
      <c r="P278" s="43">
        <f t="shared" si="225"/>
        <v>0</v>
      </c>
      <c r="Q278" s="43">
        <f>MROUND(IF(AND(J278 = "", L278 = ""), I278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258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16"/>
      <c r="B279" s="116"/>
      <c r="C279" s="116"/>
      <c r="D279" s="116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16" t="s">
        <v>259</v>
      </c>
      <c r="B280" s="116"/>
      <c r="C280" s="116"/>
      <c r="D280" s="116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20"/>
        <v>3.75</v>
      </c>
      <c r="C281" s="35" t="str">
        <f t="shared" si="221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56</v>
      </c>
      <c r="L281" s="52" t="s">
        <v>15</v>
      </c>
      <c r="M281" s="43">
        <f t="shared" si="222"/>
        <v>0</v>
      </c>
      <c r="N281" s="43">
        <f t="shared" si="223"/>
        <v>0</v>
      </c>
      <c r="O281" s="43">
        <f t="shared" si="224"/>
        <v>0</v>
      </c>
      <c r="P281" s="43">
        <f t="shared" si="225"/>
        <v>7.3933823906250001E-2</v>
      </c>
      <c r="Q281" s="43">
        <f>MROUND(IF(AND(J281 = "", L281 = ""), I281 * recipe07DayScale, IF(ISNA(CONVERT(O281, "kg", L281)), CONVERT(P281 * recipe07DayScale, "l", L281), CONVERT(O281 * recipe07DayScale, "kg", L281))), roundTo)</f>
        <v>3.75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5.5450367929687501E-2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16"/>
      <c r="B282" s="116"/>
      <c r="C282" s="116"/>
      <c r="D282" s="116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16" t="s">
        <v>262</v>
      </c>
      <c r="B283" s="116"/>
      <c r="C283" s="116"/>
      <c r="D283" s="116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260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261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7" t="s">
        <v>33</v>
      </c>
      <c r="B286" s="117"/>
      <c r="C286" s="117"/>
      <c r="D286" s="117"/>
      <c r="E286" s="38" t="s">
        <v>127</v>
      </c>
      <c r="F286" s="87"/>
      <c r="G286" s="87"/>
      <c r="H286" s="43"/>
    </row>
    <row r="287" spans="1:30" ht="24" x14ac:dyDescent="0.2">
      <c r="A287" s="117" t="s">
        <v>264</v>
      </c>
      <c r="B287" s="117"/>
      <c r="C287" s="117"/>
      <c r="D287" s="117"/>
      <c r="E287" s="38" t="s">
        <v>53</v>
      </c>
      <c r="F287" s="74">
        <v>10</v>
      </c>
      <c r="G287" s="43"/>
      <c r="H287" s="43"/>
      <c r="I287" s="65" t="s">
        <v>395</v>
      </c>
      <c r="J287" s="66" t="s">
        <v>396</v>
      </c>
      <c r="K287" s="66" t="s">
        <v>17</v>
      </c>
      <c r="L287" s="67" t="s">
        <v>399</v>
      </c>
      <c r="M287" s="65" t="s">
        <v>132</v>
      </c>
      <c r="N287" s="65" t="s">
        <v>133</v>
      </c>
      <c r="O287" s="65" t="s">
        <v>397</v>
      </c>
      <c r="P287" s="65" t="s">
        <v>398</v>
      </c>
      <c r="Q287" s="66" t="s">
        <v>314</v>
      </c>
      <c r="R287" s="65" t="s">
        <v>315</v>
      </c>
      <c r="S287" s="65" t="s">
        <v>316</v>
      </c>
      <c r="T287" s="65" t="s">
        <v>317</v>
      </c>
      <c r="U287" s="66" t="s">
        <v>22</v>
      </c>
      <c r="V287" s="66" t="s">
        <v>191</v>
      </c>
      <c r="W287" s="68" t="s">
        <v>314</v>
      </c>
      <c r="X287" s="66" t="s">
        <v>189</v>
      </c>
      <c r="Y287" s="66" t="s">
        <v>190</v>
      </c>
      <c r="Z287" s="66" t="s">
        <v>289</v>
      </c>
      <c r="AA287" s="66" t="s">
        <v>192</v>
      </c>
      <c r="AB287" s="68" t="s">
        <v>314</v>
      </c>
      <c r="AC287" s="66" t="s">
        <v>193</v>
      </c>
      <c r="AD287" s="66" t="s">
        <v>194</v>
      </c>
    </row>
    <row r="288" spans="1:30" ht="13.5" thickBot="1" x14ac:dyDescent="0.3">
      <c r="A288" s="118" t="str">
        <f>_xlfn.CONCAT(F288," servings")</f>
        <v>11 servings</v>
      </c>
      <c r="B288" s="118"/>
      <c r="C288" s="118"/>
      <c r="D288" s="118"/>
      <c r="E288" s="61" t="s">
        <v>309</v>
      </c>
      <c r="F288" s="74">
        <f>wkdyRegLunch</f>
        <v>11</v>
      </c>
      <c r="G288" s="43"/>
      <c r="H288" s="43"/>
    </row>
    <row r="289" spans="1:30" s="87" customFormat="1" ht="15.75" thickBot="1" x14ac:dyDescent="0.3">
      <c r="A289" s="116"/>
      <c r="B289" s="116"/>
      <c r="C289" s="116"/>
      <c r="D289" s="116"/>
      <c r="E289" s="61" t="s">
        <v>312</v>
      </c>
      <c r="F289" s="46">
        <f>F288/F287</f>
        <v>1.1000000000000001</v>
      </c>
      <c r="G289" s="47" t="s">
        <v>336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2" t="s">
        <v>265</v>
      </c>
      <c r="B290" s="122"/>
      <c r="C290" s="122"/>
      <c r="D290" s="122"/>
      <c r="E290" s="62"/>
      <c r="F290" s="62"/>
      <c r="G290" s="62"/>
      <c r="H290" s="43"/>
    </row>
    <row r="291" spans="1:30" ht="15.75" thickBot="1" x14ac:dyDescent="0.3">
      <c r="A291" s="116"/>
      <c r="B291" s="116"/>
      <c r="C291" s="116"/>
      <c r="D291" s="116"/>
      <c r="E291" s="61" t="s">
        <v>301</v>
      </c>
      <c r="F291" s="74">
        <f>wkdyRegLunch</f>
        <v>11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16" t="s">
        <v>282</v>
      </c>
      <c r="B292" s="116"/>
      <c r="C292" s="116"/>
      <c r="D292" s="116"/>
      <c r="E292" s="61" t="s">
        <v>313</v>
      </c>
      <c r="F292" s="46">
        <f>F291/F288</f>
        <v>1</v>
      </c>
      <c r="G292" s="47" t="s">
        <v>337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6">Q293</f>
        <v>2.25</v>
      </c>
      <c r="C293" s="35" t="str">
        <f t="shared" ref="C293" si="227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266</v>
      </c>
      <c r="L293" s="52" t="s">
        <v>16</v>
      </c>
      <c r="M293" s="43">
        <f t="shared" ref="M293" si="228">INDEX(itemGPerQty, MATCH(K293, itemNames, 0))</f>
        <v>1.02</v>
      </c>
      <c r="N293" s="43">
        <f t="shared" ref="N293" si="229">INDEX(itemMlPerQty, MATCH(K293, itemNames, 0))</f>
        <v>1.2</v>
      </c>
      <c r="O293" s="43">
        <f t="shared" ref="O293" si="230">IF(J293 = "", I293 * M293, IF(ISNA(CONVERT(I293, J293, "kg")), CONVERT(I293, J293, "l") * IF(N293 &lt;&gt; 0, M293 / N293, 0), CONVERT(I293, J293, "kg")))</f>
        <v>0.40220000205000001</v>
      </c>
      <c r="P293" s="43">
        <f t="shared" ref="P293" si="231">IF(J293 = "", I293 * N293, IF(ISNA(CONVERT(I293, J293, "l")), CONVERT(I293, J293, "kg") * IF(M293 &lt;&gt; 0, N293 / M293, 0), CONVERT(I293, J293, "l")))</f>
        <v>0.47317647299999999</v>
      </c>
      <c r="Q293" s="43">
        <f>MROUND(IF(AND(J293 = "", L293 = ""), I293 * recipe12DayScale, IF(ISNA(CONVERT(O293, "kg", L293)), CONVERT(P293 * recipe12DayScale, "l", L293), CONVERT(O293 * recipe12DayScale, "kg", L293))), roundTo)</f>
        <v>2.25</v>
      </c>
      <c r="R293" s="43">
        <f>recipe12TotScale * IF(L293 = "", Q293 * M293, IF(ISNA(CONVERT(Q293, L293, "kg")), CONVERT(Q293, L293, "l") * IF(N293 &lt;&gt; 0, M293 / N293, 0), CONVERT(Q293, L293, "kg")))</f>
        <v>0.45247500230624998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32">Q294</f>
        <v>8.75</v>
      </c>
      <c r="C294" s="35" t="str">
        <f t="shared" ref="C294" si="233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34">INDEX(itemGPerQty, MATCH(K294, itemNames, 0))</f>
        <v>0.22500000000000001</v>
      </c>
      <c r="N294" s="43">
        <f t="shared" ref="N294" si="235">INDEX(itemMlPerQty, MATCH(K294, itemNames, 0))</f>
        <v>0.33750000000000002</v>
      </c>
      <c r="O294" s="43">
        <f t="shared" ref="O294" si="236">IF(J294 = "", I294 * M294, IF(ISNA(CONVERT(I294, J294, "kg")), CONVERT(I294, J294, "l") * IF(N294 &lt;&gt; 0, M294 / N294, 0), CONVERT(I294, J294, "kg")))</f>
        <v>1.8</v>
      </c>
      <c r="P294" s="43">
        <f t="shared" ref="P294" si="237">IF(J294 = "", I294 * N294, IF(ISNA(CONVERT(I294, J294, "l")), CONVERT(I294, J294, "kg") * IF(M294 &lt;&gt; 0, N294 / M294, 0), CONVERT(I294, J294, "l")))</f>
        <v>2.7</v>
      </c>
      <c r="Q294" s="43">
        <f>MROUND(IF(AND(J294 = "", L294 = ""), I294 * recipe12DayScale, IF(ISNA(CONVERT(O294, "kg", L294)), CONVERT(P294 * recipe12DayScale, "l", L294), CONVERT(O294 * recipe12DayScale, "kg", L294))), roundTo)</f>
        <v>8.75</v>
      </c>
      <c r="R294" s="43">
        <f>recipe12TotScale * IF(L294 = "", Q294 * M294, IF(ISNA(CONVERT(Q294, L294, "kg")), CONVERT(Q294, L294, "l") * IF(N294 &lt;&gt; 0, M294 / N294, 0), CONVERT(Q294, L294, "kg")))</f>
        <v>1.96875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8.75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16"/>
      <c r="B295" s="116"/>
      <c r="C295" s="116"/>
      <c r="D295" s="116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16" t="s">
        <v>267</v>
      </c>
      <c r="B296" s="116"/>
      <c r="C296" s="116"/>
      <c r="D296" s="116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8">Q297</f>
        <v>3.75</v>
      </c>
      <c r="C297" s="35" t="str">
        <f t="shared" ref="C297:C298" si="239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88</v>
      </c>
      <c r="L297" s="52" t="s">
        <v>16</v>
      </c>
      <c r="M297" s="43">
        <f t="shared" ref="M297:M298" si="240">INDEX(itemGPerQty, MATCH(K297, itemNames, 0))</f>
        <v>0.1265</v>
      </c>
      <c r="N297" s="43">
        <f t="shared" ref="N297:N298" si="241">INDEX(itemMlPerQty, MATCH(K297, itemNames, 0))</f>
        <v>0.2</v>
      </c>
      <c r="O297" s="43">
        <f t="shared" ref="O297:O298" si="242">IF(J297 = "", I297 * M297, IF(ISNA(CONVERT(I297, J297, "kg")), CONVERT(I297, J297, "l") * IF(N297 &lt;&gt; 0, M297 / N297, 0), CONVERT(I297, J297, "kg")))</f>
        <v>0.50600000000000001</v>
      </c>
      <c r="P297" s="43">
        <f t="shared" ref="P297:P298" si="243">IF(J297 = "", I297 * N297, IF(ISNA(CONVERT(I297, J297, "l")), CONVERT(I297, J297, "kg") * IF(M297 &lt;&gt; 0, N297 / M297, 0), CONVERT(I297, J297, "l")))</f>
        <v>0.8</v>
      </c>
      <c r="Q297" s="43">
        <f>MROUND(IF(AND(J297 = "", L297 = ""), I297 * recipe12DayScale, IF(ISNA(CONVERT(O297, "kg", L297)), CONVERT(P297 * recipe12DayScale, "l", L297), CONVERT(O297 * recipe12DayScale, "kg", L297))), roundTo)</f>
        <v>3.75</v>
      </c>
      <c r="R297" s="43">
        <f>recipe12TotScale * IF(L297 = "", Q297 * M297, IF(ISNA(CONVERT(Q297, L297, "kg")), CONVERT(Q297, L297, "l") * IF(N297 &lt;&gt; 0, M297 / N297, 0), CONVERT(Q297, L297, "kg")))</f>
        <v>0.56115772344843751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3.75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8"/>
        <v>4.5</v>
      </c>
      <c r="C298" s="35" t="str">
        <f t="shared" si="239"/>
        <v/>
      </c>
      <c r="D298" s="36" t="str">
        <f>_xlfn.CONCAT(K298, U298)</f>
        <v>diced celery stalks</v>
      </c>
      <c r="I298" s="50">
        <v>4</v>
      </c>
      <c r="J298" s="51"/>
      <c r="K298" s="51" t="s">
        <v>89</v>
      </c>
      <c r="L298" s="52"/>
      <c r="M298" s="43">
        <f t="shared" si="240"/>
        <v>5.4666666666666669E-2</v>
      </c>
      <c r="N298" s="43">
        <f t="shared" si="241"/>
        <v>0.11</v>
      </c>
      <c r="O298" s="43">
        <f t="shared" si="242"/>
        <v>0.21866666666666668</v>
      </c>
      <c r="P298" s="43">
        <f t="shared" si="243"/>
        <v>0.44</v>
      </c>
      <c r="Q298" s="43">
        <f>MROUND(IF(AND(J298 = "", L298 = ""), I298 * recipe12DayScale, IF(ISNA(CONVERT(O298, "kg", L298)), CONVERT(P298 * recipe12DayScale, "l", L298), CONVERT(O298 * recipe12DayScale, "kg", L298))), roundTo)</f>
        <v>4.5</v>
      </c>
      <c r="R298" s="43">
        <f>recipe12TotScale * IF(L298 = "", Q298 * M298, IF(ISNA(CONVERT(Q298, L298, "kg")), CONVERT(Q298, L298, "l") * IF(N298 &lt;&gt; 0, M298 / N298, 0), CONVERT(Q298, L298, "kg")))</f>
        <v>0.246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4.5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4">Q299</f>
        <v>1</v>
      </c>
      <c r="C299" s="35" t="str">
        <f t="shared" ref="C299" si="245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268</v>
      </c>
      <c r="L299" s="52" t="s">
        <v>15</v>
      </c>
      <c r="M299" s="43">
        <f t="shared" ref="M299" si="246">INDEX(itemGPerQty, MATCH(K299, itemNames, 0))</f>
        <v>3.0000000000000001E-3</v>
      </c>
      <c r="N299" s="43">
        <f t="shared" ref="N299" si="247">INDEX(itemMlPerQty, MATCH(K299, itemNames, 0))</f>
        <v>2.2180100000000001E-2</v>
      </c>
      <c r="O299" s="43">
        <f t="shared" ref="O299" si="248">IF(J299 = "", I299 * M299, IF(ISNA(CONVERT(I299, J299, "kg")), CONVERT(I299, J299, "l") * IF(N299 &lt;&gt; 0, M299 / N299, 0), CONVERT(I299, J299, "kg")))</f>
        <v>2.0000042535313184E-3</v>
      </c>
      <c r="P299" s="43">
        <f t="shared" ref="P299" si="249">IF(J299 = "", I299 * N299, IF(ISNA(CONVERT(I299, J299, "l")), CONVERT(I299, J299, "kg") * IF(M299 &lt;&gt; 0, N299 / M299, 0), CONVERT(I299, J299, "l")))</f>
        <v>1.478676478125E-2</v>
      </c>
      <c r="Q299" s="43">
        <f>MROUND(IF(AND(J299 = "", L299 = ""), I299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16"/>
      <c r="B300" s="116"/>
      <c r="C300" s="116"/>
      <c r="D300" s="116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16" t="s">
        <v>272</v>
      </c>
      <c r="B301" s="116"/>
      <c r="C301" s="116"/>
      <c r="D301" s="116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50">Q302</f>
        <v>4.5</v>
      </c>
      <c r="C302" s="35" t="str">
        <f t="shared" ref="C302" si="251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411</v>
      </c>
      <c r="L302" s="52" t="s">
        <v>16</v>
      </c>
      <c r="M302" s="43">
        <f t="shared" ref="M302" si="252">INDEX(itemGPerQty, MATCH(K302, itemNames, 0))</f>
        <v>0</v>
      </c>
      <c r="N302" s="43">
        <f t="shared" ref="N302" si="253">INDEX(itemMlPerQty, MATCH(K302, itemNames, 0))</f>
        <v>0</v>
      </c>
      <c r="O302" s="43">
        <f t="shared" ref="O302" si="254">IF(J302 = "", I302 * M302, IF(ISNA(CONVERT(I302, J302, "kg")), CONVERT(I302, J302, "l") * IF(N302 &lt;&gt; 0, M302 / N302, 0), CONVERT(I302, J302, "kg")))</f>
        <v>0</v>
      </c>
      <c r="P302" s="43">
        <f t="shared" ref="P302" si="255">IF(J302 = "", I302 * N302, IF(ISNA(CONVERT(I302, J302, "l")), CONVERT(I302, J302, "kg") * IF(M302 &lt;&gt; 0, N302 / M302, 0), CONVERT(I302, J302, "l")))</f>
        <v>0.94635294599999997</v>
      </c>
      <c r="Q302" s="43">
        <f>MROUND(IF(AND(J302 = "", L302 = ""), I302 * recipe12DayScale, IF(ISNA(CONVERT(O302, "kg", L302)), CONVERT(P302 * recipe12DayScale, "l", L302), CONVERT(O302 * recipe12DayScale, "kg", L302))), roundTo)</f>
        <v>4.5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1.0646470642499999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16"/>
      <c r="B303" s="116"/>
      <c r="C303" s="116"/>
      <c r="D303" s="116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16" t="s">
        <v>269</v>
      </c>
      <c r="B304" s="116"/>
      <c r="C304" s="116"/>
      <c r="D304" s="116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16"/>
      <c r="B305" s="116"/>
      <c r="C305" s="116"/>
      <c r="D305" s="116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2" t="s">
        <v>270</v>
      </c>
      <c r="B306" s="122"/>
      <c r="C306" s="122"/>
      <c r="D306" s="122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16"/>
      <c r="B307" s="116"/>
      <c r="C307" s="116"/>
      <c r="D307" s="116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16" t="s">
        <v>271</v>
      </c>
      <c r="B308" s="116"/>
      <c r="C308" s="116"/>
      <c r="D308" s="116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16"/>
      <c r="B309" s="116"/>
      <c r="C309" s="116"/>
      <c r="D309" s="116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16" t="s">
        <v>94</v>
      </c>
      <c r="B310" s="116"/>
      <c r="C310" s="116"/>
      <c r="D310" s="116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6">Q311</f>
        <v>2.25</v>
      </c>
      <c r="C311" s="35" t="str">
        <f t="shared" ref="C311" si="257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273</v>
      </c>
      <c r="L311" s="52" t="s">
        <v>15</v>
      </c>
      <c r="M311" s="43">
        <f t="shared" ref="M311" si="258">INDEX(itemGPerQty, MATCH(K311, itemNames, 0))</f>
        <v>0</v>
      </c>
      <c r="N311" s="43">
        <f t="shared" ref="N311" si="259">INDEX(itemMlPerQty, MATCH(K311, itemNames, 0))</f>
        <v>0</v>
      </c>
      <c r="O311" s="43">
        <f t="shared" ref="O311" si="260">IF(J311 = "", I311 * M311, IF(ISNA(CONVERT(I311, J311, "kg")), CONVERT(I311, J311, "l") * IF(N311 &lt;&gt; 0, M311 / N311, 0), CONVERT(I311, J311, "kg")))</f>
        <v>0</v>
      </c>
      <c r="P311" s="43">
        <f t="shared" ref="P311" si="261">IF(J311 = "", I311 * N311, IF(ISNA(CONVERT(I311, J311, "l")), CONVERT(I311, J311, "kg") * IF(M311 &lt;&gt; 0, N311 / M311, 0), CONVERT(I311, J311, "l")))</f>
        <v>2.9573529562499999E-2</v>
      </c>
      <c r="Q311" s="43">
        <f>MROUND(IF(AND(J311 = "", L311 = ""), I311 * recipe12DayScale, IF(ISNA(CONVERT(O311, "kg", L311)), CONVERT(P311 * recipe12DayScale, "l", L311), CONVERT(O311 * recipe12DayScale, "kg", L311))), roundTo)</f>
        <v>2.25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3.3270220757812496E-2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62">Q312</f>
        <v>2.25</v>
      </c>
      <c r="C312" s="35" t="str">
        <f t="shared" ref="C312:C313" si="263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65</v>
      </c>
      <c r="L312" s="52" t="s">
        <v>13</v>
      </c>
      <c r="M312" s="43">
        <f t="shared" ref="M312:M313" si="264">INDEX(itemGPerQty, MATCH(K312, itemNames, 0))</f>
        <v>0</v>
      </c>
      <c r="N312" s="43">
        <f t="shared" ref="N312:N313" si="265">INDEX(itemMlPerQty, MATCH(K312, itemNames, 0))</f>
        <v>0</v>
      </c>
      <c r="O312" s="43">
        <f t="shared" ref="O312:O313" si="266">IF(J312 = "", I312 * M312, IF(ISNA(CONVERT(I312, J312, "kg")), CONVERT(I312, J312, "l") * IF(N312 &lt;&gt; 0, M312 / N312, 0), CONVERT(I312, J312, "kg")))</f>
        <v>0</v>
      </c>
      <c r="P312" s="43">
        <f t="shared" ref="P312:P313" si="267">IF(J312 = "", I312 * N312, IF(ISNA(CONVERT(I312, J312, "l")), CONVERT(I312, J312, "kg") * IF(M312 &lt;&gt; 0, N312 / M312, 0), CONVERT(I312, J312, "l")))</f>
        <v>9.8578431874999997E-3</v>
      </c>
      <c r="Q312" s="43">
        <f>MROUND(IF(AND(J312 = "", L312 = ""), I312 * recipe12DayScale, IF(ISNA(CONVERT(O312, "kg", L312)), CONVERT(P312 * recipe12DayScale, "l", L312), CONVERT(O312 * recipe12DayScale, "kg", L312))), roundTo)</f>
        <v>2.25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1.1090073585937499E-2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62"/>
        <v>2.25</v>
      </c>
      <c r="C313" s="35" t="str">
        <f t="shared" si="263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292</v>
      </c>
      <c r="L313" s="52" t="s">
        <v>13</v>
      </c>
      <c r="M313" s="43">
        <f t="shared" si="264"/>
        <v>1.4E-2</v>
      </c>
      <c r="N313" s="43">
        <f t="shared" si="265"/>
        <v>2.2180100000000001E-2</v>
      </c>
      <c r="O313" s="43">
        <f t="shared" si="266"/>
        <v>6.2222354554307691E-3</v>
      </c>
      <c r="P313" s="43">
        <f t="shared" si="267"/>
        <v>9.8578431874999997E-3</v>
      </c>
      <c r="Q313" s="43">
        <f>MROUND(IF(AND(J313 = "", L313 = ""), I313 * recipe12DayScale, IF(ISNA(CONVERT(O313, "kg", L313)), CONVERT(P313 * recipe12DayScale, "l", L313), CONVERT(O313 * recipe12DayScale, "kg", L313))), roundTo)</f>
        <v>2.25</v>
      </c>
      <c r="R313" s="43">
        <f>recipe12TotScale * IF(L313 = "", Q313 * M313, IF(ISNA(CONVERT(Q313, L313, "kg")), CONVERT(Q313, L313, "l") * IF(N313 &lt;&gt; 0, M313 / N313, 0), CONVERT(Q313, L313, "kg")))</f>
        <v>7.0000148873596143E-3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8">Q314</f>
        <v>2.25</v>
      </c>
      <c r="C314" s="35" t="str">
        <f t="shared" ref="C314" si="269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70">INDEX(itemGPerQty, MATCH(K314, itemNames, 0))</f>
        <v>2.5000000000000001E-2</v>
      </c>
      <c r="N314" s="43">
        <f t="shared" ref="N314" si="271">INDEX(itemMlPerQty, MATCH(K314, itemNames, 0))</f>
        <v>2.2180100000000001E-2</v>
      </c>
      <c r="O314" s="43">
        <f t="shared" ref="O314" si="272">IF(J314 = "", I314 * M314, IF(ISNA(CONVERT(I314, J314, "kg")), CONVERT(I314, J314, "l") * IF(N314 &lt;&gt; 0, M314 / N314, 0), CONVERT(I314, J314, "kg")))</f>
        <v>1.111113474184066E-2</v>
      </c>
      <c r="P314" s="43">
        <f t="shared" ref="P314" si="273">IF(J314 = "", I314 * N314, IF(ISNA(CONVERT(I314, J314, "l")), CONVERT(I314, J314, "kg") * IF(M314 &lt;&gt; 0, N314 / M314, 0), CONVERT(I314, J314, "l")))</f>
        <v>9.8578431874999997E-3</v>
      </c>
      <c r="Q314" s="43">
        <f>MROUND(IF(AND(J314 = "", L314 = ""), I314 * recipe12DayScale, IF(ISNA(CONVERT(O314, "kg", L314)), CONVERT(P314 * recipe12DayScale, "l", L314), CONVERT(O314 * recipe12DayScale, "kg", L314))), roundTo)</f>
        <v>2.25</v>
      </c>
      <c r="R314" s="43">
        <f>recipe12TotScale * IF(L314 = "", Q314 * M314, IF(ISNA(CONVERT(Q314, L314, "kg")), CONVERT(Q314, L314, "l") * IF(N314 &lt;&gt; 0, M314 / N314, 0), CONVERT(Q314, L314, "kg")))</f>
        <v>1.2500026584570742E-2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4">Q315</f>
        <v>2.25</v>
      </c>
      <c r="C315" s="35" t="str">
        <f t="shared" ref="C315" si="275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274</v>
      </c>
      <c r="L315" s="52" t="s">
        <v>16</v>
      </c>
      <c r="M315" s="43">
        <f t="shared" ref="M315" si="276">INDEX(itemGPerQty, MATCH(K315, itemNames, 0))</f>
        <v>0</v>
      </c>
      <c r="N315" s="43">
        <f t="shared" ref="N315" si="277">INDEX(itemMlPerQty, MATCH(K315, itemNames, 0))</f>
        <v>0</v>
      </c>
      <c r="O315" s="43">
        <f t="shared" ref="O315" si="278">IF(J315 = "", I315 * M315, IF(ISNA(CONVERT(I315, J315, "kg")), CONVERT(I315, J315, "l") * IF(N315 &lt;&gt; 0, M315 / N315, 0), CONVERT(I315, J315, "kg")))</f>
        <v>0</v>
      </c>
      <c r="P315" s="43">
        <f t="shared" ref="P315" si="279">IF(J315 = "", I315 * N315, IF(ISNA(CONVERT(I315, J315, "l")), CONVERT(I315, J315, "kg") * IF(M315 &lt;&gt; 0, N315 / M315, 0), CONVERT(I315, J315, "l")))</f>
        <v>0.47317647299999999</v>
      </c>
      <c r="Q315" s="43">
        <f>MROUND(IF(AND(J315 = "", L315 = ""), I315 * recipe12DayScale, IF(ISNA(CONVERT(O315, "kg", L315)), CONVERT(P315 * recipe12DayScale, "l", L315), CONVERT(O315 * recipe12DayScale, "kg", L315))), roundTo)</f>
        <v>2.25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0.53232353212499994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16"/>
      <c r="B316" s="116"/>
      <c r="C316" s="116"/>
      <c r="D316" s="116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16" t="s">
        <v>275</v>
      </c>
      <c r="B317" s="116"/>
      <c r="C317" s="116"/>
      <c r="D317" s="116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16"/>
      <c r="B318" s="116"/>
      <c r="C318" s="116"/>
      <c r="D318" s="116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16" t="s">
        <v>276</v>
      </c>
      <c r="B319" s="116"/>
      <c r="C319" s="116"/>
      <c r="D319" s="116"/>
      <c r="E319" s="39"/>
      <c r="F319" s="56"/>
      <c r="G319" s="56"/>
      <c r="H319" s="43"/>
    </row>
    <row r="320" spans="1:30" ht="15.75" x14ac:dyDescent="0.25">
      <c r="A320" s="117" t="s">
        <v>34</v>
      </c>
      <c r="B320" s="117"/>
      <c r="C320" s="117"/>
      <c r="D320" s="117"/>
      <c r="E320" s="39" t="s">
        <v>124</v>
      </c>
      <c r="F320" s="85" t="s">
        <v>137</v>
      </c>
      <c r="G320" s="85"/>
    </row>
    <row r="321" spans="1:30" ht="24" x14ac:dyDescent="0.2">
      <c r="A321" s="117" t="s">
        <v>41</v>
      </c>
      <c r="B321" s="117"/>
      <c r="C321" s="117"/>
      <c r="D321" s="117"/>
      <c r="E321" s="38" t="s">
        <v>53</v>
      </c>
      <c r="F321" s="74">
        <v>15</v>
      </c>
      <c r="G321" s="43"/>
      <c r="I321" s="65" t="s">
        <v>395</v>
      </c>
      <c r="J321" s="66" t="s">
        <v>396</v>
      </c>
      <c r="K321" s="66" t="s">
        <v>17</v>
      </c>
      <c r="L321" s="67" t="s">
        <v>399</v>
      </c>
      <c r="M321" s="65" t="s">
        <v>132</v>
      </c>
      <c r="N321" s="65" t="s">
        <v>133</v>
      </c>
      <c r="O321" s="65" t="s">
        <v>397</v>
      </c>
      <c r="P321" s="65" t="s">
        <v>398</v>
      </c>
      <c r="Q321" s="66" t="s">
        <v>314</v>
      </c>
      <c r="R321" s="65" t="s">
        <v>315</v>
      </c>
      <c r="S321" s="65" t="s">
        <v>316</v>
      </c>
      <c r="T321" s="65" t="s">
        <v>317</v>
      </c>
      <c r="U321" s="66" t="s">
        <v>22</v>
      </c>
      <c r="V321" s="66" t="s">
        <v>191</v>
      </c>
      <c r="W321" s="68" t="s">
        <v>314</v>
      </c>
      <c r="X321" s="66" t="s">
        <v>189</v>
      </c>
      <c r="Y321" s="66" t="s">
        <v>190</v>
      </c>
      <c r="Z321" s="66" t="s">
        <v>289</v>
      </c>
      <c r="AA321" s="66" t="s">
        <v>192</v>
      </c>
      <c r="AB321" s="68" t="s">
        <v>314</v>
      </c>
      <c r="AC321" s="66" t="s">
        <v>193</v>
      </c>
      <c r="AD321" s="66" t="s">
        <v>194</v>
      </c>
    </row>
    <row r="322" spans="1:30" ht="13.5" thickBot="1" x14ac:dyDescent="0.3">
      <c r="A322" s="118" t="str">
        <f>_xlfn.CONCAT(F322," servings")</f>
        <v>11 servings</v>
      </c>
      <c r="B322" s="118"/>
      <c r="C322" s="118"/>
      <c r="D322" s="118"/>
      <c r="E322" s="61" t="s">
        <v>309</v>
      </c>
      <c r="F322" s="74">
        <f>wkdyRegDinner</f>
        <v>11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7" customFormat="1" ht="15.75" thickBot="1" x14ac:dyDescent="0.3">
      <c r="A323" s="116"/>
      <c r="B323" s="116"/>
      <c r="C323" s="116"/>
      <c r="D323" s="116"/>
      <c r="E323" s="61" t="s">
        <v>312</v>
      </c>
      <c r="F323" s="46">
        <f>F322/F321</f>
        <v>0.73333333333333328</v>
      </c>
      <c r="G323" s="47" t="s">
        <v>338</v>
      </c>
      <c r="I323" s="58"/>
      <c r="J323" s="85"/>
      <c r="K323" s="85"/>
      <c r="L323" s="59"/>
      <c r="M323" s="58"/>
      <c r="N323" s="58"/>
      <c r="O323" s="58"/>
      <c r="P323" s="58"/>
      <c r="Q323" s="85"/>
      <c r="R323" s="58"/>
      <c r="S323" s="58"/>
      <c r="T323" s="58"/>
      <c r="U323" s="85"/>
      <c r="W323" s="44"/>
      <c r="Z323" s="45"/>
    </row>
    <row r="324" spans="1:30" x14ac:dyDescent="0.25">
      <c r="A324" s="116" t="s">
        <v>151</v>
      </c>
      <c r="B324" s="116"/>
      <c r="C324" s="116"/>
      <c r="D324" s="116"/>
      <c r="E324" s="62"/>
      <c r="F324" s="62"/>
      <c r="G324" s="62"/>
      <c r="I324" s="43"/>
    </row>
    <row r="325" spans="1:30" ht="15.75" thickBot="1" x14ac:dyDescent="0.3">
      <c r="A325" s="116"/>
      <c r="B325" s="116"/>
      <c r="C325" s="116"/>
      <c r="D325" s="116"/>
      <c r="E325" s="61" t="s">
        <v>301</v>
      </c>
      <c r="F325" s="74">
        <f>wkdyRegDinner</f>
        <v>11</v>
      </c>
      <c r="G325" s="62"/>
      <c r="I325" s="43"/>
    </row>
    <row r="326" spans="1:30" ht="15.75" thickBot="1" x14ac:dyDescent="0.3">
      <c r="A326" s="116" t="s">
        <v>277</v>
      </c>
      <c r="B326" s="116"/>
      <c r="C326" s="116"/>
      <c r="D326" s="116"/>
      <c r="E326" s="61" t="s">
        <v>313</v>
      </c>
      <c r="F326" s="46">
        <f>F325/F322</f>
        <v>1</v>
      </c>
      <c r="G326" s="47" t="s">
        <v>339</v>
      </c>
      <c r="I326" s="43"/>
    </row>
    <row r="327" spans="1:30" x14ac:dyDescent="0.25">
      <c r="A327" s="36" t="s">
        <v>21</v>
      </c>
      <c r="B327" s="48">
        <f>Q327</f>
        <v>6.5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MROUND(IF(AND(J327 = "", L327 = ""), I327 * recipe09DayScale, IF(ISNA(CONVERT(O327, "kg", L327)), CONVERT(P327 * recipe09DayScale, "l", L327), CONVERT(O327 * recipe09DayScale, "kg", L327))), roundTo)</f>
        <v>6.5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6.5</v>
      </c>
      <c r="U327" s="40" t="s">
        <v>222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16"/>
      <c r="B328" s="116"/>
      <c r="C328" s="116"/>
      <c r="D328" s="116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16" t="s">
        <v>278</v>
      </c>
      <c r="B329" s="116"/>
      <c r="C329" s="116"/>
      <c r="D329" s="116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80">Q330</f>
        <v>5.75</v>
      </c>
      <c r="C330" s="35" t="str">
        <f t="shared" ref="C330:C337" si="281">IF(L330="","",L330)</f>
        <v>tbs</v>
      </c>
      <c r="D330" s="36" t="str">
        <f t="shared" ref="D330:D337" si="282">_xlfn.CONCAT(K330, U330)</f>
        <v>oil</v>
      </c>
      <c r="I330" s="57">
        <v>8</v>
      </c>
      <c r="J330" s="51" t="s">
        <v>15</v>
      </c>
      <c r="K330" s="51" t="s">
        <v>46</v>
      </c>
      <c r="L330" s="52" t="s">
        <v>15</v>
      </c>
      <c r="M330" s="43">
        <f t="shared" ref="M330:M337" si="283">INDEX(itemGPerQty, MATCH(K330, itemNames, 0))</f>
        <v>0</v>
      </c>
      <c r="N330" s="43">
        <f t="shared" ref="N330:N337" si="284">INDEX(itemMlPerQty, MATCH(K330, itemNames, 0))</f>
        <v>0</v>
      </c>
      <c r="O330" s="43">
        <f t="shared" ref="O330:O337" si="285">IF(J330 = "", I330 * M330, IF(ISNA(CONVERT(I330, J330, "kg")), CONVERT(I330, J330, "l") * IF(N330 &lt;&gt; 0, M330 / N330, 0), CONVERT(I330, J330, "kg")))</f>
        <v>0</v>
      </c>
      <c r="P330" s="43">
        <f t="shared" ref="P330:P337" si="286">IF(J330 = "", I330 * N330, IF(ISNA(CONVERT(I330, J330, "l")), CONVERT(I330, J330, "kg") * IF(M330 &lt;&gt; 0, N330 / M330, 0), CONVERT(I330, J330, "l")))</f>
        <v>0.11829411825</v>
      </c>
      <c r="Q330" s="43">
        <f t="shared" ref="Q330:Q337" si="287">MROUND(IF(AND(J330 = "", L330 = ""), I330 * recipe09DayScale, IF(ISNA(CONVERT(O330, "kg", L330)), CONVERT(P330 * recipe09DayScale, "l", L330), CONVERT(O330 * recipe09DayScale, "kg", L330))), roundTo)</f>
        <v>5.75</v>
      </c>
      <c r="R330" s="43">
        <f t="shared" ref="R330:R337" si="288">recipe09TotScale * IF(L330 = "", Q330 * M330, IF(ISNA(CONVERT(Q330, L330, "kg")), CONVERT(Q330, L330, "l") * IF(N330 &lt;&gt; 0, M330 / N330, 0), CONVERT(Q330, L330, "kg")))</f>
        <v>0</v>
      </c>
      <c r="S330" s="43">
        <f t="shared" ref="S330:S337" si="289">recipe09TotScale * IF(R330 = 0, IF(L330 = "", Q330 * N330, IF(ISNA(CONVERT(Q330, L330, "l")), CONVERT(Q330, L330, "kg") * IF(M330 &lt;&gt; 0, N330 / M330, 0), CONVERT(Q330, L330, "l"))), 0)</f>
        <v>8.50238974921875E-2</v>
      </c>
      <c r="T330" s="43">
        <f t="shared" ref="T330:T337" si="290">recipe09TotScale * IF(AND(R330 = 0, S330 = 0, J330 = "", L330 = ""), Q330, 0)</f>
        <v>0</v>
      </c>
      <c r="V330" s="40" t="b">
        <f t="shared" ref="V330:V337" si="291">INDEX(itemPrepMethods, MATCH(K330, itemNames, 0))="chop"</f>
        <v>0</v>
      </c>
      <c r="W330" s="53" t="str">
        <f t="shared" ref="W330:W337" si="292">IF(V330, Q330, "")</f>
        <v/>
      </c>
      <c r="X330" s="54" t="str">
        <f t="shared" ref="X330:X337" si="293">IF(V330, IF(L330 = "", "", L330), "")</f>
        <v/>
      </c>
      <c r="Y330" s="54" t="str">
        <f t="shared" ref="Y330:Y337" si="294">IF(V330, K330, "")</f>
        <v/>
      </c>
      <c r="Z330" s="55"/>
      <c r="AA330" s="40" t="b">
        <f t="shared" ref="AA330:AA337" si="295">INDEX(itemPrepMethods, MATCH(K330, itemNames, 0))="soak"</f>
        <v>0</v>
      </c>
      <c r="AB330" s="54" t="str">
        <f t="shared" ref="AB330:AB337" si="296">IF(AA330, Q330, "")</f>
        <v/>
      </c>
      <c r="AC330" s="54" t="str">
        <f t="shared" ref="AC330:AC337" si="297">IF(AA330, IF(L330 = "", "", L330), "")</f>
        <v/>
      </c>
      <c r="AD330" s="54" t="str">
        <f t="shared" ref="AD330:AD337" si="298">IF(AA330, K330, "")</f>
        <v/>
      </c>
    </row>
    <row r="331" spans="1:30" x14ac:dyDescent="0.25">
      <c r="A331" s="36" t="s">
        <v>21</v>
      </c>
      <c r="B331" s="48">
        <f t="shared" si="280"/>
        <v>4.5</v>
      </c>
      <c r="C331" s="35" t="str">
        <f t="shared" si="281"/>
        <v>tbs</v>
      </c>
      <c r="D331" s="36" t="str">
        <f t="shared" si="282"/>
        <v>minced fresh ginger</v>
      </c>
      <c r="I331" s="57">
        <v>6</v>
      </c>
      <c r="J331" s="51" t="s">
        <v>15</v>
      </c>
      <c r="K331" s="51" t="s">
        <v>210</v>
      </c>
      <c r="L331" s="52" t="s">
        <v>15</v>
      </c>
      <c r="M331" s="43">
        <f t="shared" si="283"/>
        <v>0</v>
      </c>
      <c r="N331" s="43">
        <f t="shared" si="284"/>
        <v>0</v>
      </c>
      <c r="O331" s="43">
        <f t="shared" si="285"/>
        <v>0</v>
      </c>
      <c r="P331" s="43">
        <f t="shared" si="286"/>
        <v>8.872058868749999E-2</v>
      </c>
      <c r="Q331" s="43">
        <f t="shared" si="287"/>
        <v>4.5</v>
      </c>
      <c r="R331" s="43">
        <f t="shared" si="288"/>
        <v>0</v>
      </c>
      <c r="S331" s="43">
        <f t="shared" si="289"/>
        <v>6.6540441515624993E-2</v>
      </c>
      <c r="T331" s="43">
        <f t="shared" si="290"/>
        <v>0</v>
      </c>
      <c r="V331" s="40" t="b">
        <f t="shared" si="291"/>
        <v>1</v>
      </c>
      <c r="W331" s="53">
        <f t="shared" si="292"/>
        <v>4.5</v>
      </c>
      <c r="X331" s="54" t="str">
        <f t="shared" si="293"/>
        <v>tbs</v>
      </c>
      <c r="Y331" s="54" t="str">
        <f t="shared" si="294"/>
        <v>minced fresh ginger</v>
      </c>
      <c r="Z331" s="55"/>
      <c r="AA331" s="40" t="b">
        <f t="shared" si="295"/>
        <v>0</v>
      </c>
      <c r="AB331" s="54" t="str">
        <f t="shared" si="296"/>
        <v/>
      </c>
      <c r="AC331" s="54" t="str">
        <f t="shared" si="297"/>
        <v/>
      </c>
      <c r="AD331" s="54" t="str">
        <f t="shared" si="298"/>
        <v/>
      </c>
    </row>
    <row r="332" spans="1:30" x14ac:dyDescent="0.25">
      <c r="A332" s="36" t="s">
        <v>21</v>
      </c>
      <c r="B332" s="48">
        <f t="shared" si="280"/>
        <v>8</v>
      </c>
      <c r="C332" s="35" t="str">
        <f t="shared" si="281"/>
        <v/>
      </c>
      <c r="D332" s="36" t="str">
        <f t="shared" si="282"/>
        <v>chopped celery stalks</v>
      </c>
      <c r="I332" s="57">
        <v>11</v>
      </c>
      <c r="J332" s="51"/>
      <c r="K332" s="51" t="s">
        <v>139</v>
      </c>
      <c r="L332" s="52"/>
      <c r="M332" s="43">
        <f t="shared" si="283"/>
        <v>0.1045</v>
      </c>
      <c r="N332" s="43">
        <f t="shared" si="284"/>
        <v>0.2</v>
      </c>
      <c r="O332" s="43">
        <f t="shared" si="285"/>
        <v>1.1495</v>
      </c>
      <c r="P332" s="43">
        <f t="shared" si="286"/>
        <v>2.2000000000000002</v>
      </c>
      <c r="Q332" s="43">
        <f t="shared" si="287"/>
        <v>8</v>
      </c>
      <c r="R332" s="43">
        <f t="shared" si="288"/>
        <v>0.83599999999999997</v>
      </c>
      <c r="S332" s="43">
        <f t="shared" si="289"/>
        <v>0</v>
      </c>
      <c r="T332" s="43">
        <f t="shared" si="290"/>
        <v>0</v>
      </c>
      <c r="V332" s="40" t="b">
        <f t="shared" si="291"/>
        <v>1</v>
      </c>
      <c r="W332" s="53">
        <f t="shared" si="292"/>
        <v>8</v>
      </c>
      <c r="X332" s="54" t="str">
        <f t="shared" si="293"/>
        <v/>
      </c>
      <c r="Y332" s="54" t="str">
        <f t="shared" si="294"/>
        <v>chopped celery stalks</v>
      </c>
      <c r="Z332" s="55"/>
      <c r="AA332" s="40" t="b">
        <f t="shared" si="295"/>
        <v>0</v>
      </c>
      <c r="AB332" s="54" t="str">
        <f t="shared" si="296"/>
        <v/>
      </c>
      <c r="AC332" s="54" t="str">
        <f t="shared" si="297"/>
        <v/>
      </c>
      <c r="AD332" s="54" t="str">
        <f t="shared" si="298"/>
        <v/>
      </c>
    </row>
    <row r="333" spans="1:30" x14ac:dyDescent="0.25">
      <c r="A333" s="36" t="s">
        <v>21</v>
      </c>
      <c r="B333" s="48">
        <f t="shared" si="280"/>
        <v>0.75</v>
      </c>
      <c r="C333" s="35" t="str">
        <f t="shared" si="281"/>
        <v>tbs</v>
      </c>
      <c r="D333" s="36" t="str">
        <f t="shared" si="282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83"/>
        <v>1.2E-2</v>
      </c>
      <c r="N333" s="43">
        <f t="shared" si="284"/>
        <v>2.2180100000000001E-2</v>
      </c>
      <c r="O333" s="43">
        <f t="shared" si="285"/>
        <v>8.0000170141252738E-3</v>
      </c>
      <c r="P333" s="43">
        <f t="shared" si="286"/>
        <v>1.478676478125E-2</v>
      </c>
      <c r="Q333" s="43">
        <f t="shared" si="287"/>
        <v>0.75</v>
      </c>
      <c r="R333" s="43">
        <f t="shared" si="288"/>
        <v>6.0000127605939558E-3</v>
      </c>
      <c r="S333" s="43">
        <f t="shared" si="289"/>
        <v>0</v>
      </c>
      <c r="T333" s="43">
        <f t="shared" si="290"/>
        <v>0</v>
      </c>
      <c r="V333" s="40" t="b">
        <f t="shared" si="291"/>
        <v>0</v>
      </c>
      <c r="W333" s="53" t="str">
        <f t="shared" si="292"/>
        <v/>
      </c>
      <c r="X333" s="54" t="str">
        <f t="shared" si="293"/>
        <v/>
      </c>
      <c r="Y333" s="54" t="str">
        <f t="shared" si="294"/>
        <v/>
      </c>
      <c r="Z333" s="55"/>
      <c r="AA333" s="40" t="b">
        <f t="shared" si="295"/>
        <v>0</v>
      </c>
      <c r="AB333" s="54" t="str">
        <f t="shared" si="296"/>
        <v/>
      </c>
      <c r="AC333" s="54" t="str">
        <f t="shared" si="297"/>
        <v/>
      </c>
      <c r="AD333" s="54" t="str">
        <f t="shared" si="298"/>
        <v/>
      </c>
    </row>
    <row r="334" spans="1:30" x14ac:dyDescent="0.25">
      <c r="A334" s="36" t="s">
        <v>21</v>
      </c>
      <c r="B334" s="48">
        <f t="shared" si="280"/>
        <v>1.5</v>
      </c>
      <c r="C334" s="35" t="str">
        <f t="shared" si="281"/>
        <v>tbs</v>
      </c>
      <c r="D334" s="36" t="str">
        <f t="shared" si="282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83"/>
        <v>1.0999999999999999E-2</v>
      </c>
      <c r="N334" s="43">
        <f t="shared" si="284"/>
        <v>2.2180100000000001E-2</v>
      </c>
      <c r="O334" s="43">
        <f t="shared" si="285"/>
        <v>1.4666697859229668E-2</v>
      </c>
      <c r="P334" s="43">
        <f t="shared" si="286"/>
        <v>2.9573529562499999E-2</v>
      </c>
      <c r="Q334" s="43">
        <f t="shared" si="287"/>
        <v>1.5</v>
      </c>
      <c r="R334" s="43">
        <f t="shared" si="288"/>
        <v>1.1000023394422249E-2</v>
      </c>
      <c r="S334" s="43">
        <f t="shared" si="289"/>
        <v>0</v>
      </c>
      <c r="T334" s="43">
        <f t="shared" si="290"/>
        <v>0</v>
      </c>
      <c r="V334" s="40" t="b">
        <f t="shared" si="291"/>
        <v>0</v>
      </c>
      <c r="W334" s="53" t="str">
        <f t="shared" si="292"/>
        <v/>
      </c>
      <c r="X334" s="54" t="str">
        <f t="shared" si="293"/>
        <v/>
      </c>
      <c r="Y334" s="54" t="str">
        <f t="shared" si="294"/>
        <v/>
      </c>
      <c r="Z334" s="55"/>
      <c r="AA334" s="40" t="b">
        <f t="shared" si="295"/>
        <v>0</v>
      </c>
      <c r="AB334" s="54" t="str">
        <f t="shared" si="296"/>
        <v/>
      </c>
      <c r="AC334" s="54" t="str">
        <f t="shared" si="297"/>
        <v/>
      </c>
      <c r="AD334" s="54" t="str">
        <f t="shared" si="298"/>
        <v/>
      </c>
    </row>
    <row r="335" spans="1:30" x14ac:dyDescent="0.25">
      <c r="A335" s="36" t="s">
        <v>21</v>
      </c>
      <c r="B335" s="48">
        <f t="shared" ref="B335" si="299">Q335</f>
        <v>1.5</v>
      </c>
      <c r="C335" s="35" t="str">
        <f t="shared" si="281"/>
        <v>tbs</v>
      </c>
      <c r="D335" s="36" t="str">
        <f t="shared" si="282"/>
        <v>ground corriander</v>
      </c>
      <c r="I335" s="57">
        <v>2</v>
      </c>
      <c r="J335" s="51" t="s">
        <v>15</v>
      </c>
      <c r="K335" s="51" t="s">
        <v>140</v>
      </c>
      <c r="L335" s="52" t="s">
        <v>15</v>
      </c>
      <c r="M335" s="43">
        <f t="shared" si="283"/>
        <v>1.0999999999999999E-2</v>
      </c>
      <c r="N335" s="43">
        <f t="shared" si="284"/>
        <v>2.2180100000000001E-2</v>
      </c>
      <c r="O335" s="43">
        <f t="shared" si="285"/>
        <v>1.4666697859229668E-2</v>
      </c>
      <c r="P335" s="43">
        <f t="shared" si="286"/>
        <v>2.9573529562499999E-2</v>
      </c>
      <c r="Q335" s="43">
        <f t="shared" si="287"/>
        <v>1.5</v>
      </c>
      <c r="R335" s="43">
        <f t="shared" si="288"/>
        <v>1.1000023394422249E-2</v>
      </c>
      <c r="S335" s="43">
        <f t="shared" si="289"/>
        <v>0</v>
      </c>
      <c r="T335" s="43">
        <f t="shared" si="290"/>
        <v>0</v>
      </c>
      <c r="V335" s="40" t="b">
        <f t="shared" si="291"/>
        <v>0</v>
      </c>
      <c r="W335" s="53" t="str">
        <f t="shared" si="292"/>
        <v/>
      </c>
      <c r="X335" s="54" t="str">
        <f t="shared" si="293"/>
        <v/>
      </c>
      <c r="Y335" s="54" t="str">
        <f t="shared" si="294"/>
        <v/>
      </c>
      <c r="Z335" s="55"/>
      <c r="AA335" s="40" t="b">
        <f t="shared" si="295"/>
        <v>0</v>
      </c>
      <c r="AB335" s="54" t="str">
        <f t="shared" si="296"/>
        <v/>
      </c>
      <c r="AC335" s="54" t="str">
        <f t="shared" si="297"/>
        <v/>
      </c>
      <c r="AD335" s="54" t="str">
        <f t="shared" si="298"/>
        <v/>
      </c>
    </row>
    <row r="336" spans="1:30" x14ac:dyDescent="0.25">
      <c r="A336" s="36" t="s">
        <v>21</v>
      </c>
      <c r="B336" s="48">
        <f t="shared" ref="B336:B337" si="300">Q336</f>
        <v>3</v>
      </c>
      <c r="C336" s="35" t="str">
        <f t="shared" si="281"/>
        <v>tbs</v>
      </c>
      <c r="D336" s="36" t="str">
        <f t="shared" si="282"/>
        <v>ground turmeric</v>
      </c>
      <c r="I336" s="57">
        <v>4</v>
      </c>
      <c r="J336" s="51" t="s">
        <v>15</v>
      </c>
      <c r="K336" s="51" t="s">
        <v>292</v>
      </c>
      <c r="L336" s="52" t="s">
        <v>15</v>
      </c>
      <c r="M336" s="43">
        <f t="shared" si="283"/>
        <v>1.4E-2</v>
      </c>
      <c r="N336" s="43">
        <f t="shared" si="284"/>
        <v>2.2180100000000001E-2</v>
      </c>
      <c r="O336" s="43">
        <f t="shared" si="285"/>
        <v>3.7333412732584614E-2</v>
      </c>
      <c r="P336" s="43">
        <f t="shared" si="286"/>
        <v>5.9147059124999998E-2</v>
      </c>
      <c r="Q336" s="43">
        <f t="shared" si="287"/>
        <v>3</v>
      </c>
      <c r="R336" s="43">
        <f t="shared" si="288"/>
        <v>2.8000059549438457E-2</v>
      </c>
      <c r="S336" s="43">
        <f t="shared" si="289"/>
        <v>0</v>
      </c>
      <c r="T336" s="43">
        <f t="shared" si="290"/>
        <v>0</v>
      </c>
      <c r="V336" s="40" t="b">
        <f t="shared" si="291"/>
        <v>0</v>
      </c>
      <c r="W336" s="53" t="str">
        <f t="shared" si="292"/>
        <v/>
      </c>
      <c r="X336" s="54" t="str">
        <f t="shared" si="293"/>
        <v/>
      </c>
      <c r="Y336" s="54" t="str">
        <f t="shared" si="294"/>
        <v/>
      </c>
      <c r="Z336" s="55"/>
      <c r="AA336" s="40" t="b">
        <f t="shared" si="295"/>
        <v>0</v>
      </c>
      <c r="AB336" s="54" t="str">
        <f t="shared" si="296"/>
        <v/>
      </c>
      <c r="AC336" s="54" t="str">
        <f t="shared" si="297"/>
        <v/>
      </c>
      <c r="AD336" s="54" t="str">
        <f t="shared" si="298"/>
        <v/>
      </c>
    </row>
    <row r="337" spans="1:30" x14ac:dyDescent="0.25">
      <c r="A337" s="36" t="s">
        <v>21</v>
      </c>
      <c r="B337" s="48">
        <f t="shared" si="300"/>
        <v>0.5</v>
      </c>
      <c r="C337" s="35" t="str">
        <f t="shared" si="281"/>
        <v>tbs</v>
      </c>
      <c r="D337" s="36" t="str">
        <f t="shared" si="282"/>
        <v>cinnamon</v>
      </c>
      <c r="I337" s="57">
        <v>0.8</v>
      </c>
      <c r="J337" s="51" t="s">
        <v>15</v>
      </c>
      <c r="K337" s="51" t="s">
        <v>93</v>
      </c>
      <c r="L337" s="52" t="s">
        <v>15</v>
      </c>
      <c r="M337" s="43">
        <f t="shared" si="283"/>
        <v>1.0999999999999999E-2</v>
      </c>
      <c r="N337" s="43">
        <f t="shared" si="284"/>
        <v>2.2180100000000001E-2</v>
      </c>
      <c r="O337" s="43">
        <f t="shared" si="285"/>
        <v>5.8666791436918679E-3</v>
      </c>
      <c r="P337" s="43">
        <f t="shared" si="286"/>
        <v>1.1829411825E-2</v>
      </c>
      <c r="Q337" s="43">
        <f t="shared" si="287"/>
        <v>0.5</v>
      </c>
      <c r="R337" s="43">
        <f t="shared" si="288"/>
        <v>3.6666744648074169E-3</v>
      </c>
      <c r="S337" s="43">
        <f t="shared" si="289"/>
        <v>0</v>
      </c>
      <c r="T337" s="43">
        <f t="shared" si="290"/>
        <v>0</v>
      </c>
      <c r="V337" s="40" t="b">
        <f t="shared" si="291"/>
        <v>0</v>
      </c>
      <c r="W337" s="53" t="str">
        <f t="shared" si="292"/>
        <v/>
      </c>
      <c r="X337" s="54" t="str">
        <f t="shared" si="293"/>
        <v/>
      </c>
      <c r="Y337" s="54" t="str">
        <f t="shared" si="294"/>
        <v/>
      </c>
      <c r="Z337" s="55"/>
      <c r="AA337" s="40" t="b">
        <f t="shared" si="295"/>
        <v>0</v>
      </c>
      <c r="AB337" s="54" t="str">
        <f t="shared" si="296"/>
        <v/>
      </c>
      <c r="AC337" s="54" t="str">
        <f t="shared" si="297"/>
        <v/>
      </c>
      <c r="AD337" s="54" t="str">
        <f t="shared" si="298"/>
        <v/>
      </c>
    </row>
    <row r="338" spans="1:30" x14ac:dyDescent="0.25">
      <c r="A338" s="116"/>
      <c r="B338" s="116"/>
      <c r="C338" s="116"/>
      <c r="D338" s="116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16" t="s">
        <v>141</v>
      </c>
      <c r="B339" s="116"/>
      <c r="C339" s="116"/>
      <c r="D339" s="116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301">Q340</f>
        <v>6.5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55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302">IF(J340 = "", I340 * M340, IF(ISNA(CONVERT(I340, J340, "kg")), CONVERT(I340, J340, "l") * IF(N340 &lt;&gt; 0, M340 / N340, 0), CONVERT(I340, J340, "kg")))</f>
        <v>0</v>
      </c>
      <c r="P340" s="43">
        <f t="shared" ref="P340:P343" si="303">IF(J340 = "", I340 * N340, IF(ISNA(CONVERT(I340, J340, "l")), CONVERT(I340, J340, "kg") * IF(M340 &lt;&gt; 0, N340 / M340, 0), CONVERT(I340, J340, "l")))</f>
        <v>2.1292941284999998</v>
      </c>
      <c r="Q340" s="43">
        <f>MROUND(IF(AND(J340 = "", L340 = ""), I340 * recipe09DayScale, IF(ISNA(CONVERT(O340, "kg", L340)), CONVERT(P340 * recipe09DayScale, "l", L340), CONVERT(O340 * recipe09DayScale, "kg", L340))), roundTo)</f>
        <v>6.5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1.53782353725</v>
      </c>
      <c r="T340" s="43">
        <f>recipe09TotScale * IF(AND(R340 = 0, S340 = 0, J340 = "", L340 = ""), Q340, 0)</f>
        <v>0</v>
      </c>
      <c r="U340" s="40" t="s">
        <v>279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301"/>
        <v>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302"/>
        <v>1.1866666666666668</v>
      </c>
      <c r="P341" s="43">
        <f t="shared" si="303"/>
        <v>1.5999999999999999</v>
      </c>
      <c r="Q341" s="43">
        <f>MROUND(IF(AND(J341 = "", L341 = ""), I341 * recipe09DayScale, IF(ISNA(CONVERT(O341, "kg", L341)), CONVERT(P341 * recipe09DayScale, "l", L341), CONVERT(O341 * recipe09DayScale, "kg", L341))), roundTo)</f>
        <v>5</v>
      </c>
      <c r="R341" s="43">
        <f>recipe09TotScale * IF(L341 = "", Q341 * M341, IF(ISNA(CONVERT(Q341, L341, "kg")), CONVERT(Q341, L341, "l") * IF(N341 &lt;&gt; 0, M341 / N341, 0), CONVERT(Q341, L341, "kg")))</f>
        <v>0.87734804368750019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301"/>
        <v>3.75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142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302"/>
        <v>1.5074999999999998</v>
      </c>
      <c r="P342" s="43">
        <f t="shared" si="303"/>
        <v>2.875</v>
      </c>
      <c r="Q342" s="43">
        <f>MROUND(IF(AND(J342 = "", L342 = ""), I342 * recipe09DayScale, IF(ISNA(CONVERT(O342, "kg", L342)), CONVERT(P342 * recipe09DayScale, "l", L342), CONVERT(O342 * recipe09DayScale, "kg", L342))), roundTo)</f>
        <v>3.75</v>
      </c>
      <c r="R342" s="43">
        <f>recipe09TotScale * IF(L342 = "", Q342 * M342, IF(ISNA(CONVERT(Q342, L342, "kg")), CONVERT(Q342, L342, "l") * IF(N342 &lt;&gt; 0, M342 / N342, 0), CONVERT(Q342, L342, "kg")))</f>
        <v>1.130625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3.75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4">Q343</f>
        <v>2.25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405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302"/>
        <v>0</v>
      </c>
      <c r="P343" s="43">
        <f t="shared" si="303"/>
        <v>0</v>
      </c>
      <c r="Q343" s="43">
        <f>MROUND(IF(AND(J343 = "", L343 = ""), I343 * recipe09DayScale, IF(ISNA(CONVERT(O343, "kg", L343)), CONVERT(P343 * recipe09DayScale, "l", L343), CONVERT(O343 * recipe09DayScale, "kg", L343))), roundTo)</f>
        <v>2.25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2.25</v>
      </c>
      <c r="U343" s="40" t="s">
        <v>283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16"/>
      <c r="B344" s="116"/>
      <c r="C344" s="116"/>
      <c r="D344" s="116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16" t="s">
        <v>143</v>
      </c>
      <c r="B345" s="116"/>
      <c r="C345" s="116"/>
      <c r="D345" s="116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16"/>
      <c r="B346" s="116"/>
      <c r="C346" s="116"/>
      <c r="D346" s="116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16" t="s">
        <v>144</v>
      </c>
      <c r="B347" s="116"/>
      <c r="C347" s="116"/>
      <c r="D347" s="116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4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408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5">IF(J348 = "", I348 * M348, IF(ISNA(CONVERT(I348, J348, "kg")), CONVERT(I348, J348, "l") * IF(N348 &lt;&gt; 0, M348 / N348, 0), CONVERT(I348, J348, "kg")))</f>
        <v>0</v>
      </c>
      <c r="P348" s="43">
        <f t="shared" ref="P348:P349" si="306">IF(J348 = "", I348 * N348, IF(ISNA(CONVERT(I348, J348, "l")), CONVERT(I348, J348, "kg") * IF(M348 &lt;&gt; 0, N348 / M348, 0), CONVERT(I348, J348, "l")))</f>
        <v>0</v>
      </c>
      <c r="Q348" s="43">
        <f>MROUND(IF(AND(J348 = "", L348 = ""), I348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7">Q349</f>
        <v>1.5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344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5"/>
        <v>0</v>
      </c>
      <c r="P349" s="43">
        <f t="shared" si="306"/>
        <v>0</v>
      </c>
      <c r="Q349" s="43">
        <f>MROUND(IF(AND(J349 = "", L349 = ""), I349 * recipe09DayScale, IF(ISNA(CONVERT(O349, "kg", L349)), CONVERT(P349 * recipe09DayScale, "l", L349), CONVERT(O349 * recipe09DayScale, "kg", L349))), roundTo)</f>
        <v>1.5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1.5</v>
      </c>
      <c r="V349" s="40" t="b">
        <f>INDEX(itemPrepMethods, MATCH(K349, itemNames, 0))="chop"</f>
        <v>1</v>
      </c>
      <c r="W349" s="53">
        <f>IF(V349, Q349, "")</f>
        <v>1.5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47</v>
      </c>
      <c r="L350" s="40"/>
      <c r="M350" s="40"/>
      <c r="N350" s="40"/>
      <c r="O350" s="40"/>
      <c r="P350" s="40"/>
      <c r="U350" s="40" t="s">
        <v>196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195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70</v>
      </c>
      <c r="L352" s="40"/>
      <c r="M352" s="40"/>
      <c r="N352" s="40"/>
      <c r="O352" s="40"/>
      <c r="P352" s="40"/>
      <c r="U352" s="40" t="s">
        <v>195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16"/>
      <c r="B353" s="116"/>
      <c r="C353" s="116"/>
      <c r="D353" s="116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16" t="s">
        <v>152</v>
      </c>
      <c r="B354" s="116"/>
      <c r="C354" s="116"/>
      <c r="D354" s="116"/>
      <c r="I354" s="43"/>
      <c r="L354" s="40"/>
      <c r="M354" s="40"/>
      <c r="N354" s="40"/>
    </row>
    <row r="355" spans="1:30" ht="15.75" x14ac:dyDescent="0.25">
      <c r="A355" s="117" t="s">
        <v>35</v>
      </c>
      <c r="B355" s="117"/>
      <c r="C355" s="117"/>
      <c r="D355" s="117"/>
      <c r="E355" s="39" t="s">
        <v>119</v>
      </c>
      <c r="F355" s="85" t="s">
        <v>138</v>
      </c>
      <c r="G355" s="85"/>
      <c r="H355" s="43"/>
    </row>
    <row r="356" spans="1:30" ht="24" x14ac:dyDescent="0.2">
      <c r="A356" s="117" t="s">
        <v>38</v>
      </c>
      <c r="B356" s="117"/>
      <c r="C356" s="117"/>
      <c r="D356" s="117"/>
      <c r="E356" s="38" t="s">
        <v>53</v>
      </c>
      <c r="F356" s="74">
        <v>15</v>
      </c>
      <c r="G356" s="43"/>
      <c r="H356" s="43"/>
      <c r="I356" s="65" t="s">
        <v>395</v>
      </c>
      <c r="J356" s="66" t="s">
        <v>396</v>
      </c>
      <c r="K356" s="66" t="s">
        <v>17</v>
      </c>
      <c r="L356" s="67" t="s">
        <v>399</v>
      </c>
      <c r="M356" s="65" t="s">
        <v>132</v>
      </c>
      <c r="N356" s="65" t="s">
        <v>133</v>
      </c>
      <c r="O356" s="65" t="s">
        <v>397</v>
      </c>
      <c r="P356" s="65" t="s">
        <v>398</v>
      </c>
      <c r="Q356" s="66" t="s">
        <v>314</v>
      </c>
      <c r="R356" s="65" t="s">
        <v>315</v>
      </c>
      <c r="S356" s="65" t="s">
        <v>316</v>
      </c>
      <c r="T356" s="65" t="s">
        <v>317</v>
      </c>
      <c r="U356" s="66" t="s">
        <v>22</v>
      </c>
      <c r="V356" s="66" t="s">
        <v>191</v>
      </c>
      <c r="W356" s="68" t="s">
        <v>314</v>
      </c>
      <c r="X356" s="66" t="s">
        <v>189</v>
      </c>
      <c r="Y356" s="66" t="s">
        <v>190</v>
      </c>
      <c r="Z356" s="66" t="s">
        <v>289</v>
      </c>
      <c r="AA356" s="66" t="s">
        <v>192</v>
      </c>
      <c r="AB356" s="68" t="s">
        <v>314</v>
      </c>
      <c r="AC356" s="66" t="s">
        <v>193</v>
      </c>
      <c r="AD356" s="66" t="s">
        <v>194</v>
      </c>
    </row>
    <row r="357" spans="1:30" ht="13.5" thickBot="1" x14ac:dyDescent="0.3">
      <c r="A357" s="118" t="str">
        <f>_xlfn.CONCAT(F357," servings")</f>
        <v>11 servings</v>
      </c>
      <c r="B357" s="118"/>
      <c r="C357" s="118"/>
      <c r="D357" s="118"/>
      <c r="E357" s="61" t="s">
        <v>309</v>
      </c>
      <c r="F357" s="74">
        <f>wkdyRegLunch</f>
        <v>11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7" customFormat="1" ht="15.75" thickBot="1" x14ac:dyDescent="0.3">
      <c r="A358" s="116"/>
      <c r="B358" s="116"/>
      <c r="C358" s="116"/>
      <c r="D358" s="116"/>
      <c r="E358" s="61" t="s">
        <v>312</v>
      </c>
      <c r="F358" s="46">
        <f>F357/F356</f>
        <v>0.73333333333333328</v>
      </c>
      <c r="G358" s="47" t="s">
        <v>328</v>
      </c>
      <c r="H358" s="43"/>
      <c r="I358" s="58"/>
      <c r="J358" s="85"/>
      <c r="K358" s="85"/>
      <c r="L358" s="59"/>
      <c r="M358" s="58"/>
      <c r="N358" s="58"/>
      <c r="O358" s="58"/>
      <c r="P358" s="58"/>
      <c r="Q358" s="85"/>
      <c r="R358" s="58"/>
      <c r="S358" s="58"/>
      <c r="T358" s="58"/>
      <c r="U358" s="85"/>
      <c r="W358" s="44"/>
      <c r="Z358" s="45"/>
    </row>
    <row r="359" spans="1:30" x14ac:dyDescent="0.25">
      <c r="A359" s="116" t="s">
        <v>232</v>
      </c>
      <c r="B359" s="116"/>
      <c r="C359" s="116"/>
      <c r="D359" s="116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8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301</v>
      </c>
      <c r="F360" s="74">
        <f>wkdyRegLunch</f>
        <v>11</v>
      </c>
      <c r="G360" s="62"/>
      <c r="H360" s="49"/>
      <c r="I360" s="50">
        <v>8</v>
      </c>
      <c r="J360" s="51" t="s">
        <v>15</v>
      </c>
      <c r="K360" s="51" t="s">
        <v>46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9">IF(J360 = "", I360 * M360, IF(ISNA(CONVERT(I360, J360, "kg")), CONVERT(I360, J360, "l") * IF(N360 &lt;&gt; 0, M360 / N360, 0), CONVERT(I360, J360, "kg")))</f>
        <v>0</v>
      </c>
      <c r="P360" s="43">
        <f t="shared" ref="P360:P364" si="310">IF(J360 = "", I360 * N360, IF(ISNA(CONVERT(I360, J360, "l")), CONVERT(I360, J360, "kg") * IF(M360 &lt;&gt; 0, N360 / M360, 0), CONVERT(I360, J360, "l")))</f>
        <v>0.11829411825</v>
      </c>
      <c r="Q360" s="43">
        <f>MROUND(IF(AND(J360 = "", L360 = ""), I360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5.75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313</v>
      </c>
      <c r="F361" s="46">
        <f>F360/F357</f>
        <v>1</v>
      </c>
      <c r="G361" s="47" t="s">
        <v>329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MROUND(IF(AND(J361 = "", L361 = ""), I361 * recipe04DayScale, IF(ISNA(CONVERT(O361, "kg", L361)), CONVERT(P361 * recipe04DayScale, "l", L361), CONVERT(O361 * recipe04DayScale, "kg", L361))), roundTo)</f>
        <v>5.75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5.75</v>
      </c>
      <c r="U361" s="40" t="s">
        <v>222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8"/>
        <v>2.25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9"/>
        <v>0.55499999999999994</v>
      </c>
      <c r="P362" s="43">
        <f t="shared" si="310"/>
        <v>0.89999999999999991</v>
      </c>
      <c r="Q362" s="43">
        <f>MROUND(IF(AND(J362 = "", L362 = ""), I362 * recipe04DayScale, IF(ISNA(CONVERT(O362, "kg", L362)), CONVERT(P362 * recipe04DayScale, "l", L362), CONVERT(O362 * recipe04DayScale, "kg", L362))), roundTo)</f>
        <v>2.25</v>
      </c>
      <c r="R362" s="43">
        <f>recipe04TotScale * IF(L362 = "", Q362 * M362, IF(ISNA(CONVERT(Q362, L362, "kg")), CONVERT(Q362, L362, "l") * IF(N362 &lt;&gt; 0, M362 / N362, 0), CONVERT(Q362, L362, "kg")))</f>
        <v>0.41625000000000001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2.25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8"/>
        <v>2.25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210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9"/>
        <v>0</v>
      </c>
      <c r="P363" s="43">
        <f t="shared" si="310"/>
        <v>4.4360294343749995E-2</v>
      </c>
      <c r="Q363" s="43">
        <f>MROUND(IF(AND(J363 = "", L363 = ""), I363 * recipe04DayScale, IF(ISNA(CONVERT(O363, "kg", L363)), CONVERT(P363 * recipe04DayScale, "l", L363), CONVERT(O363 * recipe04DayScale, "kg", L363))), roundTo)</f>
        <v>2.25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3.3270220757812496E-2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2.25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8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157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9"/>
        <v>0</v>
      </c>
      <c r="P364" s="43">
        <f t="shared" si="310"/>
        <v>2.2180147171874998E-2</v>
      </c>
      <c r="Q364" s="43">
        <f>MROUND(IF(AND(J364 = "", L364 = ""), I364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0"/>
      <c r="B365" s="120"/>
      <c r="C365" s="120"/>
      <c r="D365" s="12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16" t="s">
        <v>233</v>
      </c>
      <c r="B366" s="116"/>
      <c r="C366" s="116"/>
      <c r="D366" s="116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8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96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11">IF(J367 = "", I367 * M367, IF(ISNA(CONVERT(I367, J367, "kg")), CONVERT(I367, J367, "l") * IF(N367 &lt;&gt; 0, M367 / N367, 0), CONVERT(I367, J367, "kg")))</f>
        <v>0</v>
      </c>
      <c r="P367" s="43">
        <f t="shared" ref="P367:P368" si="312">IF(J367 = "", I367 * N367, IF(ISNA(CONVERT(I367, J367, "l")), CONVERT(I367, J367, "kg") * IF(M367 &lt;&gt; 0, N367 / M367, 0), CONVERT(I367, J367, "l")))</f>
        <v>0.23658823649999999</v>
      </c>
      <c r="Q367" s="43">
        <f>MROUND(IF(AND(J367 = "", L367 = ""), I367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8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54</v>
      </c>
      <c r="K368" s="51" t="s">
        <v>55</v>
      </c>
      <c r="L368" s="52" t="s">
        <v>54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11"/>
        <v>0</v>
      </c>
      <c r="P368" s="43">
        <f t="shared" si="312"/>
        <v>1</v>
      </c>
      <c r="Q368" s="43">
        <f>MROUND(IF(AND(J368 = "", L368 = ""), I368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0"/>
      <c r="B369" s="120"/>
      <c r="C369" s="120"/>
      <c r="D369" s="12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16" t="s">
        <v>234</v>
      </c>
      <c r="B370" s="116"/>
      <c r="C370" s="116"/>
      <c r="D370" s="116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8"/>
        <v>2.25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142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13">IF(J371 = "", I371 * M371, IF(ISNA(CONVERT(I371, J371, "kg")), CONVERT(I371, J371, "l") * IF(N371 &lt;&gt; 0, M371 / N371, 0), CONVERT(I371, J371, "kg")))</f>
        <v>0.90449999999999997</v>
      </c>
      <c r="P371" s="43">
        <f t="shared" ref="P371:P372" si="314">IF(J371 = "", I371 * N371, IF(ISNA(CONVERT(I371, J371, "l")), CONVERT(I371, J371, "kg") * IF(M371 &lt;&gt; 0, N371 / M371, 0), CONVERT(I371, J371, "l")))</f>
        <v>1.7249999999999999</v>
      </c>
      <c r="Q371" s="43">
        <f>MROUND(IF(AND(J371 = "", L371 = ""), I371 * recipe04DayScale, IF(ISNA(CONVERT(O371, "kg", L371)), CONVERT(P371 * recipe04DayScale, "l", L371), CONVERT(O371 * recipe04DayScale, "kg", L371))), roundTo)</f>
        <v>2.25</v>
      </c>
      <c r="R371" s="43">
        <f>recipe04TotScale * IF(L371 = "", Q371 * M371, IF(ISNA(CONVERT(Q371, L371, "kg")), CONVERT(Q371, L371, "l") * IF(N371 &lt;&gt; 0, M371 / N371, 0), CONVERT(Q371, L371, "kg")))</f>
        <v>0.67837499999999995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2.25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8"/>
        <v>5.5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13"/>
        <v>1.3350000000000002</v>
      </c>
      <c r="P372" s="43">
        <f t="shared" si="314"/>
        <v>1.7999999999999998</v>
      </c>
      <c r="Q372" s="43">
        <f>MROUND(IF(AND(J372 = "", L372 = ""), I372 * recipe04DayScale, IF(ISNA(CONVERT(O372, "kg", L372)), CONVERT(P372 * recipe04DayScale, "l", L372), CONVERT(O372 * recipe04DayScale, "kg", L372))), roundTo)</f>
        <v>5.5</v>
      </c>
      <c r="R372" s="43">
        <f>recipe04TotScale * IF(L372 = "", Q372 * M372, IF(ISNA(CONVERT(Q372, L372, "kg")), CONVERT(Q372, L372, "l") * IF(N372 &lt;&gt; 0, M372 / N372, 0), CONVERT(Q372, L372, "kg")))</f>
        <v>0.96508284805625011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5.5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0"/>
      <c r="B373" s="120"/>
      <c r="C373" s="120"/>
      <c r="D373" s="12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16" t="s">
        <v>235</v>
      </c>
      <c r="B374" s="116"/>
      <c r="C374" s="116"/>
      <c r="D374" s="116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8"/>
        <v>1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150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5">IF(J375 = "", I375 * M375, IF(ISNA(CONVERT(I375, J375, "kg")), CONVERT(I375, J375, "l") * IF(N375 &lt;&gt; 0, M375 / N375, 0), CONVERT(I375, J375, "kg")))</f>
        <v>0</v>
      </c>
      <c r="P375" s="43">
        <f t="shared" ref="P375:P378" si="316">IF(J375 = "", I375 * N375, IF(ISNA(CONVERT(I375, J375, "l")), CONVERT(I375, J375, "kg") * IF(M375 &lt;&gt; 0, N375 / M375, 0), CONVERT(I375, J375, "l")))</f>
        <v>0</v>
      </c>
      <c r="Q375" s="43">
        <f>MROUND(IF(AND(J375 = "", L375 = ""), I375 * recipe04DayScale, IF(ISNA(CONVERT(O375, "kg", L375)), CONVERT(P375 * recipe04DayScale, "l", L375), CONVERT(O375 * recipe04DayScale, "kg", L375))), roundTo)</f>
        <v>1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1</v>
      </c>
      <c r="V375" s="40" t="b">
        <f>INDEX(itemPrepMethods, MATCH(K375, itemNames, 0))="chop"</f>
        <v>1</v>
      </c>
      <c r="W375" s="53">
        <f>IF(V375, Q375, "")</f>
        <v>1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8"/>
        <v>5.75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97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5"/>
        <v>0</v>
      </c>
      <c r="P376" s="43">
        <f t="shared" si="316"/>
        <v>0</v>
      </c>
      <c r="Q376" s="43">
        <f>MROUND(IF(AND(J376 = "", L376 = ""), I376 * recipe04DayScale, IF(ISNA(CONVERT(O376, "kg", L376)), CONVERT(P376 * recipe04DayScale, "l", L376), CONVERT(O376 * recipe04DayScale, "kg", L376))), roundTo)</f>
        <v>5.75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5.75</v>
      </c>
      <c r="V376" s="40" t="b">
        <f>INDEX(itemPrepMethods, MATCH(K376, itemNames, 0))="chop"</f>
        <v>1</v>
      </c>
      <c r="W376" s="53">
        <f>IF(V376, Q376, "")</f>
        <v>5.75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8"/>
        <v>8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98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15"/>
        <v>0.85250000000000004</v>
      </c>
      <c r="P377" s="43">
        <f t="shared" si="316"/>
        <v>5.5</v>
      </c>
      <c r="Q377" s="43">
        <f>MROUND(IF(AND(J377 = "", L377 = ""), I377 * recipe04DayScale, IF(ISNA(CONVERT(O377, "kg", L377)), CONVERT(P377 * recipe04DayScale, "l", L377), CONVERT(O377 * recipe04DayScale, "kg", L377))), roundTo)</f>
        <v>8</v>
      </c>
      <c r="R377" s="43">
        <f>recipe04TotScale * IF(L377 = "", Q377 * M377, IF(ISNA(CONVERT(Q377, L377, "kg")), CONVERT(Q377, L377, "l") * IF(N377 &lt;&gt; 0, M377 / N377, 0), CONVERT(Q377, L377, "kg")))</f>
        <v>0.62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8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8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5"/>
        <v>1.8333372324037089E-2</v>
      </c>
      <c r="P378" s="43">
        <f t="shared" si="316"/>
        <v>1.6265441259374999E-2</v>
      </c>
      <c r="Q378" s="43">
        <f>MROUND(IF(AND(J378 = "", L378 = ""), I378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0"/>
      <c r="B379" s="120"/>
      <c r="C379" s="120"/>
      <c r="D379" s="12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16" t="s">
        <v>236</v>
      </c>
      <c r="B380" s="116"/>
      <c r="C380" s="116"/>
      <c r="D380" s="116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8"/>
        <v>1.5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408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7">IF(J381 = "", I381 * M381, IF(ISNA(CONVERT(I381, J381, "kg")), CONVERT(I381, J381, "l") * IF(N381 &lt;&gt; 0, M381 / N381, 0), CONVERT(I381, J381, "kg")))</f>
        <v>0</v>
      </c>
      <c r="P381" s="43">
        <f t="shared" ref="P381:P382" si="318">IF(J381 = "", I381 * N381, IF(ISNA(CONVERT(I381, J381, "l")), CONVERT(I381, J381, "kg") * IF(M381 &lt;&gt; 0, N381 / M381, 0), CONVERT(I381, J381, "l")))</f>
        <v>0</v>
      </c>
      <c r="Q381" s="43">
        <f>MROUND(IF(AND(J381 = "", L381 = ""), I381 * recipe04DayScale, IF(ISNA(CONVERT(O381, "kg", L381)), CONVERT(P381 * recipe04DayScale, "l", L381), CONVERT(O381 * recipe04DayScale, "kg", L381))), roundTo)</f>
        <v>1.5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8"/>
        <v>4.5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406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7"/>
        <v>0</v>
      </c>
      <c r="P382" s="43">
        <f t="shared" si="318"/>
        <v>0</v>
      </c>
      <c r="Q382" s="43">
        <f>MROUND(IF(AND(J382 = "", L382 = ""), I382 * recipe04DayScale, IF(ISNA(CONVERT(O382, "kg", L382)), CONVERT(P382 * recipe04DayScale, "l", L382), CONVERT(O382 * recipe04DayScale, "kg", L382))), roundTo)</f>
        <v>4.5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4.5</v>
      </c>
      <c r="U382" s="40" t="s">
        <v>230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47</v>
      </c>
      <c r="L383" s="40"/>
      <c r="M383" s="40"/>
      <c r="N383" s="40"/>
      <c r="O383" s="40"/>
      <c r="P383" s="40"/>
      <c r="U383" s="40" t="s">
        <v>196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195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70</v>
      </c>
      <c r="L385" s="40"/>
      <c r="M385" s="40"/>
      <c r="N385" s="40"/>
      <c r="O385" s="40"/>
      <c r="P385" s="40"/>
      <c r="U385" s="40" t="s">
        <v>195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0"/>
      <c r="B386" s="120"/>
      <c r="C386" s="120"/>
      <c r="D386" s="12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16" t="s">
        <v>237</v>
      </c>
      <c r="B387" s="116"/>
      <c r="C387" s="116"/>
      <c r="D387" s="116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7" t="s">
        <v>36</v>
      </c>
      <c r="B388" s="117"/>
      <c r="C388" s="117"/>
      <c r="D388" s="117"/>
      <c r="E388" s="39" t="s">
        <v>126</v>
      </c>
      <c r="F388" s="85" t="s">
        <v>167</v>
      </c>
      <c r="G388" s="85"/>
    </row>
    <row r="389" spans="1:30" ht="24" x14ac:dyDescent="0.2">
      <c r="A389" s="117" t="s">
        <v>43</v>
      </c>
      <c r="B389" s="117"/>
      <c r="C389" s="117"/>
      <c r="D389" s="117"/>
      <c r="E389" s="38" t="s">
        <v>53</v>
      </c>
      <c r="F389" s="74">
        <v>16</v>
      </c>
      <c r="G389" s="43"/>
      <c r="I389" s="65" t="s">
        <v>395</v>
      </c>
      <c r="J389" s="66" t="s">
        <v>396</v>
      </c>
      <c r="K389" s="66" t="s">
        <v>17</v>
      </c>
      <c r="L389" s="67" t="s">
        <v>399</v>
      </c>
      <c r="M389" s="65" t="s">
        <v>132</v>
      </c>
      <c r="N389" s="65" t="s">
        <v>133</v>
      </c>
      <c r="O389" s="65" t="s">
        <v>397</v>
      </c>
      <c r="P389" s="65" t="s">
        <v>398</v>
      </c>
      <c r="Q389" s="66" t="s">
        <v>314</v>
      </c>
      <c r="R389" s="65" t="s">
        <v>315</v>
      </c>
      <c r="S389" s="65" t="s">
        <v>316</v>
      </c>
      <c r="T389" s="65" t="s">
        <v>317</v>
      </c>
      <c r="U389" s="66" t="s">
        <v>22</v>
      </c>
      <c r="V389" s="66" t="s">
        <v>191</v>
      </c>
      <c r="W389" s="68" t="s">
        <v>314</v>
      </c>
      <c r="X389" s="66" t="s">
        <v>189</v>
      </c>
      <c r="Y389" s="66" t="s">
        <v>190</v>
      </c>
      <c r="Z389" s="66" t="s">
        <v>289</v>
      </c>
      <c r="AA389" s="66" t="s">
        <v>192</v>
      </c>
      <c r="AB389" s="68" t="s">
        <v>314</v>
      </c>
      <c r="AC389" s="66" t="s">
        <v>193</v>
      </c>
      <c r="AD389" s="66" t="s">
        <v>194</v>
      </c>
    </row>
    <row r="390" spans="1:30" ht="13.5" thickBot="1" x14ac:dyDescent="0.3">
      <c r="A390" s="118" t="str">
        <f>_xlfn.CONCAT(F390," servings")</f>
        <v>11 servings</v>
      </c>
      <c r="B390" s="118"/>
      <c r="C390" s="118"/>
      <c r="D390" s="118"/>
      <c r="E390" s="61" t="s">
        <v>309</v>
      </c>
      <c r="F390" s="74">
        <f>wkdyRegDinner</f>
        <v>11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7" customFormat="1" ht="15.75" thickBot="1" x14ac:dyDescent="0.3">
      <c r="A391" s="116"/>
      <c r="B391" s="116"/>
      <c r="C391" s="116"/>
      <c r="D391" s="116"/>
      <c r="E391" s="61" t="s">
        <v>312</v>
      </c>
      <c r="F391" s="46">
        <f>F390/F389</f>
        <v>0.6875</v>
      </c>
      <c r="G391" s="47" t="s">
        <v>342</v>
      </c>
      <c r="I391" s="58"/>
      <c r="J391" s="85"/>
      <c r="K391" s="85"/>
      <c r="L391" s="59"/>
      <c r="M391" s="58"/>
      <c r="N391" s="58"/>
      <c r="O391" s="58"/>
      <c r="P391" s="58"/>
      <c r="Q391" s="85"/>
      <c r="R391" s="58"/>
      <c r="S391" s="58"/>
      <c r="T391" s="58"/>
      <c r="U391" s="85"/>
      <c r="W391" s="44"/>
      <c r="Z391" s="45"/>
    </row>
    <row r="392" spans="1:30" x14ac:dyDescent="0.25">
      <c r="A392" s="116" t="s">
        <v>151</v>
      </c>
      <c r="B392" s="116"/>
      <c r="C392" s="116"/>
      <c r="D392" s="116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16"/>
      <c r="B393" s="116"/>
      <c r="C393" s="116"/>
      <c r="D393" s="116"/>
      <c r="E393" s="61" t="s">
        <v>301</v>
      </c>
      <c r="F393" s="74">
        <f>wkdyRegDinner</f>
        <v>11</v>
      </c>
      <c r="G393" s="62"/>
      <c r="I393" s="43"/>
    </row>
    <row r="394" spans="1:30" ht="15.75" thickBot="1" x14ac:dyDescent="0.3">
      <c r="A394" s="116" t="s">
        <v>168</v>
      </c>
      <c r="B394" s="116"/>
      <c r="C394" s="116"/>
      <c r="D394" s="116"/>
      <c r="E394" s="61" t="s">
        <v>313</v>
      </c>
      <c r="F394" s="46">
        <f>F393/F390</f>
        <v>1</v>
      </c>
      <c r="G394" s="47" t="s">
        <v>343</v>
      </c>
      <c r="I394" s="43"/>
    </row>
    <row r="395" spans="1:30" x14ac:dyDescent="0.25">
      <c r="A395" s="36" t="s">
        <v>21</v>
      </c>
      <c r="B395" s="48">
        <f t="shared" ref="B395" si="319">Q395</f>
        <v>1.5</v>
      </c>
      <c r="C395" s="35" t="str">
        <f t="shared" ref="C395" si="320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MROUND(IF(AND(J395 = "", L395 = ""), I395 * recipe11DayScale, IF(ISNA(CONVERT(O395, "kg", L395)), CONVERT(P395 * recipe11DayScale, "l", L395), CONVERT(O395 * recipe11DayScale, "kg", L395))), roundTo)</f>
        <v>1.5</v>
      </c>
      <c r="R395" s="43">
        <f>recipe11TotScale * IF(L395 = "", Q395 * M395, IF(ISNA(CONVERT(Q395, L395, "kg")), CONVERT(Q395, L395, "l") * IF(N395 &lt;&gt; 0, M395 / N395, 0), CONVERT(Q395, L395, "kg")))</f>
        <v>0.31762498187594901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223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16"/>
      <c r="B396" s="116"/>
      <c r="C396" s="116"/>
      <c r="D396" s="116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16" t="s">
        <v>280</v>
      </c>
      <c r="B397" s="116"/>
      <c r="C397" s="116"/>
      <c r="D397" s="116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21">Q398</f>
        <v>7</v>
      </c>
      <c r="C398" s="35" t="str">
        <f t="shared" ref="C398" si="322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46</v>
      </c>
      <c r="L398" s="52" t="s">
        <v>15</v>
      </c>
      <c r="M398" s="43">
        <f t="shared" ref="M398:M402" si="323">INDEX(itemGPerQty, MATCH(K398, itemNames, 0))</f>
        <v>0</v>
      </c>
      <c r="N398" s="43">
        <f t="shared" ref="N398:N402" si="324">INDEX(itemMlPerQty, MATCH(K398, itemNames, 0))</f>
        <v>0</v>
      </c>
      <c r="O398" s="43">
        <f t="shared" ref="O398:O402" si="325">IF(J398 = "", I398 * M398, IF(ISNA(CONVERT(I398, J398, "kg")), CONVERT(I398, J398, "l") * IF(N398 &lt;&gt; 0, M398 / N398, 0), CONVERT(I398, J398, "kg")))</f>
        <v>0</v>
      </c>
      <c r="P398" s="43">
        <f t="shared" ref="P398:P402" si="326">IF(J398 = "", I398 * N398, IF(ISNA(CONVERT(I398, J398, "l")), CONVERT(I398, J398, "kg") * IF(M398 &lt;&gt; 0, N398 / M398, 0), CONVERT(I398, J398, "l")))</f>
        <v>0.1478676478125</v>
      </c>
      <c r="Q398" s="43">
        <f>MROUND(IF(AND(J398 = "", L398 = ""), I398 * recipe11DayScale, IF(ISNA(CONVERT(O398, "kg", L398)), CONVERT(P398 * recipe11DayScale, "l", L398), CONVERT(O398 * recipe11DayScale, "kg", L398))), roundTo)</f>
        <v>7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0.10350735346874999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7">Q399</f>
        <v>5.5</v>
      </c>
      <c r="C399" s="35" t="str">
        <f t="shared" ref="C399:C402" si="328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23"/>
        <v>0</v>
      </c>
      <c r="N399" s="43">
        <f t="shared" si="324"/>
        <v>0</v>
      </c>
      <c r="O399" s="43">
        <f t="shared" si="325"/>
        <v>0</v>
      </c>
      <c r="P399" s="43">
        <f t="shared" si="326"/>
        <v>0</v>
      </c>
      <c r="Q399" s="43">
        <f>MROUND(IF(AND(J399 = "", L399 = ""), I399 * recipe11DayScale, IF(ISNA(CONVERT(O399, "kg", L399)), CONVERT(P399 * recipe11DayScale, "l", L399), CONVERT(O399 * recipe11DayScale, "kg", L399))), roundTo)</f>
        <v>5.5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5.5</v>
      </c>
      <c r="U399" s="40" t="s">
        <v>222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7"/>
        <v>1.5</v>
      </c>
      <c r="C400" s="35" t="str">
        <f t="shared" si="328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292</v>
      </c>
      <c r="L400" s="52" t="s">
        <v>15</v>
      </c>
      <c r="M400" s="43">
        <f t="shared" si="323"/>
        <v>1.4E-2</v>
      </c>
      <c r="N400" s="43">
        <f t="shared" si="324"/>
        <v>2.2180100000000001E-2</v>
      </c>
      <c r="O400" s="43">
        <f t="shared" si="325"/>
        <v>1.8666706366292307E-2</v>
      </c>
      <c r="P400" s="43">
        <f t="shared" si="326"/>
        <v>2.9573529562499999E-2</v>
      </c>
      <c r="Q400" s="43">
        <f>MROUND(IF(AND(J400 = "", L400 = ""), I400 * recipe11DayScale, IF(ISNA(CONVERT(O400, "kg", L400)), CONVERT(P400 * recipe11DayScale, "l", L400), CONVERT(O400 * recipe11DayScale, "kg", L400))), roundTo)</f>
        <v>1.5</v>
      </c>
      <c r="R400" s="43">
        <f>recipe11TotScale * IF(L400 = "", Q400 * M400, IF(ISNA(CONVERT(Q400, L400, "kg")), CONVERT(Q400, L400, "l") * IF(N400 &lt;&gt; 0, M400 / N400, 0), CONVERT(Q400, L400, "kg")))</f>
        <v>1.4000029774719229E-2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7"/>
        <v>0.75</v>
      </c>
      <c r="C401" s="35" t="str">
        <f t="shared" si="328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93</v>
      </c>
      <c r="L401" s="52" t="s">
        <v>15</v>
      </c>
      <c r="M401" s="43">
        <f t="shared" si="323"/>
        <v>1.0999999999999999E-2</v>
      </c>
      <c r="N401" s="43">
        <f t="shared" si="324"/>
        <v>2.2180100000000001E-2</v>
      </c>
      <c r="O401" s="43">
        <f t="shared" si="325"/>
        <v>7.3333489296148338E-3</v>
      </c>
      <c r="P401" s="43">
        <f t="shared" si="326"/>
        <v>1.478676478125E-2</v>
      </c>
      <c r="Q401" s="43">
        <f>MROUND(IF(AND(J401 = "", L401 = ""), I401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7"/>
        <v>4.75</v>
      </c>
      <c r="C402" s="35" t="str">
        <f t="shared" si="328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210</v>
      </c>
      <c r="L402" s="52" t="s">
        <v>15</v>
      </c>
      <c r="M402" s="43">
        <f t="shared" si="323"/>
        <v>0</v>
      </c>
      <c r="N402" s="43">
        <f t="shared" si="324"/>
        <v>0</v>
      </c>
      <c r="O402" s="43">
        <f t="shared" si="325"/>
        <v>0</v>
      </c>
      <c r="P402" s="43">
        <f t="shared" si="326"/>
        <v>0.10350735346874999</v>
      </c>
      <c r="Q402" s="43">
        <f>MROUND(IF(AND(J402 = "", L402 = ""), I402 * recipe11DayScale, IF(ISNA(CONVERT(O402, "kg", L402)), CONVERT(P402 * recipe11DayScale, "l", L402), CONVERT(O402 * recipe11DayScale, "kg", L402))), roundTo)</f>
        <v>4.75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7.0237132710937497E-2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4.75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16"/>
      <c r="B403" s="116"/>
      <c r="C403" s="116"/>
      <c r="D403" s="116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16" t="s">
        <v>171</v>
      </c>
      <c r="B404" s="116"/>
      <c r="C404" s="116"/>
      <c r="D404" s="116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9">Q405</f>
        <v>1.5</v>
      </c>
      <c r="C405" s="35" t="str">
        <f t="shared" ref="C405:C407" si="330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54</v>
      </c>
      <c r="K405" s="51" t="s">
        <v>47</v>
      </c>
      <c r="L405" s="52" t="s">
        <v>54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31">IF(J405 = "", I405 * M405, IF(ISNA(CONVERT(I405, J405, "kg")), CONVERT(I405, J405, "l") * IF(N405 &lt;&gt; 0, M405 / N405, 0), CONVERT(I405, J405, "kg")))</f>
        <v>2</v>
      </c>
      <c r="P405" s="43">
        <f t="shared" ref="P405:P408" si="332">IF(J405 = "", I405 * N405, IF(ISNA(CONVERT(I405, J405, "l")), CONVERT(I405, J405, "kg") * IF(M405 &lt;&gt; 0, N405 / M405, 0), CONVERT(I405, J405, "l")))</f>
        <v>2</v>
      </c>
      <c r="Q405" s="43">
        <f>MROUND(IF(AND(J405 = "", L405 = ""), I405 * recipe11DayScale, IF(ISNA(CONVERT(O405, "kg", L405)), CONVERT(P405 * recipe11DayScale, "l", L405), CONVERT(O405 * recipe11DayScale, "kg", L405))), roundTo)</f>
        <v>1.5</v>
      </c>
      <c r="R405" s="43">
        <f>recipe11TotScale * IF(L405 = "", Q405 * M405, IF(ISNA(CONVERT(Q405, L405, "kg")), CONVERT(Q405, L405, "l") * IF(N405 &lt;&gt; 0, M405 / N405, 0), CONVERT(Q405, L405, "kg")))</f>
        <v>1.5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279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9"/>
        <v>5.5</v>
      </c>
      <c r="C406" s="35" t="str">
        <f t="shared" si="330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31"/>
        <v>1.8</v>
      </c>
      <c r="P406" s="43">
        <f t="shared" si="332"/>
        <v>2.7</v>
      </c>
      <c r="Q406" s="43">
        <f>MROUND(IF(AND(J406 = "", L406 = ""), I406 * recipe11DayScale, IF(ISNA(CONVERT(O406, "kg", L406)), CONVERT(P406 * recipe11DayScale, "l", L406), CONVERT(O406 * recipe11DayScale, "kg", L406))), roundTo)</f>
        <v>5.5</v>
      </c>
      <c r="R406" s="43">
        <f>recipe11TotScale * IF(L406 = "", Q406 * M406, IF(ISNA(CONVERT(Q406, L406, "kg")), CONVERT(Q406, L406, "l") * IF(N406 &lt;&gt; 0, M406 / N406, 0), CONVERT(Q406, L406, "kg")))</f>
        <v>1.2375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5.5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9"/>
        <v>7.5</v>
      </c>
      <c r="C407" s="35" t="str">
        <f t="shared" si="330"/>
        <v/>
      </c>
      <c r="D407" s="36" t="str">
        <f>_xlfn.CONCAT(K407, U407)</f>
        <v>chopped celery stalks</v>
      </c>
      <c r="I407" s="57">
        <v>11</v>
      </c>
      <c r="J407" s="51"/>
      <c r="K407" s="51" t="s">
        <v>139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31"/>
        <v>1.1495</v>
      </c>
      <c r="P407" s="43">
        <f t="shared" si="332"/>
        <v>2.2000000000000002</v>
      </c>
      <c r="Q407" s="43">
        <f>MROUND(IF(AND(J407 = "", L407 = ""), I407 * recipe11DayScale, IF(ISNA(CONVERT(O407, "kg", L407)), CONVERT(P407 * recipe11DayScale, "l", L407), CONVERT(O407 * recipe11DayScale, "kg", L407))), roundTo)</f>
        <v>7.5</v>
      </c>
      <c r="R407" s="43">
        <f>recipe11TotScale * IF(L407 = "", Q407 * M407, IF(ISNA(CONVERT(Q407, L407, "kg")), CONVERT(Q407, L407, "l") * IF(N407 &lt;&gt; 0, M407 / N407, 0), CONVERT(Q407, L407, "kg")))</f>
        <v>0.78374999999999995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7.5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33">Q408</f>
        <v>7.5</v>
      </c>
      <c r="C408" s="35" t="str">
        <f t="shared" ref="C408" si="334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170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31"/>
        <v>0.92400000000000004</v>
      </c>
      <c r="P408" s="43">
        <f t="shared" si="332"/>
        <v>7.15</v>
      </c>
      <c r="Q408" s="43">
        <f>MROUND(IF(AND(J408 = "", L408 = ""), I408 * recipe11DayScale, IF(ISNA(CONVERT(O408, "kg", L408)), CONVERT(P408 * recipe11DayScale, "l", L408), CONVERT(O408 * recipe11DayScale, "kg", L408))), roundTo)</f>
        <v>7.5</v>
      </c>
      <c r="R408" s="43">
        <f>recipe11TotScale * IF(L408 = "", Q408 * M408, IF(ISNA(CONVERT(Q408, L408, "kg")), CONVERT(Q408, L408, "l") * IF(N408 &lt;&gt; 0, M408 / N408, 0), CONVERT(Q408, L408, "kg")))</f>
        <v>0.63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7.5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16"/>
      <c r="B409" s="116"/>
      <c r="C409" s="116"/>
      <c r="D409" s="116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16" t="s">
        <v>144</v>
      </c>
      <c r="B410" s="116"/>
      <c r="C410" s="116"/>
      <c r="D410" s="116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5">Q411</f>
        <v>1.5</v>
      </c>
      <c r="C411" s="35" t="str">
        <f t="shared" ref="C411:C412" si="336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408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MROUND(IF(AND(J411 = "", L411 = ""), I411 * recipe11DayScale, IF(ISNA(CONVERT(O411, "kg", L411)), CONVERT(P411 * recipe11DayScale, "l", L411), CONVERT(O411 * recipe11DayScale, "kg", L411))), roundTo)</f>
        <v>1.5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6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220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47</v>
      </c>
      <c r="L413" s="40"/>
      <c r="M413" s="40"/>
      <c r="N413" s="40"/>
      <c r="O413" s="40"/>
      <c r="P413" s="40"/>
      <c r="U413" s="40" t="s">
        <v>196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195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16"/>
      <c r="B415" s="116"/>
      <c r="C415" s="116"/>
      <c r="D415" s="116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16" t="s">
        <v>281</v>
      </c>
      <c r="B416" s="116"/>
      <c r="C416" s="116"/>
      <c r="D416" s="116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7" t="s">
        <v>37</v>
      </c>
      <c r="B417" s="117"/>
      <c r="C417" s="117"/>
      <c r="D417" s="11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ht="15.75" x14ac:dyDescent="0.25">
      <c r="A418" s="121" t="s">
        <v>44</v>
      </c>
      <c r="B418" s="121"/>
      <c r="C418" s="121"/>
      <c r="D418" s="121"/>
      <c r="M418" s="40"/>
      <c r="N418" s="40"/>
      <c r="O418" s="40"/>
      <c r="P418" s="40"/>
      <c r="Q418" s="40"/>
      <c r="R418" s="40"/>
      <c r="S418" s="40"/>
      <c r="T418" s="40"/>
      <c r="W418" s="40"/>
      <c r="Z418" s="40"/>
    </row>
    <row r="423" spans="1:26" ht="15.75" x14ac:dyDescent="0.25">
      <c r="A423" s="117" t="s">
        <v>136</v>
      </c>
      <c r="B423" s="117"/>
      <c r="C423" s="117"/>
      <c r="D423" s="117"/>
      <c r="M423" s="40"/>
      <c r="N423" s="40"/>
      <c r="O423" s="40"/>
      <c r="P423" s="40"/>
      <c r="Q423" s="40"/>
      <c r="R423" s="40"/>
      <c r="S423" s="40"/>
      <c r="T423" s="40"/>
      <c r="W423" s="40"/>
      <c r="Z423" s="40"/>
    </row>
    <row r="425" spans="1:26" x14ac:dyDescent="0.25">
      <c r="C425" s="90" t="s">
        <v>365</v>
      </c>
      <c r="D425" s="36" t="s">
        <v>364</v>
      </c>
      <c r="M425" s="40"/>
      <c r="N425" s="40"/>
      <c r="O425" s="40"/>
      <c r="P425" s="40"/>
      <c r="Q425" s="40"/>
      <c r="R425" s="40"/>
      <c r="S425" s="40"/>
      <c r="T425" s="40"/>
      <c r="W425" s="40"/>
      <c r="Z425" s="40"/>
    </row>
    <row r="426" spans="1:26" x14ac:dyDescent="0.25">
      <c r="C426" s="90" t="s">
        <v>367</v>
      </c>
      <c r="D426" s="36" t="s">
        <v>366</v>
      </c>
      <c r="M426" s="40"/>
      <c r="N426" s="40"/>
      <c r="O426" s="40"/>
      <c r="P426" s="40"/>
      <c r="Q426" s="40"/>
      <c r="R426" s="40"/>
      <c r="S426" s="40"/>
      <c r="T426" s="40"/>
      <c r="W426" s="40"/>
      <c r="Z426" s="40"/>
    </row>
    <row r="427" spans="1:26" x14ac:dyDescent="0.25">
      <c r="C427" s="90" t="s">
        <v>368</v>
      </c>
      <c r="D427" s="36" t="s">
        <v>369</v>
      </c>
      <c r="M427" s="40"/>
      <c r="N427" s="40"/>
      <c r="O427" s="40"/>
      <c r="P427" s="40"/>
      <c r="Q427" s="40"/>
      <c r="R427" s="40"/>
      <c r="S427" s="40"/>
      <c r="T427" s="40"/>
      <c r="W427" s="40"/>
      <c r="Z427" s="40"/>
    </row>
    <row r="428" spans="1:26" x14ac:dyDescent="0.25">
      <c r="C428" s="90" t="s">
        <v>371</v>
      </c>
      <c r="D428" s="36" t="s">
        <v>370</v>
      </c>
      <c r="M428" s="40"/>
      <c r="N428" s="40"/>
      <c r="O428" s="40"/>
      <c r="P428" s="40"/>
      <c r="Q428" s="40"/>
      <c r="R428" s="40"/>
      <c r="S428" s="40"/>
      <c r="T428" s="40"/>
      <c r="W428" s="40"/>
      <c r="Z428" s="40"/>
    </row>
  </sheetData>
  <mergeCells count="220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</mergeCells>
  <conditionalFormatting sqref="M32:T32 M56:T77 M79:T104 M201:T232 M234:T259 M261:T286 M288:T320 M390:T1048576 M48:T48 M53:T54 M14:T14 M29:T29 M322:T355 M143:T165 M357:T388 M167:T199 M16:T23 Q15:T15 M34:T45 M106:T141">
    <cfRule type="cellIs" dxfId="199" priority="269" operator="equal">
      <formula>0</formula>
    </cfRule>
    <cfRule type="cellIs" dxfId="198" priority="270" operator="equal">
      <formula>0</formula>
    </cfRule>
  </conditionalFormatting>
  <conditionalFormatting sqref="Q33:T33">
    <cfRule type="cellIs" dxfId="197" priority="83" operator="equal">
      <formula>0</formula>
    </cfRule>
    <cfRule type="cellIs" dxfId="196" priority="84" operator="equal">
      <formula>0</formula>
    </cfRule>
  </conditionalFormatting>
  <conditionalFormatting sqref="Q55:T55">
    <cfRule type="cellIs" dxfId="195" priority="81" operator="equal">
      <formula>0</formula>
    </cfRule>
    <cfRule type="cellIs" dxfId="194" priority="82" operator="equal">
      <formula>0</formula>
    </cfRule>
  </conditionalFormatting>
  <conditionalFormatting sqref="Q78:T78">
    <cfRule type="cellIs" dxfId="193" priority="79" operator="equal">
      <formula>0</formula>
    </cfRule>
    <cfRule type="cellIs" dxfId="192" priority="80" operator="equal">
      <formula>0</formula>
    </cfRule>
  </conditionalFormatting>
  <conditionalFormatting sqref="Q105:T105">
    <cfRule type="cellIs" dxfId="191" priority="77" operator="equal">
      <formula>0</formula>
    </cfRule>
    <cfRule type="cellIs" dxfId="190" priority="78" operator="equal">
      <formula>0</formula>
    </cfRule>
  </conditionalFormatting>
  <conditionalFormatting sqref="Q142:T142">
    <cfRule type="cellIs" dxfId="189" priority="75" operator="equal">
      <formula>0</formula>
    </cfRule>
    <cfRule type="cellIs" dxfId="188" priority="76" operator="equal">
      <formula>0</formula>
    </cfRule>
  </conditionalFormatting>
  <conditionalFormatting sqref="Q233:T233">
    <cfRule type="cellIs" dxfId="187" priority="69" operator="equal">
      <formula>0</formula>
    </cfRule>
    <cfRule type="cellIs" dxfId="186" priority="70" operator="equal">
      <formula>0</formula>
    </cfRule>
  </conditionalFormatting>
  <conditionalFormatting sqref="Q200:T200">
    <cfRule type="cellIs" dxfId="185" priority="71" operator="equal">
      <formula>0</formula>
    </cfRule>
    <cfRule type="cellIs" dxfId="184" priority="72" operator="equal">
      <formula>0</formula>
    </cfRule>
  </conditionalFormatting>
  <conditionalFormatting sqref="Q260:T260">
    <cfRule type="cellIs" dxfId="183" priority="67" operator="equal">
      <formula>0</formula>
    </cfRule>
    <cfRule type="cellIs" dxfId="182" priority="68" operator="equal">
      <formula>0</formula>
    </cfRule>
  </conditionalFormatting>
  <conditionalFormatting sqref="Q287:T287">
    <cfRule type="cellIs" dxfId="181" priority="65" operator="equal">
      <formula>0</formula>
    </cfRule>
    <cfRule type="cellIs" dxfId="180" priority="66" operator="equal">
      <formula>0</formula>
    </cfRule>
  </conditionalFormatting>
  <conditionalFormatting sqref="Q321:T321">
    <cfRule type="cellIs" dxfId="179" priority="63" operator="equal">
      <formula>0</formula>
    </cfRule>
    <cfRule type="cellIs" dxfId="178" priority="64" operator="equal">
      <formula>0</formula>
    </cfRule>
  </conditionalFormatting>
  <conditionalFormatting sqref="Q389:T389">
    <cfRule type="cellIs" dxfId="177" priority="59" operator="equal">
      <formula>0</formula>
    </cfRule>
    <cfRule type="cellIs" dxfId="176" priority="60" operator="equal">
      <formula>0</formula>
    </cfRule>
  </conditionalFormatting>
  <conditionalFormatting sqref="M46:T47">
    <cfRule type="cellIs" dxfId="175" priority="57" operator="equal">
      <formula>0</formula>
    </cfRule>
    <cfRule type="cellIs" dxfId="174" priority="58" operator="equal">
      <formula>0</formula>
    </cfRule>
  </conditionalFormatting>
  <conditionalFormatting sqref="M49:T50">
    <cfRule type="cellIs" dxfId="173" priority="55" operator="equal">
      <formula>0</formula>
    </cfRule>
    <cfRule type="cellIs" dxfId="172" priority="56" operator="equal">
      <formula>0</formula>
    </cfRule>
  </conditionalFormatting>
  <conditionalFormatting sqref="M52:T52">
    <cfRule type="cellIs" dxfId="171" priority="53" operator="equal">
      <formula>0</formula>
    </cfRule>
    <cfRule type="cellIs" dxfId="170" priority="54" operator="equal">
      <formula>0</formula>
    </cfRule>
  </conditionalFormatting>
  <conditionalFormatting sqref="M51:T51">
    <cfRule type="cellIs" dxfId="169" priority="51" operator="equal">
      <formula>0</formula>
    </cfRule>
    <cfRule type="cellIs" dxfId="168" priority="52" operator="equal">
      <formula>0</formula>
    </cfRule>
  </conditionalFormatting>
  <conditionalFormatting sqref="Q356:T356">
    <cfRule type="cellIs" dxfId="167" priority="49" operator="equal">
      <formula>0</formula>
    </cfRule>
    <cfRule type="cellIs" dxfId="166" priority="50" operator="equal">
      <formula>0</formula>
    </cfRule>
  </conditionalFormatting>
  <conditionalFormatting sqref="Q166:T166">
    <cfRule type="cellIs" dxfId="165" priority="47" operator="equal">
      <formula>0</formula>
    </cfRule>
    <cfRule type="cellIs" dxfId="164" priority="48" operator="equal">
      <formula>0</formula>
    </cfRule>
  </conditionalFormatting>
  <conditionalFormatting sqref="M2:T2">
    <cfRule type="cellIs" dxfId="163" priority="45" operator="equal">
      <formula>0</formula>
    </cfRule>
    <cfRule type="cellIs" dxfId="162" priority="46" operator="equal">
      <formula>0</formula>
    </cfRule>
  </conditionalFormatting>
  <conditionalFormatting sqref="M6:T6">
    <cfRule type="cellIs" dxfId="161" priority="43" operator="equal">
      <formula>0</formula>
    </cfRule>
    <cfRule type="cellIs" dxfId="160" priority="44" operator="equal">
      <formula>0</formula>
    </cfRule>
  </conditionalFormatting>
  <conditionalFormatting sqref="M7:T7">
    <cfRule type="cellIs" dxfId="159" priority="41" operator="equal">
      <formula>0</formula>
    </cfRule>
    <cfRule type="cellIs" dxfId="158" priority="42" operator="equal">
      <formula>0</formula>
    </cfRule>
  </conditionalFormatting>
  <conditionalFormatting sqref="M8:T8">
    <cfRule type="cellIs" dxfId="157" priority="39" operator="equal">
      <formula>0</formula>
    </cfRule>
    <cfRule type="cellIs" dxfId="156" priority="40" operator="equal">
      <formula>0</formula>
    </cfRule>
  </conditionalFormatting>
  <conditionalFormatting sqref="M9:T9">
    <cfRule type="cellIs" dxfId="155" priority="37" operator="equal">
      <formula>0</formula>
    </cfRule>
    <cfRule type="cellIs" dxfId="154" priority="38" operator="equal">
      <formula>0</formula>
    </cfRule>
  </conditionalFormatting>
  <conditionalFormatting sqref="M10:T10">
    <cfRule type="cellIs" dxfId="153" priority="35" operator="equal">
      <formula>0</formula>
    </cfRule>
    <cfRule type="cellIs" dxfId="152" priority="36" operator="equal">
      <formula>0</formula>
    </cfRule>
  </conditionalFormatting>
  <conditionalFormatting sqref="M389:P389">
    <cfRule type="cellIs" dxfId="151" priority="1" operator="equal">
      <formula>0</formula>
    </cfRule>
    <cfRule type="cellIs" dxfId="150" priority="2" operator="equal">
      <formula>0</formula>
    </cfRule>
  </conditionalFormatting>
  <conditionalFormatting sqref="M356:P356">
    <cfRule type="cellIs" dxfId="149" priority="3" operator="equal">
      <formula>0</formula>
    </cfRule>
    <cfRule type="cellIs" dxfId="148" priority="4" operator="equal">
      <formula>0</formula>
    </cfRule>
  </conditionalFormatting>
  <conditionalFormatting sqref="M15:P15">
    <cfRule type="cellIs" dxfId="147" priority="27" operator="equal">
      <formula>0</formula>
    </cfRule>
    <cfRule type="cellIs" dxfId="146" priority="28" operator="equal">
      <formula>0</formula>
    </cfRule>
  </conditionalFormatting>
  <conditionalFormatting sqref="M33:P33">
    <cfRule type="cellIs" dxfId="145" priority="25" operator="equal">
      <formula>0</formula>
    </cfRule>
    <cfRule type="cellIs" dxfId="144" priority="26" operator="equal">
      <formula>0</formula>
    </cfRule>
  </conditionalFormatting>
  <conditionalFormatting sqref="M55:P55">
    <cfRule type="cellIs" dxfId="143" priority="23" operator="equal">
      <formula>0</formula>
    </cfRule>
    <cfRule type="cellIs" dxfId="142" priority="24" operator="equal">
      <formula>0</formula>
    </cfRule>
  </conditionalFormatting>
  <conditionalFormatting sqref="M78:P78">
    <cfRule type="cellIs" dxfId="141" priority="21" operator="equal">
      <formula>0</formula>
    </cfRule>
    <cfRule type="cellIs" dxfId="140" priority="22" operator="equal">
      <formula>0</formula>
    </cfRule>
  </conditionalFormatting>
  <conditionalFormatting sqref="M105:P105">
    <cfRule type="cellIs" dxfId="139" priority="19" operator="equal">
      <formula>0</formula>
    </cfRule>
    <cfRule type="cellIs" dxfId="138" priority="20" operator="equal">
      <formula>0</formula>
    </cfRule>
  </conditionalFormatting>
  <conditionalFormatting sqref="M142:P142">
    <cfRule type="cellIs" dxfId="137" priority="17" operator="equal">
      <formula>0</formula>
    </cfRule>
    <cfRule type="cellIs" dxfId="136" priority="18" operator="equal">
      <formula>0</formula>
    </cfRule>
  </conditionalFormatting>
  <conditionalFormatting sqref="M166:P166">
    <cfRule type="cellIs" dxfId="135" priority="15" operator="equal">
      <formula>0</formula>
    </cfRule>
    <cfRule type="cellIs" dxfId="134" priority="16" operator="equal">
      <formula>0</formula>
    </cfRule>
  </conditionalFormatting>
  <conditionalFormatting sqref="M200:P200">
    <cfRule type="cellIs" dxfId="133" priority="13" operator="equal">
      <formula>0</formula>
    </cfRule>
    <cfRule type="cellIs" dxfId="132" priority="14" operator="equal">
      <formula>0</formula>
    </cfRule>
  </conditionalFormatting>
  <conditionalFormatting sqref="M233:P233">
    <cfRule type="cellIs" dxfId="131" priority="11" operator="equal">
      <formula>0</formula>
    </cfRule>
    <cfRule type="cellIs" dxfId="130" priority="12" operator="equal">
      <formula>0</formula>
    </cfRule>
  </conditionalFormatting>
  <conditionalFormatting sqref="M260:P260">
    <cfRule type="cellIs" dxfId="129" priority="9" operator="equal">
      <formula>0</formula>
    </cfRule>
    <cfRule type="cellIs" dxfId="128" priority="10" operator="equal">
      <formula>0</formula>
    </cfRule>
  </conditionalFormatting>
  <conditionalFormatting sqref="M287:P287">
    <cfRule type="cellIs" dxfId="127" priority="7" operator="equal">
      <formula>0</formula>
    </cfRule>
    <cfRule type="cellIs" dxfId="126" priority="8" operator="equal">
      <formula>0</formula>
    </cfRule>
  </conditionalFormatting>
  <conditionalFormatting sqref="M321:P321">
    <cfRule type="cellIs" dxfId="125" priority="5" operator="equal">
      <formula>0</formula>
    </cfRule>
    <cfRule type="cellIs" dxfId="124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1"/>
  <sheetViews>
    <sheetView workbookViewId="0">
      <selection activeCell="A12" sqref="A12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177</v>
      </c>
      <c r="B1" t="s">
        <v>288</v>
      </c>
    </row>
    <row r="2" spans="1:2" x14ac:dyDescent="0.25">
      <c r="A2" t="s">
        <v>178</v>
      </c>
    </row>
    <row r="3" spans="1:2" x14ac:dyDescent="0.25">
      <c r="A3" t="s">
        <v>179</v>
      </c>
    </row>
    <row r="4" spans="1:2" x14ac:dyDescent="0.25">
      <c r="A4" t="s">
        <v>180</v>
      </c>
    </row>
    <row r="5" spans="1:2" x14ac:dyDescent="0.25">
      <c r="A5" t="s">
        <v>181</v>
      </c>
    </row>
    <row r="6" spans="1:2" x14ac:dyDescent="0.25">
      <c r="A6" t="s">
        <v>284</v>
      </c>
    </row>
    <row r="7" spans="1:2" x14ac:dyDescent="0.25">
      <c r="A7" t="s">
        <v>285</v>
      </c>
    </row>
    <row r="8" spans="1:2" x14ac:dyDescent="0.25">
      <c r="A8" t="s">
        <v>286</v>
      </c>
    </row>
    <row r="9" spans="1:2" x14ac:dyDescent="0.25">
      <c r="A9" t="s">
        <v>287</v>
      </c>
    </row>
    <row r="10" spans="1:2" x14ac:dyDescent="0.25">
      <c r="A10" t="s">
        <v>300</v>
      </c>
    </row>
    <row r="11" spans="1:2" x14ac:dyDescent="0.25">
      <c r="A11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3"/>
  <sheetViews>
    <sheetView topLeftCell="A53" zoomScale="145" zoomScaleNormal="145" workbookViewId="0">
      <selection activeCell="E82" sqref="E82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9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9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134</v>
      </c>
      <c r="B1" s="29" t="s">
        <v>184</v>
      </c>
      <c r="C1" s="11" t="s">
        <v>135</v>
      </c>
      <c r="D1" s="109" t="s">
        <v>52</v>
      </c>
      <c r="E1" s="10" t="s">
        <v>128</v>
      </c>
      <c r="F1" s="10" t="s">
        <v>129</v>
      </c>
      <c r="G1" s="12" t="s">
        <v>130</v>
      </c>
      <c r="H1" s="12" t="s">
        <v>131</v>
      </c>
      <c r="I1" s="12" t="s">
        <v>101</v>
      </c>
      <c r="J1" s="12" t="s">
        <v>102</v>
      </c>
      <c r="K1" s="12" t="s">
        <v>100</v>
      </c>
      <c r="L1" s="75" t="s">
        <v>372</v>
      </c>
      <c r="M1" s="12"/>
      <c r="N1" s="11" t="s">
        <v>188</v>
      </c>
      <c r="P1" s="11" t="s">
        <v>114</v>
      </c>
      <c r="R1" s="11" t="s">
        <v>183</v>
      </c>
    </row>
    <row r="2" spans="1:18" ht="14.25" thickTop="1" thickBot="1" x14ac:dyDescent="0.25">
      <c r="A2" s="16" t="s">
        <v>383</v>
      </c>
      <c r="B2" s="30" t="s">
        <v>185</v>
      </c>
      <c r="C2" s="14" t="s">
        <v>379</v>
      </c>
      <c r="D2" s="110"/>
      <c r="E2" s="88"/>
      <c r="F2" s="88"/>
      <c r="G2" s="13">
        <f t="shared" ref="G2:G32" si="0">IF(D2&lt;&gt;0, E2/D2, 0)</f>
        <v>0</v>
      </c>
      <c r="H2" s="13">
        <f t="shared" ref="H2:H32" si="1"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18</v>
      </c>
      <c r="L2" s="76">
        <f>COUNTIF(recipes!K:K,A2)</f>
        <v>1</v>
      </c>
      <c r="M2" s="3"/>
      <c r="N2" s="8" t="s">
        <v>16</v>
      </c>
      <c r="P2" s="8">
        <v>0.25</v>
      </c>
      <c r="R2" s="8" t="s">
        <v>185</v>
      </c>
    </row>
    <row r="3" spans="1:18" ht="13.5" thickBot="1" x14ac:dyDescent="0.25">
      <c r="A3" s="17" t="s">
        <v>384</v>
      </c>
      <c r="B3" s="31" t="s">
        <v>185</v>
      </c>
      <c r="C3" s="4" t="s">
        <v>380</v>
      </c>
      <c r="D3" s="81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7">
        <f>COUNTIF(recipes!K:K,A3)</f>
        <v>1</v>
      </c>
      <c r="M3" s="3"/>
      <c r="N3" s="9" t="s">
        <v>174</v>
      </c>
      <c r="P3" s="7" t="s">
        <v>115</v>
      </c>
      <c r="R3" s="8" t="s">
        <v>186</v>
      </c>
    </row>
    <row r="4" spans="1:18" ht="13.5" thickBot="1" x14ac:dyDescent="0.25">
      <c r="A4" s="17" t="s">
        <v>79</v>
      </c>
      <c r="B4" s="31"/>
      <c r="C4" s="4" t="s">
        <v>79</v>
      </c>
      <c r="D4" s="81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5.25</v>
      </c>
      <c r="L4" s="77">
        <f>COUNTIF(recipes!K:K,A4)</f>
        <v>2</v>
      </c>
      <c r="M4" s="3"/>
      <c r="N4" s="9" t="s">
        <v>0</v>
      </c>
      <c r="R4" s="7" t="s">
        <v>187</v>
      </c>
    </row>
    <row r="5" spans="1:18" x14ac:dyDescent="0.2">
      <c r="A5" s="17" t="s">
        <v>48</v>
      </c>
      <c r="B5" s="31"/>
      <c r="C5" s="4" t="s">
        <v>48</v>
      </c>
      <c r="D5" s="81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5.0666774422793402E-2</v>
      </c>
      <c r="J5" s="3">
        <f>SUMIF(recipes!K:K,A5,recipes!S:S)</f>
        <v>0</v>
      </c>
      <c r="K5" s="3">
        <f>SUMIF(recipes!K:K,A5,recipes!T:T)</f>
        <v>0</v>
      </c>
      <c r="L5" s="77">
        <f>COUNTIF(recipes!K:K,A5)</f>
        <v>1</v>
      </c>
      <c r="M5" s="3"/>
      <c r="N5" s="9" t="s">
        <v>12</v>
      </c>
    </row>
    <row r="6" spans="1:18" x14ac:dyDescent="0.2">
      <c r="A6" s="17" t="s">
        <v>491</v>
      </c>
      <c r="B6" s="31" t="s">
        <v>185</v>
      </c>
      <c r="C6" s="4" t="s">
        <v>2</v>
      </c>
      <c r="D6" s="81">
        <v>1</v>
      </c>
      <c r="E6" s="3">
        <v>0.27300000000000002</v>
      </c>
      <c r="F6" s="3">
        <v>1.1000000000000001</v>
      </c>
      <c r="G6" s="3">
        <f t="shared" si="0"/>
        <v>0.27300000000000002</v>
      </c>
      <c r="H6" s="3">
        <f t="shared" si="1"/>
        <v>1.1000000000000001</v>
      </c>
      <c r="I6" s="3">
        <f>SUMIF(recipes!K:K,A6,recipes!R:R)</f>
        <v>1.2417448811381251</v>
      </c>
      <c r="J6" s="3">
        <f>SUMIF(recipes!K:K,A6,recipes!S:S)</f>
        <v>0</v>
      </c>
      <c r="K6" s="3">
        <f>SUMIF(recipes!K:K,A6,recipes!T:T)</f>
        <v>0</v>
      </c>
      <c r="L6" s="77">
        <f>COUNTIF(recipes!K:K,A6)</f>
        <v>3</v>
      </c>
      <c r="M6" s="3"/>
      <c r="N6" s="9" t="s">
        <v>54</v>
      </c>
    </row>
    <row r="7" spans="1:18" x14ac:dyDescent="0.2">
      <c r="A7" s="17" t="s">
        <v>5</v>
      </c>
      <c r="B7" s="31" t="s">
        <v>185</v>
      </c>
      <c r="C7" s="4" t="s">
        <v>58</v>
      </c>
      <c r="D7" s="81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3.7287291856718756</v>
      </c>
      <c r="J7" s="3">
        <f>SUMIF(recipes!K:K,A7,recipes!S:S)</f>
        <v>0</v>
      </c>
      <c r="K7" s="3">
        <f>SUMIF(recipes!K:K,A7,recipes!T:T)</f>
        <v>0</v>
      </c>
      <c r="L7" s="77">
        <f>COUNTIF(recipes!K:K,A7)</f>
        <v>4</v>
      </c>
      <c r="M7" s="3"/>
      <c r="N7" s="9" t="s">
        <v>1</v>
      </c>
    </row>
    <row r="8" spans="1:18" x14ac:dyDescent="0.2">
      <c r="A8" s="17" t="s">
        <v>88</v>
      </c>
      <c r="B8" s="31" t="s">
        <v>185</v>
      </c>
      <c r="C8" s="4" t="s">
        <v>58</v>
      </c>
      <c r="D8" s="81">
        <v>2</v>
      </c>
      <c r="E8" s="4">
        <v>0.253</v>
      </c>
      <c r="F8" s="4">
        <v>0.4</v>
      </c>
      <c r="G8" s="3">
        <f t="shared" si="0"/>
        <v>0.1265</v>
      </c>
      <c r="H8" s="3">
        <f t="shared" si="1"/>
        <v>0.2</v>
      </c>
      <c r="I8" s="3">
        <f>SUMIF(recipes!K:K,A8,recipes!R:R)</f>
        <v>2.9180201619318744</v>
      </c>
      <c r="J8" s="3">
        <f>SUMIF(recipes!K:K,A8,recipes!S:S)</f>
        <v>0</v>
      </c>
      <c r="K8" s="3">
        <f>SUMIF(recipes!K:K,A8,recipes!T:T)</f>
        <v>0</v>
      </c>
      <c r="L8" s="77">
        <f>COUNTIF(recipes!K:K,A8)</f>
        <v>3</v>
      </c>
      <c r="M8" s="3"/>
      <c r="N8" s="9" t="s">
        <v>15</v>
      </c>
    </row>
    <row r="9" spans="1:18" x14ac:dyDescent="0.2">
      <c r="A9" s="17" t="s">
        <v>294</v>
      </c>
      <c r="B9" s="31" t="s">
        <v>185</v>
      </c>
      <c r="C9" s="4" t="s">
        <v>58</v>
      </c>
      <c r="D9" s="81">
        <v>1</v>
      </c>
      <c r="E9" s="4">
        <v>0.157</v>
      </c>
      <c r="F9" s="4">
        <v>0.29573529999999998</v>
      </c>
      <c r="G9" s="3">
        <f t="shared" si="0"/>
        <v>0.157</v>
      </c>
      <c r="H9" s="3">
        <f t="shared" si="1"/>
        <v>0.29573529999999998</v>
      </c>
      <c r="I9" s="3">
        <f>SUMIF(recipes!K:K,A9,recipes!R:R)</f>
        <v>0.6531199903379814</v>
      </c>
      <c r="J9" s="3">
        <f>SUMIF(recipes!K:K,A9,recipes!S:S)</f>
        <v>0</v>
      </c>
      <c r="K9" s="3">
        <f>SUMIF(recipes!K:K,A9,recipes!T:T)</f>
        <v>0</v>
      </c>
      <c r="L9" s="77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484</v>
      </c>
      <c r="B10" s="31" t="s">
        <v>185</v>
      </c>
      <c r="C10" s="4" t="s">
        <v>58</v>
      </c>
      <c r="D10" s="81">
        <v>2</v>
      </c>
      <c r="E10" s="4">
        <v>0.28999999999999998</v>
      </c>
      <c r="F10" s="4">
        <v>0.55000000000000004</v>
      </c>
      <c r="G10" s="3">
        <f t="shared" si="0"/>
        <v>0.14499999999999999</v>
      </c>
      <c r="H10" s="3">
        <f t="shared" si="1"/>
        <v>0.27500000000000002</v>
      </c>
      <c r="I10" s="3">
        <f>SUMIF(recipes!K:K,A10,recipes!R:R)</f>
        <v>1.06034545995</v>
      </c>
      <c r="J10" s="3">
        <f>SUMIF(recipes!K:K,A10,recipes!S:S)</f>
        <v>0</v>
      </c>
      <c r="K10" s="3">
        <f>SUMIF(recipes!K:K,A10,recipes!T:T)</f>
        <v>0</v>
      </c>
      <c r="L10" s="77">
        <f>COUNTIF(recipes!K:K,A10)</f>
        <v>1</v>
      </c>
      <c r="M10" s="3"/>
      <c r="N10" s="7" t="s">
        <v>51</v>
      </c>
    </row>
    <row r="11" spans="1:18" s="27" customFormat="1" x14ac:dyDescent="0.2">
      <c r="A11" s="17" t="s">
        <v>166</v>
      </c>
      <c r="B11" s="31"/>
      <c r="C11" s="4" t="s">
        <v>166</v>
      </c>
      <c r="D11" s="81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77">
        <f>COUNTIF(recipes!K:K,A11)</f>
        <v>1</v>
      </c>
      <c r="M11" s="3"/>
      <c r="N11" s="1"/>
    </row>
    <row r="12" spans="1:18" s="27" customFormat="1" x14ac:dyDescent="0.2">
      <c r="A12" s="17" t="s">
        <v>150</v>
      </c>
      <c r="B12" s="31" t="s">
        <v>185</v>
      </c>
      <c r="C12" s="4" t="s">
        <v>147</v>
      </c>
      <c r="D12" s="81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3.25</v>
      </c>
      <c r="L12" s="77">
        <f>COUNTIF(recipes!K:K,A12)</f>
        <v>3</v>
      </c>
      <c r="M12" s="3"/>
    </row>
    <row r="13" spans="1:18" s="27" customFormat="1" x14ac:dyDescent="0.2">
      <c r="A13" s="17" t="s">
        <v>139</v>
      </c>
      <c r="B13" s="31" t="s">
        <v>185</v>
      </c>
      <c r="C13" s="4" t="s">
        <v>482</v>
      </c>
      <c r="D13" s="81">
        <v>2</v>
      </c>
      <c r="E13" s="4">
        <v>0.20899999999999999</v>
      </c>
      <c r="F13" s="4">
        <v>0.4</v>
      </c>
      <c r="G13" s="3">
        <f t="shared" si="0"/>
        <v>0.1045</v>
      </c>
      <c r="H13" s="3">
        <f t="shared" si="1"/>
        <v>0.2</v>
      </c>
      <c r="I13" s="3">
        <f>SUMIF(recipes!K:K,A13,recipes!R:R)</f>
        <v>1.6197499999999998</v>
      </c>
      <c r="J13" s="3">
        <f>SUMIF(recipes!K:K,A13,recipes!S:S)</f>
        <v>0</v>
      </c>
      <c r="K13" s="3">
        <f>SUMIF(recipes!K:K,A13,recipes!T:T)</f>
        <v>0</v>
      </c>
      <c r="L13" s="77">
        <f>COUNTIF(recipes!K:K,A13)</f>
        <v>2</v>
      </c>
      <c r="M13" s="3"/>
    </row>
    <row r="14" spans="1:18" s="27" customFormat="1" x14ac:dyDescent="0.2">
      <c r="A14" s="17" t="s">
        <v>89</v>
      </c>
      <c r="B14" s="31" t="s">
        <v>185</v>
      </c>
      <c r="C14" s="4" t="s">
        <v>482</v>
      </c>
      <c r="D14" s="81">
        <v>3</v>
      </c>
      <c r="E14" s="4">
        <v>0.16400000000000001</v>
      </c>
      <c r="F14" s="4">
        <v>0.33</v>
      </c>
      <c r="G14" s="3">
        <f t="shared" si="0"/>
        <v>5.4666666666666669E-2</v>
      </c>
      <c r="H14" s="3">
        <f t="shared" si="1"/>
        <v>0.11</v>
      </c>
      <c r="I14" s="3">
        <f>SUMIF(recipes!K:K,A14,recipes!R:R)</f>
        <v>0.64233333333333342</v>
      </c>
      <c r="J14" s="3">
        <f>SUMIF(recipes!K:K,A14,recipes!S:S)</f>
        <v>0</v>
      </c>
      <c r="K14" s="3">
        <f>SUMIF(recipes!K:K,A14,recipes!T:T)</f>
        <v>0</v>
      </c>
      <c r="L14" s="77">
        <f>COUNTIF(recipes!K:K,A14)</f>
        <v>3</v>
      </c>
      <c r="M14" s="3"/>
    </row>
    <row r="15" spans="1:18" s="27" customFormat="1" x14ac:dyDescent="0.2">
      <c r="A15" s="17" t="s">
        <v>160</v>
      </c>
      <c r="B15" s="31" t="s">
        <v>185</v>
      </c>
      <c r="C15" s="4" t="s">
        <v>482</v>
      </c>
      <c r="D15" s="81">
        <v>2</v>
      </c>
      <c r="E15" s="4">
        <v>0.2</v>
      </c>
      <c r="F15" s="4">
        <v>0.4</v>
      </c>
      <c r="G15" s="3">
        <f t="shared" si="0"/>
        <v>0.1</v>
      </c>
      <c r="H15" s="3">
        <f t="shared" si="1"/>
        <v>0.2</v>
      </c>
      <c r="I15" s="3">
        <f>SUMIF(recipes!K:K,A15,recipes!R:R)</f>
        <v>2.2450000000000001</v>
      </c>
      <c r="J15" s="3">
        <f>SUMIF(recipes!K:K,A15,recipes!S:S)</f>
        <v>0</v>
      </c>
      <c r="K15" s="3">
        <f>SUMIF(recipes!K:K,A15,recipes!T:T)</f>
        <v>0</v>
      </c>
      <c r="L15" s="77">
        <f>COUNTIF(recipes!K:K,A15)</f>
        <v>3</v>
      </c>
      <c r="M15" s="3"/>
    </row>
    <row r="16" spans="1:18" s="27" customFormat="1" x14ac:dyDescent="0.2">
      <c r="A16" s="17" t="s">
        <v>104</v>
      </c>
      <c r="B16" s="31"/>
      <c r="C16" s="4" t="s">
        <v>104</v>
      </c>
      <c r="D16" s="81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0.11829411825</v>
      </c>
      <c r="K16" s="3">
        <f>SUMIF(recipes!K:K,A16,recipes!T:T)</f>
        <v>0</v>
      </c>
      <c r="L16" s="77">
        <f>COUNTIF(recipes!K:K,A16)</f>
        <v>1</v>
      </c>
      <c r="M16" s="3"/>
    </row>
    <row r="17" spans="1:13" x14ac:dyDescent="0.2">
      <c r="A17" s="17" t="s">
        <v>93</v>
      </c>
      <c r="B17" s="31"/>
      <c r="C17" s="4" t="s">
        <v>93</v>
      </c>
      <c r="D17" s="81">
        <v>1</v>
      </c>
      <c r="E17" s="4">
        <v>1.0999999999999999E-2</v>
      </c>
      <c r="F17" s="4">
        <v>2.2180100000000001E-2</v>
      </c>
      <c r="G17" s="3">
        <f t="shared" si="0"/>
        <v>1.0999999999999999E-2</v>
      </c>
      <c r="H17" s="3">
        <f t="shared" si="1"/>
        <v>2.2180100000000001E-2</v>
      </c>
      <c r="I17" s="3">
        <f>SUMIF(recipes!K:K,A17,recipes!R:R)</f>
        <v>1.0388910983621014E-2</v>
      </c>
      <c r="J17" s="3">
        <f>SUMIF(recipes!K:K,A17,recipes!S:S)</f>
        <v>0</v>
      </c>
      <c r="K17" s="3">
        <f>SUMIF(recipes!K:K,A17,recipes!T:T)</f>
        <v>0</v>
      </c>
      <c r="L17" s="77">
        <f>COUNTIF(recipes!K:K,A17)</f>
        <v>3</v>
      </c>
      <c r="M17" s="3"/>
    </row>
    <row r="18" spans="1:13" s="27" customFormat="1" x14ac:dyDescent="0.2">
      <c r="A18" s="17" t="s">
        <v>293</v>
      </c>
      <c r="B18" s="31" t="s">
        <v>185</v>
      </c>
      <c r="C18" s="4" t="s">
        <v>146</v>
      </c>
      <c r="D18" s="81">
        <v>1</v>
      </c>
      <c r="E18" s="3">
        <v>0.30599999999999999</v>
      </c>
      <c r="F18" s="3"/>
      <c r="G18" s="3">
        <f t="shared" si="0"/>
        <v>0.30599999999999999</v>
      </c>
      <c r="H18" s="3">
        <f t="shared" si="1"/>
        <v>0</v>
      </c>
      <c r="I18" s="3">
        <f>SUMIF(recipes!K:K,A18,recipes!R:R)</f>
        <v>1.1934</v>
      </c>
      <c r="J18" s="3">
        <f>SUMIF(recipes!K:K,A18,recipes!S:S)</f>
        <v>0</v>
      </c>
      <c r="K18" s="3">
        <f>SUMIF(recipes!K:K,A18,recipes!T:T)</f>
        <v>0</v>
      </c>
      <c r="L18" s="77">
        <f>COUNTIF(recipes!K:K,A18)</f>
        <v>1</v>
      </c>
      <c r="M18" s="3"/>
    </row>
    <row r="19" spans="1:13" x14ac:dyDescent="0.2">
      <c r="A19" s="17" t="s">
        <v>49</v>
      </c>
      <c r="B19" s="31"/>
      <c r="C19" s="4" t="s">
        <v>49</v>
      </c>
      <c r="D19" s="81">
        <v>1</v>
      </c>
      <c r="E19" s="4">
        <v>1.0999999999999999E-2</v>
      </c>
      <c r="F19" s="4">
        <v>2.2180100000000001E-2</v>
      </c>
      <c r="G19" s="3">
        <f t="shared" si="0"/>
        <v>1.0999999999999999E-2</v>
      </c>
      <c r="H19" s="3">
        <f t="shared" si="1"/>
        <v>2.2180100000000001E-2</v>
      </c>
      <c r="I19" s="3">
        <f>SUMIF(recipes!K:K,A19,recipes!R:R)</f>
        <v>3.483340741567046E-2</v>
      </c>
      <c r="J19" s="3">
        <f>SUMIF(recipes!K:K,A19,recipes!S:S)</f>
        <v>0</v>
      </c>
      <c r="K19" s="3">
        <f>SUMIF(recipes!K:K,A19,recipes!T:T)</f>
        <v>0</v>
      </c>
      <c r="L19" s="77">
        <f>COUNTIF(recipes!K:K,A19)</f>
        <v>1</v>
      </c>
      <c r="M19" s="3"/>
    </row>
    <row r="20" spans="1:13" x14ac:dyDescent="0.2">
      <c r="A20" s="17" t="s">
        <v>9</v>
      </c>
      <c r="B20" s="31"/>
      <c r="C20" s="4" t="s">
        <v>9</v>
      </c>
      <c r="D20" s="81">
        <v>1</v>
      </c>
      <c r="E20" s="4">
        <v>1.2E-2</v>
      </c>
      <c r="F20" s="4">
        <v>2.2180100000000001E-2</v>
      </c>
      <c r="G20" s="3">
        <f t="shared" si="0"/>
        <v>1.2E-2</v>
      </c>
      <c r="H20" s="3">
        <f t="shared" si="1"/>
        <v>2.2180100000000001E-2</v>
      </c>
      <c r="I20" s="3">
        <f>SUMIF(recipes!K:K,A20,recipes!R:R)</f>
        <v>5.4000114845345601E-2</v>
      </c>
      <c r="J20" s="3">
        <f>SUMIF(recipes!K:K,A20,recipes!S:S)</f>
        <v>0</v>
      </c>
      <c r="K20" s="3">
        <f>SUMIF(recipes!K:K,A20,recipes!T:T)</f>
        <v>0</v>
      </c>
      <c r="L20" s="77">
        <f>COUNTIF(recipes!K:K,A20)</f>
        <v>2</v>
      </c>
      <c r="M20" s="3"/>
    </row>
    <row r="21" spans="1:13" x14ac:dyDescent="0.2">
      <c r="A21" s="17" t="s">
        <v>65</v>
      </c>
      <c r="B21" s="31"/>
      <c r="C21" s="4" t="s">
        <v>65</v>
      </c>
      <c r="D21" s="81"/>
      <c r="E21" s="4"/>
      <c r="F21" s="4"/>
      <c r="G21" s="3">
        <f t="shared" si="0"/>
        <v>0</v>
      </c>
      <c r="H21" s="3">
        <f t="shared" si="1"/>
        <v>0</v>
      </c>
      <c r="I21" s="3">
        <f>SUMIF(recipes!K:K,A21,recipes!R:R)</f>
        <v>0</v>
      </c>
      <c r="J21" s="3">
        <f>SUMIF(recipes!K:K,A21,recipes!S:S)</f>
        <v>9.6113971078124999E-2</v>
      </c>
      <c r="K21" s="3">
        <f>SUMIF(recipes!K:K,A21,recipes!T:T)</f>
        <v>0</v>
      </c>
      <c r="L21" s="77">
        <f>COUNTIF(recipes!K:K,A21)</f>
        <v>2</v>
      </c>
      <c r="M21" s="3"/>
    </row>
    <row r="22" spans="1:13" x14ac:dyDescent="0.2">
      <c r="A22" s="17" t="s">
        <v>92</v>
      </c>
      <c r="B22" s="31"/>
      <c r="C22" s="4" t="s">
        <v>92</v>
      </c>
      <c r="D22" s="81">
        <v>1</v>
      </c>
      <c r="E22" s="4">
        <v>3.0000000000000001E-3</v>
      </c>
      <c r="F22" s="4">
        <v>2.2180100000000001E-2</v>
      </c>
      <c r="G22" s="3">
        <f t="shared" si="0"/>
        <v>3.0000000000000001E-3</v>
      </c>
      <c r="H22" s="3">
        <f t="shared" si="1"/>
        <v>2.2180100000000001E-2</v>
      </c>
      <c r="I22" s="3">
        <f>SUMIF(recipes!K:K,A22,recipes!R:R)</f>
        <v>1.5000031901484889E-3</v>
      </c>
      <c r="J22" s="3">
        <f>SUMIF(recipes!K:K,A22,recipes!S:S)</f>
        <v>0</v>
      </c>
      <c r="K22" s="3">
        <f>SUMIF(recipes!K:K,A22,recipes!T:T)</f>
        <v>0</v>
      </c>
      <c r="L22" s="77">
        <f>COUNTIF(recipes!K:K,A22)</f>
        <v>1</v>
      </c>
      <c r="M22" s="3"/>
    </row>
    <row r="23" spans="1:13" x14ac:dyDescent="0.2">
      <c r="A23" s="17" t="s">
        <v>266</v>
      </c>
      <c r="B23" s="31"/>
      <c r="C23" s="4" t="s">
        <v>266</v>
      </c>
      <c r="D23" s="81">
        <v>1</v>
      </c>
      <c r="E23" s="4">
        <v>1.02</v>
      </c>
      <c r="F23" s="4">
        <v>1.2</v>
      </c>
      <c r="G23" s="3">
        <f t="shared" si="0"/>
        <v>1.02</v>
      </c>
      <c r="H23" s="3">
        <f t="shared" si="1"/>
        <v>1.2</v>
      </c>
      <c r="I23" s="3">
        <f>SUMIF(recipes!K:K,A23,recipes!R:R)</f>
        <v>0.45247500230624998</v>
      </c>
      <c r="J23" s="3">
        <f>SUMIF(recipes!K:K,A23,recipes!S:S)</f>
        <v>0</v>
      </c>
      <c r="K23" s="3">
        <f>SUMIF(recipes!K:K,A23,recipes!T:T)</f>
        <v>0</v>
      </c>
      <c r="L23" s="77">
        <f>COUNTIF(recipes!K:K,A23)</f>
        <v>1</v>
      </c>
      <c r="M23" s="3"/>
    </row>
    <row r="24" spans="1:13" x14ac:dyDescent="0.2">
      <c r="A24" s="17" t="s">
        <v>85</v>
      </c>
      <c r="B24" s="31" t="s">
        <v>186</v>
      </c>
      <c r="C24" s="4" t="s">
        <v>86</v>
      </c>
      <c r="D24" s="81">
        <v>1</v>
      </c>
      <c r="E24" s="4">
        <v>0.76300000000000001</v>
      </c>
      <c r="F24" s="4">
        <v>0.946353</v>
      </c>
      <c r="G24" s="3">
        <f t="shared" si="0"/>
        <v>0.76300000000000001</v>
      </c>
      <c r="H24" s="3">
        <f t="shared" si="1"/>
        <v>0.946353</v>
      </c>
      <c r="I24" s="3">
        <f>SUMIF(recipes!K:K,A24,recipes!R:R)</f>
        <v>0.38149997823116744</v>
      </c>
      <c r="J24" s="3">
        <f>SUMIF(recipes!K:K,A24,recipes!S:S)</f>
        <v>0</v>
      </c>
      <c r="K24" s="3">
        <f>SUMIF(recipes!K:K,A24,recipes!T:T)</f>
        <v>0</v>
      </c>
      <c r="L24" s="77">
        <f>COUNTIF(recipes!K:K,A24)</f>
        <v>1</v>
      </c>
      <c r="M24" s="3"/>
    </row>
    <row r="25" spans="1:13" s="27" customFormat="1" x14ac:dyDescent="0.2">
      <c r="A25" s="17" t="s">
        <v>45</v>
      </c>
      <c r="B25" s="31" t="s">
        <v>186</v>
      </c>
      <c r="C25" s="4" t="s">
        <v>87</v>
      </c>
      <c r="D25" s="81">
        <v>1</v>
      </c>
      <c r="E25" s="4">
        <v>0.80800000000000005</v>
      </c>
      <c r="F25" s="4">
        <v>0.946353</v>
      </c>
      <c r="G25" s="3">
        <f t="shared" si="0"/>
        <v>0.80800000000000005</v>
      </c>
      <c r="H25" s="3">
        <f t="shared" si="1"/>
        <v>0.946353</v>
      </c>
      <c r="I25" s="3">
        <f>SUMIF(recipes!K:K,A25,recipes!R:R)</f>
        <v>0.95949994524981697</v>
      </c>
      <c r="J25" s="3">
        <f>SUMIF(recipes!K:K,A25,recipes!S:S)</f>
        <v>0</v>
      </c>
      <c r="K25" s="3">
        <f>SUMIF(recipes!K:K,A25,recipes!T:T)</f>
        <v>0</v>
      </c>
      <c r="L25" s="77">
        <f>COUNTIF(recipes!K:K,A25)</f>
        <v>1</v>
      </c>
      <c r="M25" s="3"/>
    </row>
    <row r="26" spans="1:13" s="27" customFormat="1" x14ac:dyDescent="0.2">
      <c r="A26" s="17" t="s">
        <v>268</v>
      </c>
      <c r="B26" s="31"/>
      <c r="C26" s="4" t="s">
        <v>268</v>
      </c>
      <c r="D26" s="81">
        <v>1</v>
      </c>
      <c r="E26" s="4">
        <v>3.0000000000000001E-3</v>
      </c>
      <c r="F26" s="4">
        <v>2.2180100000000001E-2</v>
      </c>
      <c r="G26" s="3">
        <f t="shared" si="0"/>
        <v>3.0000000000000001E-3</v>
      </c>
      <c r="H26" s="3">
        <f t="shared" si="1"/>
        <v>2.2180100000000001E-2</v>
      </c>
      <c r="I26" s="3">
        <f>SUMIF(recipes!K:K,A26,recipes!R:R)</f>
        <v>2.0000042535313184E-3</v>
      </c>
      <c r="J26" s="3">
        <f>SUMIF(recipes!K:K,A26,recipes!S:S)</f>
        <v>0</v>
      </c>
      <c r="K26" s="3">
        <f>SUMIF(recipes!K:K,A26,recipes!T:T)</f>
        <v>0</v>
      </c>
      <c r="L26" s="77">
        <f>COUNTIF(recipes!K:K,A26)</f>
        <v>1</v>
      </c>
      <c r="M26" s="3"/>
    </row>
    <row r="27" spans="1:13" x14ac:dyDescent="0.2">
      <c r="A27" s="17" t="s">
        <v>7</v>
      </c>
      <c r="B27" s="31" t="s">
        <v>186</v>
      </c>
      <c r="C27" s="4" t="s">
        <v>182</v>
      </c>
      <c r="D27" s="81">
        <v>1</v>
      </c>
      <c r="E27" s="4">
        <v>0.84699999999999998</v>
      </c>
      <c r="F27" s="4">
        <v>0.946353</v>
      </c>
      <c r="G27" s="3">
        <f t="shared" si="0"/>
        <v>0.84699999999999998</v>
      </c>
      <c r="H27" s="3">
        <f t="shared" si="1"/>
        <v>0.946353</v>
      </c>
      <c r="I27" s="3">
        <f>SUMIF(recipes!K:K,A27,recipes!R:R)</f>
        <v>1.3234374244831209</v>
      </c>
      <c r="J27" s="3">
        <f>SUMIF(recipes!K:K,A27,recipes!S:S)</f>
        <v>0</v>
      </c>
      <c r="K27" s="3">
        <f>SUMIF(recipes!K:K,A27,recipes!T:T)</f>
        <v>0</v>
      </c>
      <c r="L27" s="77">
        <f>COUNTIF(recipes!K:K,A27)</f>
        <v>2</v>
      </c>
      <c r="M27" s="3"/>
    </row>
    <row r="28" spans="1:13" s="27" customFormat="1" x14ac:dyDescent="0.2">
      <c r="A28" s="17" t="s">
        <v>73</v>
      </c>
      <c r="B28" s="31" t="s">
        <v>185</v>
      </c>
      <c r="C28" s="4" t="s">
        <v>74</v>
      </c>
      <c r="D28" s="81"/>
      <c r="E28" s="4"/>
      <c r="F28" s="4"/>
      <c r="G28" s="3">
        <f t="shared" si="0"/>
        <v>0</v>
      </c>
      <c r="H28" s="3">
        <f t="shared" si="1"/>
        <v>0</v>
      </c>
      <c r="I28" s="3">
        <f>SUMIF(recipes!K:K,A28,recipes!R:R)</f>
        <v>0</v>
      </c>
      <c r="J28" s="3">
        <f>SUMIF(recipes!K:K,A28,recipes!S:S)</f>
        <v>0</v>
      </c>
      <c r="K28" s="3">
        <f>SUMIF(recipes!K:K,A28,recipes!T:T)</f>
        <v>0</v>
      </c>
      <c r="L28" s="77">
        <f>COUNTIF(recipes!K:K,A28)</f>
        <v>1</v>
      </c>
      <c r="M28" s="3"/>
    </row>
    <row r="29" spans="1:13" x14ac:dyDescent="0.2">
      <c r="A29" s="17" t="s">
        <v>347</v>
      </c>
      <c r="B29" s="31" t="s">
        <v>185</v>
      </c>
      <c r="C29" s="4" t="s">
        <v>69</v>
      </c>
      <c r="D29" s="81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4.8056985539062499E-2</v>
      </c>
      <c r="K29" s="3">
        <f>SUMIF(recipes!K:K,A29,recipes!T:T)</f>
        <v>0</v>
      </c>
      <c r="L29" s="77">
        <f>COUNTIF(recipes!K:K,A29)</f>
        <v>1</v>
      </c>
      <c r="M29" s="3"/>
    </row>
    <row r="30" spans="1:13" x14ac:dyDescent="0.2">
      <c r="A30" s="17" t="s">
        <v>76</v>
      </c>
      <c r="B30" s="31"/>
      <c r="C30" s="4" t="s">
        <v>69</v>
      </c>
      <c r="D30" s="81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0</v>
      </c>
      <c r="K30" s="3">
        <f>SUMIF(recipes!K:K,A30,recipes!T:T)</f>
        <v>0</v>
      </c>
      <c r="L30" s="77">
        <f>COUNTIF(recipes!K:K,A30)</f>
        <v>2</v>
      </c>
      <c r="M30" s="3"/>
    </row>
    <row r="31" spans="1:13" x14ac:dyDescent="0.2">
      <c r="A31" s="17" t="s">
        <v>297</v>
      </c>
      <c r="B31" s="31"/>
      <c r="C31" s="4" t="s">
        <v>297</v>
      </c>
      <c r="D31" s="81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77">
        <f>COUNTIF(recipes!K:K,A31)</f>
        <v>1</v>
      </c>
      <c r="M31" s="3"/>
    </row>
    <row r="32" spans="1:13" s="27" customFormat="1" x14ac:dyDescent="0.2">
      <c r="A32" s="17" t="s">
        <v>77</v>
      </c>
      <c r="B32" s="31"/>
      <c r="C32" s="4" t="s">
        <v>80</v>
      </c>
      <c r="D32" s="81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3</v>
      </c>
      <c r="L32" s="77">
        <f>COUNTIF(recipes!K:K,A32)</f>
        <v>1</v>
      </c>
      <c r="M32" s="3"/>
    </row>
    <row r="33" spans="1:14" s="27" customFormat="1" x14ac:dyDescent="0.2">
      <c r="A33" s="17" t="s">
        <v>296</v>
      </c>
      <c r="B33" s="31"/>
      <c r="C33" s="4" t="s">
        <v>296</v>
      </c>
      <c r="D33" s="81"/>
      <c r="E33" s="4"/>
      <c r="F33" s="4"/>
      <c r="G33" s="3">
        <f t="shared" ref="G33:G62" si="2">IF(D33&lt;&gt;0, E33/D33, 0)</f>
        <v>0</v>
      </c>
      <c r="H33" s="3">
        <f t="shared" ref="H33:H62" si="3">IF(D33&lt;&gt;0, F33/D33, 0)</f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0</v>
      </c>
      <c r="L33" s="77">
        <f>COUNTIF(recipes!K:K,A33)</f>
        <v>1</v>
      </c>
      <c r="M33" s="3"/>
    </row>
    <row r="34" spans="1:14" x14ac:dyDescent="0.2">
      <c r="A34" s="17" t="s">
        <v>78</v>
      </c>
      <c r="B34" s="31"/>
      <c r="C34" s="4" t="s">
        <v>81</v>
      </c>
      <c r="D34" s="81"/>
      <c r="E34" s="4"/>
      <c r="F34" s="4"/>
      <c r="G34" s="3">
        <f t="shared" si="2"/>
        <v>0</v>
      </c>
      <c r="H34" s="3">
        <f t="shared" si="3"/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3</v>
      </c>
      <c r="L34" s="77">
        <f>COUNTIF(recipes!K:K,A34)</f>
        <v>1</v>
      </c>
      <c r="M34" s="3"/>
    </row>
    <row r="35" spans="1:14" x14ac:dyDescent="0.2">
      <c r="A35" s="17" t="s">
        <v>10</v>
      </c>
      <c r="B35" s="31"/>
      <c r="C35" s="4" t="s">
        <v>10</v>
      </c>
      <c r="D35" s="81">
        <v>1</v>
      </c>
      <c r="E35" s="4">
        <v>0.01</v>
      </c>
      <c r="F35" s="4">
        <v>2.2180100000000001E-2</v>
      </c>
      <c r="G35" s="3">
        <f t="shared" si="2"/>
        <v>0.01</v>
      </c>
      <c r="H35" s="3">
        <f t="shared" si="3"/>
        <v>2.2180100000000001E-2</v>
      </c>
      <c r="I35" s="3">
        <f>SUMIF(recipes!K:K,A35,recipes!R:R)</f>
        <v>3.1666734014245877E-2</v>
      </c>
      <c r="J35" s="3">
        <f>SUMIF(recipes!K:K,A35,recipes!S:S)</f>
        <v>0</v>
      </c>
      <c r="K35" s="3">
        <f>SUMIF(recipes!K:K,A35,recipes!T:T)</f>
        <v>0</v>
      </c>
      <c r="L35" s="77">
        <f>COUNTIF(recipes!K:K,A35)</f>
        <v>1</v>
      </c>
      <c r="M35" s="3"/>
    </row>
    <row r="36" spans="1:14" x14ac:dyDescent="0.2">
      <c r="A36" s="17" t="s">
        <v>8</v>
      </c>
      <c r="B36" s="31"/>
      <c r="C36" s="4" t="s">
        <v>8</v>
      </c>
      <c r="D36" s="81"/>
      <c r="E36" s="4"/>
      <c r="F36" s="4"/>
      <c r="G36" s="3">
        <f t="shared" si="2"/>
        <v>0</v>
      </c>
      <c r="H36" s="3">
        <f t="shared" si="3"/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30</v>
      </c>
      <c r="L36" s="77">
        <f>COUNTIF(recipes!K:K,A36)</f>
        <v>5</v>
      </c>
      <c r="M36" s="3"/>
    </row>
    <row r="37" spans="1:14" x14ac:dyDescent="0.2">
      <c r="A37" s="17" t="s">
        <v>210</v>
      </c>
      <c r="B37" s="31" t="s">
        <v>185</v>
      </c>
      <c r="C37" s="4" t="s">
        <v>62</v>
      </c>
      <c r="D37" s="81"/>
      <c r="E37" s="3"/>
      <c r="F37" s="3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0.51753676734374998</v>
      </c>
      <c r="K37" s="3">
        <f>SUMIF(recipes!K:K,A37,recipes!T:T)</f>
        <v>0</v>
      </c>
      <c r="L37" s="77">
        <f>COUNTIF(recipes!K:K,A37)</f>
        <v>8</v>
      </c>
      <c r="M37" s="3"/>
    </row>
    <row r="38" spans="1:14" x14ac:dyDescent="0.2">
      <c r="A38" s="17" t="s">
        <v>175</v>
      </c>
      <c r="B38" s="31"/>
      <c r="C38" s="4" t="s">
        <v>175</v>
      </c>
      <c r="D38" s="81"/>
      <c r="E38" s="4"/>
      <c r="F38" s="4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0.3844558843125</v>
      </c>
      <c r="K38" s="3">
        <f>SUMIF(recipes!K:K,A38,recipes!T:T)</f>
        <v>0</v>
      </c>
      <c r="L38" s="77">
        <f>COUNTIF(recipes!K:K,A38)</f>
        <v>1</v>
      </c>
      <c r="M38" s="3"/>
    </row>
    <row r="39" spans="1:14" s="27" customFormat="1" x14ac:dyDescent="0.2">
      <c r="A39" s="17" t="s">
        <v>388</v>
      </c>
      <c r="B39" s="31"/>
      <c r="C39" s="4" t="s">
        <v>388</v>
      </c>
      <c r="D39" s="81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</v>
      </c>
      <c r="K39" s="3">
        <f>SUMIF(recipes!K:K,A39,recipes!T:T)</f>
        <v>0</v>
      </c>
      <c r="L39" s="77">
        <f>COUNTIF(recipes!K:K,A39)</f>
        <v>1</v>
      </c>
      <c r="M39" s="3"/>
    </row>
    <row r="40" spans="1:14" x14ac:dyDescent="0.2">
      <c r="A40" s="17" t="s">
        <v>478</v>
      </c>
      <c r="B40" s="31"/>
      <c r="C40" s="4" t="s">
        <v>478</v>
      </c>
      <c r="D40" s="81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0.82500000000000007</v>
      </c>
      <c r="J40" s="3">
        <f>SUMIF(recipes!K:K,A40,recipes!S:S)</f>
        <v>0</v>
      </c>
      <c r="K40" s="3">
        <f>SUMIF(recipes!K:K,A40,recipes!T:T)</f>
        <v>0</v>
      </c>
      <c r="L40" s="77">
        <f>COUNTIF(recipes!K:K,A40)</f>
        <v>1</v>
      </c>
      <c r="M40" s="3"/>
    </row>
    <row r="41" spans="1:14" x14ac:dyDescent="0.2">
      <c r="A41" s="17" t="s">
        <v>204</v>
      </c>
      <c r="B41" s="31" t="s">
        <v>185</v>
      </c>
      <c r="C41" s="4" t="s">
        <v>148</v>
      </c>
      <c r="D41" s="81">
        <v>1</v>
      </c>
      <c r="E41" s="4">
        <v>0.223</v>
      </c>
      <c r="F41" s="4">
        <v>0.29573529999999998</v>
      </c>
      <c r="G41" s="3">
        <f t="shared" si="2"/>
        <v>0.223</v>
      </c>
      <c r="H41" s="3">
        <f t="shared" si="3"/>
        <v>0.29573529999999998</v>
      </c>
      <c r="I41" s="3">
        <f>SUMIF(recipes!K:K,A41,recipes!R:R)</f>
        <v>0.53519999208244673</v>
      </c>
      <c r="J41" s="3">
        <f>SUMIF(recipes!K:K,A41,recipes!S:S)</f>
        <v>0</v>
      </c>
      <c r="K41" s="3">
        <f>SUMIF(recipes!K:K,A41,recipes!T:T)</f>
        <v>0</v>
      </c>
      <c r="L41" s="77">
        <f>COUNTIF(recipes!K:K,A41)</f>
        <v>1</v>
      </c>
      <c r="M41" s="3"/>
    </row>
    <row r="42" spans="1:14" x14ac:dyDescent="0.2">
      <c r="A42" s="17" t="s">
        <v>295</v>
      </c>
      <c r="B42" s="31" t="s">
        <v>185</v>
      </c>
      <c r="C42" s="4" t="s">
        <v>148</v>
      </c>
      <c r="D42" s="81">
        <v>1</v>
      </c>
      <c r="E42" s="4">
        <v>0.19900000000000001</v>
      </c>
      <c r="F42" s="4">
        <v>0.45</v>
      </c>
      <c r="G42" s="3">
        <f t="shared" si="2"/>
        <v>0.19900000000000001</v>
      </c>
      <c r="H42" s="3">
        <f t="shared" si="3"/>
        <v>0.45</v>
      </c>
      <c r="I42" s="3">
        <f>SUMIF(recipes!K:K,A42,recipes!R:R)</f>
        <v>0.77610000000000001</v>
      </c>
      <c r="J42" s="3">
        <f>SUMIF(recipes!K:K,A42,recipes!S:S)</f>
        <v>0</v>
      </c>
      <c r="K42" s="3">
        <f>SUMIF(recipes!K:K,A42,recipes!T:T)</f>
        <v>0</v>
      </c>
      <c r="L42" s="77">
        <f>COUNTIF(recipes!K:K,A42)</f>
        <v>1</v>
      </c>
      <c r="M42" s="3"/>
    </row>
    <row r="43" spans="1:14" x14ac:dyDescent="0.2">
      <c r="A43" s="17" t="s">
        <v>70</v>
      </c>
      <c r="B43" s="31"/>
      <c r="C43" s="4" t="s">
        <v>70</v>
      </c>
      <c r="D43" s="81">
        <v>1</v>
      </c>
      <c r="E43" s="4">
        <v>1.0999999999999999E-2</v>
      </c>
      <c r="F43" s="4">
        <v>2.2180100000000001E-2</v>
      </c>
      <c r="G43" s="3">
        <f t="shared" si="2"/>
        <v>1.0999999999999999E-2</v>
      </c>
      <c r="H43" s="3">
        <f t="shared" si="3"/>
        <v>2.2180100000000001E-2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0</v>
      </c>
      <c r="L43" s="77">
        <f>COUNTIF(recipes!K:K,A43)</f>
        <v>4</v>
      </c>
      <c r="M43" s="3"/>
    </row>
    <row r="44" spans="1:14" s="27" customFormat="1" x14ac:dyDescent="0.2">
      <c r="A44" s="17" t="s">
        <v>140</v>
      </c>
      <c r="B44" s="31"/>
      <c r="C44" s="4" t="s">
        <v>140</v>
      </c>
      <c r="D44" s="81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2.688894607525439E-2</v>
      </c>
      <c r="J44" s="3">
        <f>SUMIF(recipes!K:K,A44,recipes!S:S)</f>
        <v>0</v>
      </c>
      <c r="K44" s="3">
        <f>SUMIF(recipes!K:K,A44,recipes!T:T)</f>
        <v>0</v>
      </c>
      <c r="L44" s="77">
        <f>COUNTIF(recipes!K:K,A44)</f>
        <v>2</v>
      </c>
      <c r="M44" s="3"/>
      <c r="N44" s="1"/>
    </row>
    <row r="45" spans="1:14" s="27" customFormat="1" x14ac:dyDescent="0.2">
      <c r="A45" s="17" t="s">
        <v>14</v>
      </c>
      <c r="B45" s="31"/>
      <c r="C45" s="4" t="s">
        <v>14</v>
      </c>
      <c r="D45" s="81">
        <v>1</v>
      </c>
      <c r="E45" s="4">
        <v>1.0999999999999999E-2</v>
      </c>
      <c r="F45" s="4">
        <v>2.2180100000000001E-2</v>
      </c>
      <c r="G45" s="3">
        <f t="shared" si="2"/>
        <v>1.0999999999999999E-2</v>
      </c>
      <c r="H45" s="3">
        <f t="shared" si="3"/>
        <v>2.2180100000000001E-2</v>
      </c>
      <c r="I45" s="3">
        <f>SUMIF(recipes!K:K,A45,recipes!R:R)</f>
        <v>3.0555620540061806E-2</v>
      </c>
      <c r="J45" s="3">
        <f>SUMIF(recipes!K:K,A45,recipes!S:S)</f>
        <v>0</v>
      </c>
      <c r="K45" s="3">
        <f>SUMIF(recipes!K:K,A45,recipes!T:T)</f>
        <v>0</v>
      </c>
      <c r="L45" s="77">
        <f>COUNTIF(recipes!K:K,A45)</f>
        <v>3</v>
      </c>
      <c r="M45" s="3"/>
    </row>
    <row r="46" spans="1:14" x14ac:dyDescent="0.2">
      <c r="A46" s="17" t="s">
        <v>292</v>
      </c>
      <c r="B46" s="31"/>
      <c r="C46" s="4" t="s">
        <v>292</v>
      </c>
      <c r="D46" s="81">
        <v>1</v>
      </c>
      <c r="E46" s="4">
        <v>1.4E-2</v>
      </c>
      <c r="F46" s="4">
        <v>2.2180100000000001E-2</v>
      </c>
      <c r="G46" s="3">
        <f t="shared" si="2"/>
        <v>1.4E-2</v>
      </c>
      <c r="H46" s="3">
        <f t="shared" si="3"/>
        <v>2.2180100000000001E-2</v>
      </c>
      <c r="I46" s="3">
        <f>SUMIF(recipes!K:K,A46,recipes!R:R)</f>
        <v>8.0889060920599998E-2</v>
      </c>
      <c r="J46" s="3">
        <f>SUMIF(recipes!K:K,A46,recipes!S:S)</f>
        <v>0</v>
      </c>
      <c r="K46" s="3">
        <f>SUMIF(recipes!K:K,A46,recipes!T:T)</f>
        <v>0</v>
      </c>
      <c r="L46" s="77">
        <f>COUNTIF(recipes!K:K,A46)</f>
        <v>6</v>
      </c>
      <c r="M46" s="3"/>
      <c r="N46" s="27"/>
    </row>
    <row r="47" spans="1:14" x14ac:dyDescent="0.2">
      <c r="A47" s="17" t="s">
        <v>142</v>
      </c>
      <c r="B47" s="31" t="s">
        <v>185</v>
      </c>
      <c r="C47" s="4" t="s">
        <v>3</v>
      </c>
      <c r="D47" s="81">
        <v>2</v>
      </c>
      <c r="E47" s="3">
        <v>0.60299999999999998</v>
      </c>
      <c r="F47" s="3">
        <v>1.1499999999999999</v>
      </c>
      <c r="G47" s="3">
        <f t="shared" si="2"/>
        <v>0.30149999999999999</v>
      </c>
      <c r="H47" s="3">
        <f t="shared" si="3"/>
        <v>0.57499999999999996</v>
      </c>
      <c r="I47" s="3">
        <f>SUMIF(recipes!K:K,A47,recipes!R:R)</f>
        <v>5.2825267696226081</v>
      </c>
      <c r="J47" s="3">
        <f>SUMIF(recipes!K:K,A47,recipes!S:S)</f>
        <v>0</v>
      </c>
      <c r="K47" s="3">
        <f>SUMIF(recipes!K:K,A47,recipes!T:T)</f>
        <v>0</v>
      </c>
      <c r="L47" s="77">
        <f>COUNTIF(recipes!K:K,A47)</f>
        <v>4</v>
      </c>
      <c r="M47" s="3"/>
    </row>
    <row r="48" spans="1:14" x14ac:dyDescent="0.2">
      <c r="A48" s="17" t="s">
        <v>403</v>
      </c>
      <c r="B48" s="31"/>
      <c r="C48" s="4" t="s">
        <v>403</v>
      </c>
      <c r="D48" s="81"/>
      <c r="E48" s="4"/>
      <c r="F48" s="4"/>
      <c r="G48" s="3">
        <f t="shared" si="2"/>
        <v>0</v>
      </c>
      <c r="H48" s="3">
        <f t="shared" si="3"/>
        <v>0</v>
      </c>
      <c r="I48" s="3">
        <f>SUMIF(recipes!K:K,A48,recipes!R:R)</f>
        <v>0</v>
      </c>
      <c r="J48" s="3">
        <f>SUMIF(recipes!K:K,A48,recipes!S:S)</f>
        <v>0</v>
      </c>
      <c r="K48" s="3">
        <f>SUMIF(recipes!K:K,A48,recipes!T:T)</f>
        <v>3</v>
      </c>
      <c r="L48" s="77">
        <f>COUNTIF(recipes!K:K,A48)</f>
        <v>1</v>
      </c>
      <c r="M48" s="3"/>
    </row>
    <row r="49" spans="1:14" x14ac:dyDescent="0.2">
      <c r="A49" s="17" t="s">
        <v>344</v>
      </c>
      <c r="B49" s="31" t="s">
        <v>185</v>
      </c>
      <c r="C49" s="4" t="s">
        <v>145</v>
      </c>
      <c r="D49" s="81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4.75</v>
      </c>
      <c r="L49" s="77">
        <f>COUNTIF(recipes!K:K,A49)</f>
        <v>2</v>
      </c>
      <c r="M49" s="3"/>
    </row>
    <row r="50" spans="1:14" s="27" customFormat="1" x14ac:dyDescent="0.2">
      <c r="A50" s="17" t="s">
        <v>363</v>
      </c>
      <c r="B50" s="31" t="s">
        <v>185</v>
      </c>
      <c r="C50" s="4" t="s">
        <v>149</v>
      </c>
      <c r="D50" s="81">
        <v>1</v>
      </c>
      <c r="E50" s="3">
        <v>0.84399999999999997</v>
      </c>
      <c r="F50" s="3"/>
      <c r="G50" s="3">
        <f t="shared" si="2"/>
        <v>0.84399999999999997</v>
      </c>
      <c r="H50" s="3">
        <f t="shared" si="3"/>
        <v>0</v>
      </c>
      <c r="I50" s="3">
        <f>SUMIF(recipes!K:K,A50,recipes!R:R)</f>
        <v>6.5832000000000006</v>
      </c>
      <c r="J50" s="3">
        <f>SUMIF(recipes!K:K,A50,recipes!S:S)</f>
        <v>0</v>
      </c>
      <c r="K50" s="3">
        <f>SUMIF(recipes!K:K,A50,recipes!T:T)</f>
        <v>0</v>
      </c>
      <c r="L50" s="77">
        <f>COUNTIF(recipes!K:K,A50)</f>
        <v>1</v>
      </c>
      <c r="M50" s="3"/>
    </row>
    <row r="51" spans="1:14" s="27" customFormat="1" x14ac:dyDescent="0.2">
      <c r="A51" s="17" t="s">
        <v>56</v>
      </c>
      <c r="B51" s="31"/>
      <c r="C51" s="4" t="s">
        <v>56</v>
      </c>
      <c r="D51" s="81"/>
      <c r="E51" s="4"/>
      <c r="F51" s="4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5.5450367929687501E-2</v>
      </c>
      <c r="K51" s="3">
        <f>SUMIF(recipes!K:K,A51,recipes!T:T)</f>
        <v>0</v>
      </c>
      <c r="L51" s="77">
        <f>COUNTIF(recipes!K:K,A51)</f>
        <v>1</v>
      </c>
      <c r="M51" s="3"/>
    </row>
    <row r="52" spans="1:14" s="27" customFormat="1" x14ac:dyDescent="0.2">
      <c r="A52" s="17" t="s">
        <v>66</v>
      </c>
      <c r="B52" s="31"/>
      <c r="C52" s="4" t="s">
        <v>66</v>
      </c>
      <c r="D52" s="81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6.6540441515624993E-2</v>
      </c>
      <c r="K52" s="3">
        <f>SUMIF(recipes!K:K,A52,recipes!T:T)</f>
        <v>0</v>
      </c>
      <c r="L52" s="77">
        <f>COUNTIF(recipes!K:K,A52)</f>
        <v>1</v>
      </c>
      <c r="M52" s="3"/>
    </row>
    <row r="53" spans="1:14" x14ac:dyDescent="0.2">
      <c r="A53" s="17" t="s">
        <v>46</v>
      </c>
      <c r="B53" s="31"/>
      <c r="C53" s="4" t="s">
        <v>46</v>
      </c>
      <c r="D53" s="81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0.60256066483593751</v>
      </c>
      <c r="K53" s="3">
        <f>SUMIF(recipes!K:K,A53,recipes!T:T)</f>
        <v>0</v>
      </c>
      <c r="L53" s="77">
        <f>COUNTIF(recipes!K:K,A53)</f>
        <v>7</v>
      </c>
      <c r="M53" s="3"/>
      <c r="N53" s="27"/>
    </row>
    <row r="54" spans="1:14" s="27" customFormat="1" x14ac:dyDescent="0.2">
      <c r="A54" s="17" t="s">
        <v>67</v>
      </c>
      <c r="B54" s="31"/>
      <c r="C54" s="4" t="s">
        <v>67</v>
      </c>
      <c r="D54" s="81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5.9147059124999998E-2</v>
      </c>
      <c r="K54" s="3">
        <f>SUMIF(recipes!K:K,A54,recipes!T:T)</f>
        <v>0</v>
      </c>
      <c r="L54" s="77">
        <f>COUNTIF(recipes!K:K,A54)</f>
        <v>1</v>
      </c>
      <c r="M54" s="3"/>
    </row>
    <row r="55" spans="1:14" x14ac:dyDescent="0.2">
      <c r="A55" s="17" t="s">
        <v>6</v>
      </c>
      <c r="B55" s="31" t="s">
        <v>185</v>
      </c>
      <c r="C55" s="4" t="s">
        <v>59</v>
      </c>
      <c r="D55" s="81">
        <v>2</v>
      </c>
      <c r="E55" s="3">
        <v>0.37</v>
      </c>
      <c r="F55" s="3">
        <v>0.6</v>
      </c>
      <c r="G55" s="3">
        <f t="shared" si="2"/>
        <v>0.185</v>
      </c>
      <c r="H55" s="3">
        <f t="shared" si="3"/>
        <v>0.3</v>
      </c>
      <c r="I55" s="3">
        <f>SUMIF(recipes!K:K,A55,recipes!R:R)</f>
        <v>1.85</v>
      </c>
      <c r="J55" s="3">
        <f>SUMIF(recipes!K:K,A55,recipes!S:S)</f>
        <v>0</v>
      </c>
      <c r="K55" s="3">
        <f>SUMIF(recipes!K:K,A55,recipes!T:T)</f>
        <v>0</v>
      </c>
      <c r="L55" s="77">
        <f>COUNTIF(recipes!K:K,A55)</f>
        <v>4</v>
      </c>
      <c r="M55" s="3"/>
    </row>
    <row r="56" spans="1:14" s="27" customFormat="1" x14ac:dyDescent="0.2">
      <c r="A56" s="17" t="s">
        <v>386</v>
      </c>
      <c r="B56" s="31" t="s">
        <v>185</v>
      </c>
      <c r="C56" s="4" t="s">
        <v>382</v>
      </c>
      <c r="D56" s="81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</v>
      </c>
      <c r="K56" s="3">
        <f>SUMIF(recipes!K:K,A56,recipes!T:T)</f>
        <v>18</v>
      </c>
      <c r="L56" s="77">
        <f>COUNTIF(recipes!K:K,A56)</f>
        <v>1</v>
      </c>
      <c r="M56" s="3"/>
    </row>
    <row r="57" spans="1:14" s="27" customFormat="1" x14ac:dyDescent="0.2">
      <c r="A57" s="17" t="s">
        <v>91</v>
      </c>
      <c r="B57" s="31"/>
      <c r="C57" s="4" t="s">
        <v>91</v>
      </c>
      <c r="D57" s="81">
        <v>1</v>
      </c>
      <c r="E57" s="4">
        <v>1.2E-2</v>
      </c>
      <c r="F57" s="4">
        <v>2.2180100000000001E-2</v>
      </c>
      <c r="G57" s="3">
        <f t="shared" si="2"/>
        <v>1.2E-2</v>
      </c>
      <c r="H57" s="3">
        <f t="shared" si="3"/>
        <v>2.2180100000000001E-2</v>
      </c>
      <c r="I57" s="3">
        <f>SUMIF(recipes!K:K,A57,recipes!R:R)</f>
        <v>9.3333531831461536E-3</v>
      </c>
      <c r="J57" s="3">
        <f>SUMIF(recipes!K:K,A57,recipes!S:S)</f>
        <v>0</v>
      </c>
      <c r="K57" s="3">
        <f>SUMIF(recipes!K:K,A57,recipes!T:T)</f>
        <v>0</v>
      </c>
      <c r="L57" s="77">
        <f>COUNTIF(recipes!K:K,A57)</f>
        <v>1</v>
      </c>
      <c r="M57" s="3"/>
    </row>
    <row r="58" spans="1:14" s="27" customFormat="1" x14ac:dyDescent="0.2">
      <c r="A58" s="17" t="s">
        <v>96</v>
      </c>
      <c r="B58" s="31"/>
      <c r="C58" s="4" t="s">
        <v>96</v>
      </c>
      <c r="D58" s="81"/>
      <c r="E58" s="4"/>
      <c r="F58" s="4"/>
      <c r="G58" s="3">
        <f t="shared" si="2"/>
        <v>0</v>
      </c>
      <c r="H58" s="3">
        <f t="shared" si="3"/>
        <v>0</v>
      </c>
      <c r="I58" s="3">
        <f>SUMIF(recipes!K:K,A58,recipes!R:R)</f>
        <v>0</v>
      </c>
      <c r="J58" s="3">
        <f>SUMIF(recipes!K:K,A58,recipes!S:S)</f>
        <v>0.70976470949999992</v>
      </c>
      <c r="K58" s="3">
        <f>SUMIF(recipes!K:K,A58,recipes!T:T)</f>
        <v>0</v>
      </c>
      <c r="L58" s="77">
        <f>COUNTIF(recipes!K:K,A58)</f>
        <v>2</v>
      </c>
      <c r="M58" s="3"/>
    </row>
    <row r="59" spans="1:14" s="27" customFormat="1" x14ac:dyDescent="0.2">
      <c r="A59" s="17" t="s">
        <v>106</v>
      </c>
      <c r="B59" s="31"/>
      <c r="C59" s="4" t="s">
        <v>106</v>
      </c>
      <c r="D59" s="81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0.29573529562500001</v>
      </c>
      <c r="K59" s="3">
        <f>SUMIF(recipes!K:K,A59,recipes!T:T)</f>
        <v>0</v>
      </c>
      <c r="L59" s="77">
        <f>COUNTIF(recipes!K:K,A59)</f>
        <v>1</v>
      </c>
      <c r="M59" s="3"/>
    </row>
    <row r="60" spans="1:14" s="27" customFormat="1" x14ac:dyDescent="0.2">
      <c r="A60" s="17" t="s">
        <v>385</v>
      </c>
      <c r="B60" s="31" t="s">
        <v>185</v>
      </c>
      <c r="C60" s="4" t="s">
        <v>381</v>
      </c>
      <c r="D60" s="81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</v>
      </c>
      <c r="K60" s="3">
        <f>SUMIF(recipes!K:K,A60,recipes!T:T)</f>
        <v>18</v>
      </c>
      <c r="L60" s="77">
        <f>COUNTIF(recipes!K:K,A60)</f>
        <v>1</v>
      </c>
      <c r="M60" s="3"/>
    </row>
    <row r="61" spans="1:14" x14ac:dyDescent="0.2">
      <c r="A61" s="17" t="s">
        <v>4</v>
      </c>
      <c r="B61" s="31" t="s">
        <v>185</v>
      </c>
      <c r="C61" s="4" t="s">
        <v>60</v>
      </c>
      <c r="D61" s="81">
        <v>4</v>
      </c>
      <c r="E61" s="3">
        <v>0.9</v>
      </c>
      <c r="F61" s="3">
        <v>1.35</v>
      </c>
      <c r="G61" s="3">
        <f t="shared" si="2"/>
        <v>0.22500000000000001</v>
      </c>
      <c r="H61" s="3">
        <f t="shared" si="3"/>
        <v>0.33750000000000002</v>
      </c>
      <c r="I61" s="3">
        <f>SUMIF(recipes!K:K,A61,recipes!R:R)</f>
        <v>5.4562499999999998</v>
      </c>
      <c r="J61" s="3">
        <f>SUMIF(recipes!K:K,A61,recipes!S:S)</f>
        <v>0</v>
      </c>
      <c r="K61" s="3">
        <f>SUMIF(recipes!K:K,A61,recipes!T:T)</f>
        <v>0</v>
      </c>
      <c r="L61" s="77">
        <f>COUNTIF(recipes!K:K,A61)</f>
        <v>3</v>
      </c>
      <c r="M61" s="3"/>
    </row>
    <row r="62" spans="1:14" x14ac:dyDescent="0.2">
      <c r="A62" s="17" t="s">
        <v>348</v>
      </c>
      <c r="B62" s="31" t="s">
        <v>185</v>
      </c>
      <c r="C62" s="4" t="s">
        <v>349</v>
      </c>
      <c r="D62" s="81">
        <v>2</v>
      </c>
      <c r="E62" s="3">
        <v>0.377</v>
      </c>
      <c r="F62" s="3">
        <v>0.5</v>
      </c>
      <c r="G62" s="3">
        <f t="shared" si="2"/>
        <v>0.1885</v>
      </c>
      <c r="H62" s="3">
        <f t="shared" si="3"/>
        <v>0.25</v>
      </c>
      <c r="I62" s="3">
        <f>SUMIF(recipes!K:K,A62,recipes!R:R)</f>
        <v>0.57975947354324997</v>
      </c>
      <c r="J62" s="3">
        <f>SUMIF(recipes!K:K,A62,recipes!S:S)</f>
        <v>0</v>
      </c>
      <c r="K62" s="3">
        <f>SUMIF(recipes!K:K,A62,recipes!T:T)</f>
        <v>0</v>
      </c>
      <c r="L62" s="77">
        <f>COUNTIF(recipes!K:K,A62)</f>
        <v>1</v>
      </c>
      <c r="M62" s="3"/>
    </row>
    <row r="63" spans="1:14" x14ac:dyDescent="0.2">
      <c r="A63" s="17" t="s">
        <v>11</v>
      </c>
      <c r="B63" s="31"/>
      <c r="C63" s="4" t="s">
        <v>11</v>
      </c>
      <c r="D63" s="81">
        <v>1</v>
      </c>
      <c r="E63" s="4">
        <v>2.5000000000000001E-2</v>
      </c>
      <c r="F63" s="4">
        <v>2.2180100000000001E-2</v>
      </c>
      <c r="G63" s="3">
        <f t="shared" ref="G63:G92" si="4">IF(D63&lt;&gt;0, E63/D63, 0)</f>
        <v>2.5000000000000001E-2</v>
      </c>
      <c r="H63" s="3">
        <f t="shared" ref="H63:H92" si="5">IF(D63&lt;&gt;0, F63/D63, 0)</f>
        <v>2.2180100000000001E-2</v>
      </c>
      <c r="I63" s="3">
        <f>SUMIF(recipes!K:K,A63,recipes!R:R)</f>
        <v>6.666680845104396E-2</v>
      </c>
      <c r="J63" s="3">
        <f>SUMIF(recipes!K:K,A63,recipes!S:S)</f>
        <v>0</v>
      </c>
      <c r="K63" s="3">
        <f>SUMIF(recipes!K:K,A63,recipes!T:T)</f>
        <v>0</v>
      </c>
      <c r="L63" s="77">
        <f>COUNTIF(recipes!K:K,A63)</f>
        <v>10</v>
      </c>
      <c r="M63" s="3"/>
    </row>
    <row r="64" spans="1:14" x14ac:dyDescent="0.2">
      <c r="A64" s="17" t="s">
        <v>156</v>
      </c>
      <c r="B64" s="31"/>
      <c r="C64" s="4" t="s">
        <v>156</v>
      </c>
      <c r="D64" s="81"/>
      <c r="E64" s="4"/>
      <c r="F64" s="4"/>
      <c r="G64" s="3">
        <f t="shared" si="4"/>
        <v>0</v>
      </c>
      <c r="H64" s="3">
        <f t="shared" si="5"/>
        <v>0</v>
      </c>
      <c r="I64" s="3">
        <f>SUMIF(recipes!K:K,A64,recipes!R:R)</f>
        <v>0</v>
      </c>
      <c r="J64" s="3">
        <f>SUMIF(recipes!K:K,A64,recipes!S:S)</f>
        <v>0.10350735346874999</v>
      </c>
      <c r="K64" s="3">
        <f>SUMIF(recipes!K:K,A64,recipes!T:T)</f>
        <v>0</v>
      </c>
      <c r="L64" s="77">
        <f>COUNTIF(recipes!K:K,A64)</f>
        <v>1</v>
      </c>
      <c r="M64" s="3"/>
    </row>
    <row r="65" spans="1:14" s="27" customFormat="1" x14ac:dyDescent="0.2">
      <c r="A65" s="17" t="s">
        <v>170</v>
      </c>
      <c r="B65" s="31" t="s">
        <v>185</v>
      </c>
      <c r="C65" s="4" t="s">
        <v>479</v>
      </c>
      <c r="D65" s="81">
        <v>2</v>
      </c>
      <c r="E65" s="4">
        <v>0.16800000000000001</v>
      </c>
      <c r="F65" s="4">
        <v>1.3</v>
      </c>
      <c r="G65" s="3">
        <f t="shared" si="4"/>
        <v>8.4000000000000005E-2</v>
      </c>
      <c r="H65" s="3">
        <f t="shared" si="5"/>
        <v>0.65</v>
      </c>
      <c r="I65" s="3">
        <f>SUMIF(recipes!K:K,A65,recipes!R:R)</f>
        <v>0.63</v>
      </c>
      <c r="J65" s="3">
        <f>SUMIF(recipes!K:K,A65,recipes!S:S)</f>
        <v>0</v>
      </c>
      <c r="K65" s="3">
        <f>SUMIF(recipes!K:K,A65,recipes!T:T)</f>
        <v>0</v>
      </c>
      <c r="L65" s="77">
        <f>COUNTIF(recipes!K:K,A65)</f>
        <v>1</v>
      </c>
      <c r="M65" s="3"/>
    </row>
    <row r="66" spans="1:14" x14ac:dyDescent="0.2">
      <c r="A66" s="17" t="s">
        <v>98</v>
      </c>
      <c r="B66" s="31" t="s">
        <v>185</v>
      </c>
      <c r="C66" s="4" t="s">
        <v>479</v>
      </c>
      <c r="D66" s="81">
        <v>2</v>
      </c>
      <c r="E66" s="4">
        <v>0.155</v>
      </c>
      <c r="F66" s="4">
        <v>1</v>
      </c>
      <c r="G66" s="3">
        <f t="shared" si="4"/>
        <v>7.7499999999999999E-2</v>
      </c>
      <c r="H66" s="3">
        <f t="shared" si="5"/>
        <v>0.5</v>
      </c>
      <c r="I66" s="3">
        <f>SUMIF(recipes!K:K,A66,recipes!R:R)</f>
        <v>1.545947210601875</v>
      </c>
      <c r="J66" s="3">
        <f>SUMIF(recipes!K:K,A66,recipes!S:S)</f>
        <v>0</v>
      </c>
      <c r="K66" s="3">
        <f>SUMIF(recipes!K:K,A66,recipes!T:T)</f>
        <v>0</v>
      </c>
      <c r="L66" s="77">
        <f>COUNTIF(recipes!K:K,A66)</f>
        <v>2</v>
      </c>
      <c r="M66" s="3"/>
    </row>
    <row r="67" spans="1:14" x14ac:dyDescent="0.2">
      <c r="A67" s="17" t="s">
        <v>105</v>
      </c>
      <c r="B67" s="31"/>
      <c r="C67" s="4" t="s">
        <v>105</v>
      </c>
      <c r="D67" s="81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0.11829411825</v>
      </c>
      <c r="K67" s="3">
        <f>SUMIF(recipes!K:K,A67,recipes!T:T)</f>
        <v>0</v>
      </c>
      <c r="L67" s="77">
        <f>COUNTIF(recipes!K:K,A67)</f>
        <v>1</v>
      </c>
      <c r="M67" s="3"/>
    </row>
    <row r="68" spans="1:14" s="27" customFormat="1" x14ac:dyDescent="0.2">
      <c r="A68" s="17" t="s">
        <v>274</v>
      </c>
      <c r="B68" s="31"/>
      <c r="C68" s="4" t="s">
        <v>274</v>
      </c>
      <c r="D68" s="81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0.53232353212499994</v>
      </c>
      <c r="K68" s="3">
        <f>SUMIF(recipes!K:K,A68,recipes!T:T)</f>
        <v>0</v>
      </c>
      <c r="L68" s="77">
        <f>COUNTIF(recipes!K:K,A68)</f>
        <v>1</v>
      </c>
      <c r="M68" s="3"/>
      <c r="N68" s="1"/>
    </row>
    <row r="69" spans="1:14" x14ac:dyDescent="0.2">
      <c r="A69" s="17" t="s">
        <v>353</v>
      </c>
      <c r="B69" s="31" t="s">
        <v>185</v>
      </c>
      <c r="C69" s="4" t="s">
        <v>352</v>
      </c>
      <c r="D69" s="81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0.76891176862499999</v>
      </c>
      <c r="K69" s="3">
        <f>SUMIF(recipes!K:K,A69,recipes!T:T)</f>
        <v>0</v>
      </c>
      <c r="L69" s="77">
        <f>COUNTIF(recipes!K:K,A69)</f>
        <v>1</v>
      </c>
      <c r="M69" s="3"/>
      <c r="N69" s="27"/>
    </row>
    <row r="70" spans="1:14" x14ac:dyDescent="0.2">
      <c r="A70" s="17" t="s">
        <v>298</v>
      </c>
      <c r="B70" s="31"/>
      <c r="C70" s="4" t="s">
        <v>298</v>
      </c>
      <c r="D70" s="81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77">
        <f>COUNTIF(recipes!K:K,A70)</f>
        <v>1</v>
      </c>
      <c r="M70" s="3"/>
    </row>
    <row r="71" spans="1:14" s="27" customFormat="1" x14ac:dyDescent="0.2">
      <c r="A71" s="17" t="s">
        <v>273</v>
      </c>
      <c r="B71" s="31"/>
      <c r="C71" s="4" t="s">
        <v>273</v>
      </c>
      <c r="D71" s="81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3.3270220757812496E-2</v>
      </c>
      <c r="K71" s="3">
        <f>SUMIF(recipes!K:K,A71,recipes!T:T)</f>
        <v>0</v>
      </c>
      <c r="L71" s="77">
        <f>COUNTIF(recipes!K:K,A71)</f>
        <v>1</v>
      </c>
      <c r="M71" s="3"/>
      <c r="N71" s="1"/>
    </row>
    <row r="72" spans="1:14" s="27" customFormat="1" x14ac:dyDescent="0.2">
      <c r="A72" s="17" t="s">
        <v>154</v>
      </c>
      <c r="B72" s="31"/>
      <c r="C72" s="4" t="s">
        <v>154</v>
      </c>
      <c r="D72" s="81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4.8056985539062499E-2</v>
      </c>
      <c r="K72" s="3">
        <f>SUMIF(recipes!K:K,A72,recipes!T:T)</f>
        <v>0</v>
      </c>
      <c r="L72" s="77">
        <f>COUNTIF(recipes!K:K,A72)</f>
        <v>1</v>
      </c>
      <c r="M72" s="3"/>
    </row>
    <row r="73" spans="1:14" x14ac:dyDescent="0.2">
      <c r="A73" s="17" t="s">
        <v>157</v>
      </c>
      <c r="B73" s="31"/>
      <c r="C73" s="4" t="s">
        <v>157</v>
      </c>
      <c r="D73" s="81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4.4360294343749995E-2</v>
      </c>
      <c r="K73" s="3">
        <f>SUMIF(recipes!K:K,A73,recipes!T:T)</f>
        <v>0</v>
      </c>
      <c r="L73" s="77">
        <f>COUNTIF(recipes!K:K,A73)</f>
        <v>2</v>
      </c>
      <c r="M73" s="3"/>
      <c r="N73" s="27"/>
    </row>
    <row r="74" spans="1:14" s="27" customFormat="1" x14ac:dyDescent="0.2">
      <c r="A74" s="17" t="s">
        <v>404</v>
      </c>
      <c r="B74" s="31"/>
      <c r="C74" s="4" t="s">
        <v>404</v>
      </c>
      <c r="D74" s="81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4.25</v>
      </c>
      <c r="L74" s="77">
        <f>COUNTIF(recipes!K:K,A74)</f>
        <v>1</v>
      </c>
      <c r="M74" s="3"/>
    </row>
    <row r="75" spans="1:14" s="27" customFormat="1" x14ac:dyDescent="0.2">
      <c r="A75" s="17" t="s">
        <v>405</v>
      </c>
      <c r="B75" s="31"/>
      <c r="C75" s="4" t="s">
        <v>405</v>
      </c>
      <c r="D75" s="81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2.25</v>
      </c>
      <c r="L75" s="77">
        <f>COUNTIF(recipes!K:K,A75)</f>
        <v>1</v>
      </c>
      <c r="M75" s="3"/>
      <c r="N75" s="1"/>
    </row>
    <row r="76" spans="1:14" s="27" customFormat="1" x14ac:dyDescent="0.2">
      <c r="A76" s="17" t="s">
        <v>406</v>
      </c>
      <c r="B76" s="31"/>
      <c r="C76" s="4" t="s">
        <v>406</v>
      </c>
      <c r="D76" s="81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4.5</v>
      </c>
      <c r="L76" s="77">
        <f>COUNTIF(recipes!K:K,A76)</f>
        <v>1</v>
      </c>
      <c r="M76" s="3"/>
    </row>
    <row r="77" spans="1:14" x14ac:dyDescent="0.2">
      <c r="A77" s="17" t="s">
        <v>407</v>
      </c>
      <c r="B77" s="31"/>
      <c r="C77" s="4" t="s">
        <v>407</v>
      </c>
      <c r="D77" s="81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4.75</v>
      </c>
      <c r="L77" s="77">
        <f>COUNTIF(recipes!K:K,A77)</f>
        <v>2</v>
      </c>
      <c r="M77" s="3"/>
      <c r="N77" s="27"/>
    </row>
    <row r="78" spans="1:14" s="27" customFormat="1" x14ac:dyDescent="0.2">
      <c r="A78" s="17" t="s">
        <v>408</v>
      </c>
      <c r="B78" s="31"/>
      <c r="C78" s="4" t="s">
        <v>408</v>
      </c>
      <c r="D78" s="81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5.25</v>
      </c>
      <c r="L78" s="77">
        <f>COUNTIF(recipes!K:K,A78)</f>
        <v>4</v>
      </c>
      <c r="M78" s="3"/>
      <c r="N78" s="1"/>
    </row>
    <row r="79" spans="1:14" x14ac:dyDescent="0.2">
      <c r="A79" s="17" t="s">
        <v>409</v>
      </c>
      <c r="B79" s="31"/>
      <c r="C79" s="4" t="s">
        <v>409</v>
      </c>
      <c r="D79" s="81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1.3012353007499999</v>
      </c>
      <c r="K79" s="3">
        <f>SUMIF(recipes!K:K,A79,recipes!T:T)</f>
        <v>0</v>
      </c>
      <c r="L79" s="77">
        <f>COUNTIF(recipes!K:K,A79)</f>
        <v>2</v>
      </c>
      <c r="M79" s="3"/>
      <c r="N79" s="27"/>
    </row>
    <row r="80" spans="1:14" x14ac:dyDescent="0.2">
      <c r="A80" s="17" t="s">
        <v>410</v>
      </c>
      <c r="B80" s="31"/>
      <c r="C80" s="4" t="s">
        <v>410</v>
      </c>
      <c r="D80" s="81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2.25</v>
      </c>
      <c r="L80" s="77">
        <f>COUNTIF(recipes!K:K,A80)</f>
        <v>1</v>
      </c>
      <c r="M80" s="3"/>
    </row>
    <row r="81" spans="1:13" s="27" customFormat="1" x14ac:dyDescent="0.2">
      <c r="A81" s="17" t="s">
        <v>411</v>
      </c>
      <c r="B81" s="31"/>
      <c r="C81" s="4" t="s">
        <v>411</v>
      </c>
      <c r="D81" s="81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1.0646470642499999</v>
      </c>
      <c r="K81" s="3">
        <f>SUMIF(recipes!K:K,A81,recipes!T:T)</f>
        <v>0</v>
      </c>
      <c r="L81" s="77">
        <f>COUNTIF(recipes!K:K,A81)</f>
        <v>1</v>
      </c>
      <c r="M81" s="3"/>
    </row>
    <row r="82" spans="1:13" x14ac:dyDescent="0.2">
      <c r="A82" s="17" t="s">
        <v>249</v>
      </c>
      <c r="B82" s="31" t="s">
        <v>185</v>
      </c>
      <c r="C82" s="4" t="s">
        <v>57</v>
      </c>
      <c r="D82" s="81">
        <v>1</v>
      </c>
      <c r="E82" s="4">
        <v>0.311</v>
      </c>
      <c r="F82" s="4">
        <v>0.5</v>
      </c>
      <c r="G82" s="3">
        <f t="shared" si="4"/>
        <v>0.311</v>
      </c>
      <c r="H82" s="3">
        <f t="shared" si="5"/>
        <v>0.5</v>
      </c>
      <c r="I82" s="3">
        <f>SUMIF(recipes!K:K,A82,recipes!R:R)</f>
        <v>2.68453936025425</v>
      </c>
      <c r="J82" s="3">
        <f>SUMIF(recipes!K:K,A82,recipes!S:S)</f>
        <v>0</v>
      </c>
      <c r="K82" s="3">
        <f>SUMIF(recipes!K:K,A82,recipes!T:T)</f>
        <v>0</v>
      </c>
      <c r="L82" s="77">
        <f>COUNTIF(recipes!K:K,A82)</f>
        <v>3</v>
      </c>
      <c r="M82" s="3"/>
    </row>
    <row r="83" spans="1:13" x14ac:dyDescent="0.2">
      <c r="A83" s="17" t="s">
        <v>250</v>
      </c>
      <c r="B83" s="31" t="s">
        <v>185</v>
      </c>
      <c r="C83" s="4" t="s">
        <v>57</v>
      </c>
      <c r="D83" s="81">
        <v>1</v>
      </c>
      <c r="E83" s="4">
        <v>0.315</v>
      </c>
      <c r="F83" s="4">
        <v>0.55000000000000004</v>
      </c>
      <c r="G83" s="3">
        <f t="shared" si="4"/>
        <v>0.315</v>
      </c>
      <c r="H83" s="3">
        <f t="shared" si="5"/>
        <v>0.55000000000000004</v>
      </c>
      <c r="I83" s="3">
        <f>SUMIF(recipes!K:K,A83,recipes!R:R)</f>
        <v>0.75</v>
      </c>
      <c r="J83" s="3">
        <f>SUMIF(recipes!K:K,A83,recipes!S:S)</f>
        <v>0</v>
      </c>
      <c r="K83" s="3">
        <f>SUMIF(recipes!K:K,A83,recipes!T:T)</f>
        <v>0</v>
      </c>
      <c r="L83" s="77">
        <f>COUNTIF(recipes!K:K,A83)</f>
        <v>1</v>
      </c>
      <c r="M83" s="3"/>
    </row>
    <row r="84" spans="1:13" x14ac:dyDescent="0.2">
      <c r="A84" s="17" t="s">
        <v>291</v>
      </c>
      <c r="B84" s="31" t="s">
        <v>185</v>
      </c>
      <c r="C84" s="4" t="s">
        <v>63</v>
      </c>
      <c r="D84" s="81">
        <v>4</v>
      </c>
      <c r="E84" s="3">
        <v>0.53</v>
      </c>
      <c r="F84" s="3"/>
      <c r="G84" s="3">
        <f t="shared" si="4"/>
        <v>0.13250000000000001</v>
      </c>
      <c r="H84" s="3">
        <f t="shared" si="5"/>
        <v>0</v>
      </c>
      <c r="I84" s="3">
        <f>SUMIF(recipes!K:K,A84,recipes!R:R)</f>
        <v>4.1340000000000003</v>
      </c>
      <c r="J84" s="3">
        <f>SUMIF(recipes!K:K,A84,recipes!S:S)</f>
        <v>0</v>
      </c>
      <c r="K84" s="3">
        <f>SUMIF(recipes!K:K,A84,recipes!T:T)</f>
        <v>0</v>
      </c>
      <c r="L84" s="77">
        <f>COUNTIF(recipes!K:K,A84)</f>
        <v>1</v>
      </c>
      <c r="M84" s="3"/>
    </row>
    <row r="85" spans="1:13" x14ac:dyDescent="0.2">
      <c r="A85" s="17" t="s">
        <v>55</v>
      </c>
      <c r="B85" s="31"/>
      <c r="C85" s="4" t="s">
        <v>55</v>
      </c>
      <c r="D85" s="81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11.21594121325</v>
      </c>
      <c r="K85" s="3">
        <f>SUMIF(recipes!K:K,A85,recipes!T:T)</f>
        <v>0</v>
      </c>
      <c r="L85" s="77">
        <f>COUNTIF(recipes!K:K,A85)</f>
        <v>5</v>
      </c>
      <c r="M85" s="3"/>
    </row>
    <row r="86" spans="1:13" x14ac:dyDescent="0.2">
      <c r="A86" s="17" t="s">
        <v>487</v>
      </c>
      <c r="B86" s="31"/>
      <c r="C86" s="4" t="s">
        <v>487</v>
      </c>
      <c r="D86" s="81"/>
      <c r="E86" s="4"/>
      <c r="F86" s="4"/>
      <c r="G86" s="3">
        <f t="shared" si="4"/>
        <v>0</v>
      </c>
      <c r="H86" s="3">
        <f t="shared" si="5"/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1</v>
      </c>
      <c r="L86" s="77">
        <f>COUNTIF(recipes!K:K,A86)</f>
        <v>1</v>
      </c>
      <c r="M86" s="3"/>
    </row>
    <row r="87" spans="1:13" x14ac:dyDescent="0.2">
      <c r="A87" s="17" t="s">
        <v>103</v>
      </c>
      <c r="B87" s="31"/>
      <c r="C87" s="4" t="s">
        <v>47</v>
      </c>
      <c r="D87" s="81">
        <v>1</v>
      </c>
      <c r="E87" s="4">
        <v>1</v>
      </c>
      <c r="F87" s="4">
        <v>1</v>
      </c>
      <c r="G87" s="3">
        <f t="shared" si="4"/>
        <v>1</v>
      </c>
      <c r="H87" s="3">
        <f t="shared" si="5"/>
        <v>1</v>
      </c>
      <c r="I87" s="3">
        <f>SUMIF(recipes!K:K,A87,recipes!R:R)</f>
        <v>0.76891176862499999</v>
      </c>
      <c r="J87" s="3">
        <f>SUMIF(recipes!K:K,A87,recipes!S:S)</f>
        <v>0</v>
      </c>
      <c r="K87" s="3">
        <f>SUMIF(recipes!K:K,A87,recipes!T:T)</f>
        <v>0</v>
      </c>
      <c r="L87" s="77">
        <f>COUNTIF(recipes!K:K,A87)</f>
        <v>1</v>
      </c>
      <c r="M87" s="3"/>
    </row>
    <row r="88" spans="1:13" x14ac:dyDescent="0.2">
      <c r="A88" s="17" t="s">
        <v>47</v>
      </c>
      <c r="B88" s="31"/>
      <c r="C88" s="4" t="s">
        <v>47</v>
      </c>
      <c r="D88" s="81">
        <v>1</v>
      </c>
      <c r="E88" s="4">
        <v>1</v>
      </c>
      <c r="F88" s="4">
        <v>1</v>
      </c>
      <c r="G88" s="3">
        <f t="shared" si="4"/>
        <v>1</v>
      </c>
      <c r="H88" s="3">
        <f t="shared" si="5"/>
        <v>1</v>
      </c>
      <c r="I88" s="3">
        <f>SUMIF(recipes!K:K,A88,recipes!R:R)</f>
        <v>7.0732353212499994</v>
      </c>
      <c r="J88" s="3">
        <f>SUMIF(recipes!K:K,A88,recipes!S:S)</f>
        <v>0</v>
      </c>
      <c r="K88" s="3">
        <f>SUMIF(recipes!K:K,A88,recipes!T:T)</f>
        <v>0</v>
      </c>
      <c r="L88" s="77">
        <f>COUNTIF(recipes!K:K,A88)</f>
        <v>8</v>
      </c>
      <c r="M88" s="3"/>
    </row>
    <row r="89" spans="1:13" x14ac:dyDescent="0.2">
      <c r="A89" s="17" t="s">
        <v>90</v>
      </c>
      <c r="B89" s="31" t="s">
        <v>185</v>
      </c>
      <c r="C89" s="4" t="s">
        <v>485</v>
      </c>
      <c r="D89" s="81">
        <v>2</v>
      </c>
      <c r="E89" s="4">
        <v>0.15</v>
      </c>
      <c r="F89" s="3">
        <v>0.65</v>
      </c>
      <c r="G89" s="3">
        <f t="shared" si="4"/>
        <v>7.4999999999999997E-2</v>
      </c>
      <c r="H89" s="3">
        <f t="shared" si="5"/>
        <v>0.32500000000000001</v>
      </c>
      <c r="I89" s="3">
        <f>SUMIF(recipes!K:K,A89,recipes!R:R)</f>
        <v>1.10625</v>
      </c>
      <c r="J89" s="3">
        <f>SUMIF(recipes!K:K,A89,recipes!S:S)</f>
        <v>0</v>
      </c>
      <c r="K89" s="3">
        <f>SUMIF(recipes!K:K,A89,recipes!T:T)</f>
        <v>0</v>
      </c>
      <c r="L89" s="77">
        <f>COUNTIF(recipes!K:K,A89)</f>
        <v>1</v>
      </c>
      <c r="M89" s="3"/>
    </row>
    <row r="90" spans="1:13" x14ac:dyDescent="0.2">
      <c r="A90" s="17" t="s">
        <v>159</v>
      </c>
      <c r="B90" s="31" t="s">
        <v>185</v>
      </c>
      <c r="C90" s="4" t="s">
        <v>158</v>
      </c>
      <c r="D90" s="81">
        <v>2</v>
      </c>
      <c r="E90" s="3">
        <v>0.377</v>
      </c>
      <c r="F90" s="3">
        <v>0.5</v>
      </c>
      <c r="G90" s="3">
        <f t="shared" si="4"/>
        <v>0.1885</v>
      </c>
      <c r="H90" s="3">
        <f t="shared" si="5"/>
        <v>0.25</v>
      </c>
      <c r="I90" s="3">
        <f>SUMIF(recipes!K:K,A90,recipes!R:R)</f>
        <v>0.51837500000000003</v>
      </c>
      <c r="J90" s="3">
        <f>SUMIF(recipes!K:K,A90,recipes!S:S)</f>
        <v>0</v>
      </c>
      <c r="K90" s="3">
        <f>SUMIF(recipes!K:K,A90,recipes!T:T)</f>
        <v>0</v>
      </c>
      <c r="L90" s="77">
        <f>COUNTIF(recipes!K:K,A90)</f>
        <v>1</v>
      </c>
      <c r="M90" s="3"/>
    </row>
    <row r="91" spans="1:13" s="27" customFormat="1" x14ac:dyDescent="0.2">
      <c r="A91" s="17" t="s">
        <v>176</v>
      </c>
      <c r="B91" s="31" t="s">
        <v>185</v>
      </c>
      <c r="C91" s="4" t="s">
        <v>61</v>
      </c>
      <c r="D91" s="81"/>
      <c r="E91" s="4"/>
      <c r="F91" s="4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6.25</v>
      </c>
      <c r="L91" s="77">
        <f>COUNTIF(recipes!K:K,A91)</f>
        <v>1</v>
      </c>
      <c r="M91" s="3"/>
    </row>
    <row r="92" spans="1:13" ht="13.5" thickBot="1" x14ac:dyDescent="0.25">
      <c r="A92" s="18" t="s">
        <v>97</v>
      </c>
      <c r="B92" s="32" t="s">
        <v>185</v>
      </c>
      <c r="C92" s="15" t="s">
        <v>61</v>
      </c>
      <c r="D92" s="111"/>
      <c r="E92" s="89"/>
      <c r="F92" s="89"/>
      <c r="G92" s="6">
        <f t="shared" si="4"/>
        <v>0</v>
      </c>
      <c r="H92" s="6">
        <f t="shared" si="5"/>
        <v>0</v>
      </c>
      <c r="I92" s="6">
        <f>SUMIF(recipes!K:K,A92,recipes!R:R)</f>
        <v>0</v>
      </c>
      <c r="J92" s="6">
        <f>SUMIF(recipes!K:K,A92,recipes!S:S)</f>
        <v>0</v>
      </c>
      <c r="K92" s="6">
        <f>SUMIF(recipes!K:K,A92,recipes!T:T)</f>
        <v>5.75</v>
      </c>
      <c r="L92" s="78">
        <f>COUNTIF(recipes!K:K,A92)</f>
        <v>1</v>
      </c>
      <c r="M92" s="3"/>
    </row>
    <row r="93" spans="1:13" ht="14.25" thickTop="1" thickBot="1" x14ac:dyDescent="0.25">
      <c r="A93" s="7" t="s">
        <v>50</v>
      </c>
      <c r="B93" s="33"/>
      <c r="M93" s="3"/>
    </row>
  </sheetData>
  <sortState xmlns:xlrd2="http://schemas.microsoft.com/office/spreadsheetml/2017/richdata2" ref="A2:L92">
    <sortCondition ref="C2:C92"/>
    <sortCondition ref="A2:A92"/>
  </sortState>
  <conditionalFormatting sqref="G28:J30 G25:J26 G54:J54 G33:J38 G45:J49 M46:M49 M34:M38 M55 M26:M27 M29:M31 G2:M11 M82:M93 G81:L92 M61:M64 G60:L63 M17:M24 G16:L23 G40:J41 M40:M44 G43:L43 M51:M53 G51:L52 G65:L79 M66:M80">
    <cfRule type="cellIs" dxfId="123" priority="82" operator="equal">
      <formula>0</formula>
    </cfRule>
  </conditionalFormatting>
  <conditionalFormatting sqref="G27:J27 M28">
    <cfRule type="cellIs" dxfId="122" priority="80" operator="equal">
      <formula>0</formula>
    </cfRule>
  </conditionalFormatting>
  <conditionalFormatting sqref="G64:J64 M65">
    <cfRule type="cellIs" dxfId="121" priority="79" operator="equal">
      <formula>0</formula>
    </cfRule>
  </conditionalFormatting>
  <conditionalFormatting sqref="G24:J24 M25">
    <cfRule type="cellIs" dxfId="120" priority="78" operator="equal">
      <formula>0</formula>
    </cfRule>
  </conditionalFormatting>
  <conditionalFormatting sqref="G80:J80 M81">
    <cfRule type="cellIs" dxfId="119" priority="77" operator="equal">
      <formula>0</formula>
    </cfRule>
  </conditionalFormatting>
  <conditionalFormatting sqref="G55:J55 M56">
    <cfRule type="cellIs" dxfId="118" priority="75" operator="equal">
      <formula>0</formula>
    </cfRule>
  </conditionalFormatting>
  <conditionalFormatting sqref="G58:J58 M59">
    <cfRule type="cellIs" dxfId="117" priority="74" operator="equal">
      <formula>0</formula>
    </cfRule>
  </conditionalFormatting>
  <conditionalFormatting sqref="G59:J59 M60">
    <cfRule type="cellIs" dxfId="116" priority="73" operator="equal">
      <formula>0</formula>
    </cfRule>
  </conditionalFormatting>
  <conditionalFormatting sqref="M16">
    <cfRule type="cellIs" dxfId="115" priority="72" operator="equal">
      <formula>0</formula>
    </cfRule>
  </conditionalFormatting>
  <conditionalFormatting sqref="G42:J42">
    <cfRule type="cellIs" dxfId="114" priority="71" operator="equal">
      <formula>0</formula>
    </cfRule>
  </conditionalFormatting>
  <conditionalFormatting sqref="G53:J53 M54">
    <cfRule type="cellIs" dxfId="113" priority="70" operator="equal">
      <formula>0</formula>
    </cfRule>
  </conditionalFormatting>
  <conditionalFormatting sqref="G56:J56 M57">
    <cfRule type="cellIs" dxfId="112" priority="69" operator="equal">
      <formula>0</formula>
    </cfRule>
  </conditionalFormatting>
  <conditionalFormatting sqref="G57:J57 M58">
    <cfRule type="cellIs" dxfId="111" priority="68" operator="equal">
      <formula>0</formula>
    </cfRule>
  </conditionalFormatting>
  <conditionalFormatting sqref="G32:J32 M33">
    <cfRule type="cellIs" dxfId="110" priority="67" operator="equal">
      <formula>0</formula>
    </cfRule>
  </conditionalFormatting>
  <conditionalFormatting sqref="G44:J44 M45">
    <cfRule type="cellIs" dxfId="109" priority="66" operator="equal">
      <formula>0</formula>
    </cfRule>
  </conditionalFormatting>
  <conditionalFormatting sqref="G31:J31 M32">
    <cfRule type="cellIs" dxfId="108" priority="65" operator="equal">
      <formula>0</formula>
    </cfRule>
  </conditionalFormatting>
  <conditionalFormatting sqref="K31">
    <cfRule type="cellIs" dxfId="107" priority="30" operator="equal">
      <formula>0</formula>
    </cfRule>
  </conditionalFormatting>
  <conditionalFormatting sqref="L28:L30 L25:L26 L54 L33:L38 L45:L49 L40:L41">
    <cfRule type="cellIs" dxfId="106" priority="63" operator="equal">
      <formula>0</formula>
    </cfRule>
  </conditionalFormatting>
  <conditionalFormatting sqref="L27">
    <cfRule type="cellIs" dxfId="105" priority="61" operator="equal">
      <formula>0</formula>
    </cfRule>
  </conditionalFormatting>
  <conditionalFormatting sqref="L64">
    <cfRule type="cellIs" dxfId="104" priority="60" operator="equal">
      <formula>0</formula>
    </cfRule>
  </conditionalFormatting>
  <conditionalFormatting sqref="L24">
    <cfRule type="cellIs" dxfId="103" priority="59" operator="equal">
      <formula>0</formula>
    </cfRule>
  </conditionalFormatting>
  <conditionalFormatting sqref="L80">
    <cfRule type="cellIs" dxfId="102" priority="58" operator="equal">
      <formula>0</formula>
    </cfRule>
  </conditionalFormatting>
  <conditionalFormatting sqref="L55">
    <cfRule type="cellIs" dxfId="101" priority="57" operator="equal">
      <formula>0</formula>
    </cfRule>
  </conditionalFormatting>
  <conditionalFormatting sqref="L58">
    <cfRule type="cellIs" dxfId="100" priority="56" operator="equal">
      <formula>0</formula>
    </cfRule>
  </conditionalFormatting>
  <conditionalFormatting sqref="L59">
    <cfRule type="cellIs" dxfId="99" priority="55" operator="equal">
      <formula>0</formula>
    </cfRule>
  </conditionalFormatting>
  <conditionalFormatting sqref="L42">
    <cfRule type="cellIs" dxfId="98" priority="53" operator="equal">
      <formula>0</formula>
    </cfRule>
  </conditionalFormatting>
  <conditionalFormatting sqref="L53">
    <cfRule type="cellIs" dxfId="97" priority="52" operator="equal">
      <formula>0</formula>
    </cfRule>
  </conditionalFormatting>
  <conditionalFormatting sqref="L56">
    <cfRule type="cellIs" dxfId="96" priority="51" operator="equal">
      <formula>0</formula>
    </cfRule>
  </conditionalFormatting>
  <conditionalFormatting sqref="L57">
    <cfRule type="cellIs" dxfId="95" priority="50" operator="equal">
      <formula>0</formula>
    </cfRule>
  </conditionalFormatting>
  <conditionalFormatting sqref="L32">
    <cfRule type="cellIs" dxfId="94" priority="49" operator="equal">
      <formula>0</formula>
    </cfRule>
  </conditionalFormatting>
  <conditionalFormatting sqref="L44">
    <cfRule type="cellIs" dxfId="93" priority="48" operator="equal">
      <formula>0</formula>
    </cfRule>
  </conditionalFormatting>
  <conditionalFormatting sqref="L31">
    <cfRule type="cellIs" dxfId="92" priority="47" operator="equal">
      <formula>0</formula>
    </cfRule>
  </conditionalFormatting>
  <conditionalFormatting sqref="K28:K30 K25:K26 K54 K33:K38 K45:K49 K40:K41">
    <cfRule type="cellIs" dxfId="91" priority="46" operator="equal">
      <formula>0</formula>
    </cfRule>
  </conditionalFormatting>
  <conditionalFormatting sqref="K27">
    <cfRule type="cellIs" dxfId="90" priority="44" operator="equal">
      <formula>0</formula>
    </cfRule>
  </conditionalFormatting>
  <conditionalFormatting sqref="K64">
    <cfRule type="cellIs" dxfId="89" priority="43" operator="equal">
      <formula>0</formula>
    </cfRule>
  </conditionalFormatting>
  <conditionalFormatting sqref="K24">
    <cfRule type="cellIs" dxfId="88" priority="42" operator="equal">
      <formula>0</formula>
    </cfRule>
  </conditionalFormatting>
  <conditionalFormatting sqref="K80">
    <cfRule type="cellIs" dxfId="87" priority="41" operator="equal">
      <formula>0</formula>
    </cfRule>
  </conditionalFormatting>
  <conditionalFormatting sqref="K55">
    <cfRule type="cellIs" dxfId="86" priority="40" operator="equal">
      <formula>0</formula>
    </cfRule>
  </conditionalFormatting>
  <conditionalFormatting sqref="K58">
    <cfRule type="cellIs" dxfId="85" priority="39" operator="equal">
      <formula>0</formula>
    </cfRule>
  </conditionalFormatting>
  <conditionalFormatting sqref="K59">
    <cfRule type="cellIs" dxfId="84" priority="38" operator="equal">
      <formula>0</formula>
    </cfRule>
  </conditionalFormatting>
  <conditionalFormatting sqref="K42">
    <cfRule type="cellIs" dxfId="83" priority="36" operator="equal">
      <formula>0</formula>
    </cfRule>
  </conditionalFormatting>
  <conditionalFormatting sqref="K53">
    <cfRule type="cellIs" dxfId="82" priority="35" operator="equal">
      <formula>0</formula>
    </cfRule>
  </conditionalFormatting>
  <conditionalFormatting sqref="K56">
    <cfRule type="cellIs" dxfId="81" priority="34" operator="equal">
      <formula>0</formula>
    </cfRule>
  </conditionalFormatting>
  <conditionalFormatting sqref="K57">
    <cfRule type="cellIs" dxfId="80" priority="33" operator="equal">
      <formula>0</formula>
    </cfRule>
  </conditionalFormatting>
  <conditionalFormatting sqref="K32">
    <cfRule type="cellIs" dxfId="79" priority="32" operator="equal">
      <formula>0</formula>
    </cfRule>
  </conditionalFormatting>
  <conditionalFormatting sqref="K44">
    <cfRule type="cellIs" dxfId="78" priority="31" operator="equal">
      <formula>0</formula>
    </cfRule>
  </conditionalFormatting>
  <conditionalFormatting sqref="L2:L11 L40:L49 L51:L92 L16:L38">
    <cfRule type="cellIs" dxfId="77" priority="29" operator="equal">
      <formula>0</formula>
    </cfRule>
  </conditionalFormatting>
  <conditionalFormatting sqref="M50 G50:J50">
    <cfRule type="cellIs" dxfId="76" priority="28" operator="equal">
      <formula>0</formula>
    </cfRule>
  </conditionalFormatting>
  <conditionalFormatting sqref="L50">
    <cfRule type="cellIs" dxfId="75" priority="27" operator="equal">
      <formula>0</formula>
    </cfRule>
  </conditionalFormatting>
  <conditionalFormatting sqref="K50">
    <cfRule type="cellIs" dxfId="74" priority="26" operator="equal">
      <formula>0</formula>
    </cfRule>
  </conditionalFormatting>
  <conditionalFormatting sqref="L50">
    <cfRule type="cellIs" dxfId="73" priority="25" operator="equal">
      <formula>0</formula>
    </cfRule>
  </conditionalFormatting>
  <conditionalFormatting sqref="M15">
    <cfRule type="cellIs" dxfId="72" priority="24" operator="equal">
      <formula>0</formula>
    </cfRule>
  </conditionalFormatting>
  <conditionalFormatting sqref="G15:J15">
    <cfRule type="cellIs" dxfId="71" priority="23" operator="equal">
      <formula>0</formula>
    </cfRule>
  </conditionalFormatting>
  <conditionalFormatting sqref="L15">
    <cfRule type="cellIs" dxfId="70" priority="22" operator="equal">
      <formula>0</formula>
    </cfRule>
  </conditionalFormatting>
  <conditionalFormatting sqref="K15">
    <cfRule type="cellIs" dxfId="69" priority="21" operator="equal">
      <formula>0</formula>
    </cfRule>
  </conditionalFormatting>
  <conditionalFormatting sqref="L15">
    <cfRule type="cellIs" dxfId="68" priority="20" operator="equal">
      <formula>0</formula>
    </cfRule>
  </conditionalFormatting>
  <conditionalFormatting sqref="M13">
    <cfRule type="cellIs" dxfId="67" priority="19" operator="equal">
      <formula>0</formula>
    </cfRule>
  </conditionalFormatting>
  <conditionalFormatting sqref="G13:J13">
    <cfRule type="cellIs" dxfId="66" priority="18" operator="equal">
      <formula>0</formula>
    </cfRule>
  </conditionalFormatting>
  <conditionalFormatting sqref="L13">
    <cfRule type="cellIs" dxfId="65" priority="17" operator="equal">
      <formula>0</formula>
    </cfRule>
  </conditionalFormatting>
  <conditionalFormatting sqref="K13">
    <cfRule type="cellIs" dxfId="64" priority="16" operator="equal">
      <formula>0</formula>
    </cfRule>
  </conditionalFormatting>
  <conditionalFormatting sqref="L13">
    <cfRule type="cellIs" dxfId="63" priority="15" operator="equal">
      <formula>0</formula>
    </cfRule>
  </conditionalFormatting>
  <conditionalFormatting sqref="M12">
    <cfRule type="cellIs" dxfId="62" priority="14" operator="equal">
      <formula>0</formula>
    </cfRule>
  </conditionalFormatting>
  <conditionalFormatting sqref="G12:J12">
    <cfRule type="cellIs" dxfId="61" priority="13" operator="equal">
      <formula>0</formula>
    </cfRule>
  </conditionalFormatting>
  <conditionalFormatting sqref="L12">
    <cfRule type="cellIs" dxfId="60" priority="12" operator="equal">
      <formula>0</formula>
    </cfRule>
  </conditionalFormatting>
  <conditionalFormatting sqref="K12">
    <cfRule type="cellIs" dxfId="59" priority="11" operator="equal">
      <formula>0</formula>
    </cfRule>
  </conditionalFormatting>
  <conditionalFormatting sqref="L12">
    <cfRule type="cellIs" dxfId="58" priority="10" operator="equal">
      <formula>0</formula>
    </cfRule>
  </conditionalFormatting>
  <conditionalFormatting sqref="M14">
    <cfRule type="cellIs" dxfId="57" priority="9" operator="equal">
      <formula>0</formula>
    </cfRule>
  </conditionalFormatting>
  <conditionalFormatting sqref="G14:J14">
    <cfRule type="cellIs" dxfId="56" priority="8" operator="equal">
      <formula>0</formula>
    </cfRule>
  </conditionalFormatting>
  <conditionalFormatting sqref="L14">
    <cfRule type="cellIs" dxfId="55" priority="7" operator="equal">
      <formula>0</formula>
    </cfRule>
  </conditionalFormatting>
  <conditionalFormatting sqref="K14">
    <cfRule type="cellIs" dxfId="54" priority="6" operator="equal">
      <formula>0</formula>
    </cfRule>
  </conditionalFormatting>
  <conditionalFormatting sqref="L14">
    <cfRule type="cellIs" dxfId="53" priority="5" operator="equal">
      <formula>0</formula>
    </cfRule>
  </conditionalFormatting>
  <conditionalFormatting sqref="M39 G39:J39">
    <cfRule type="cellIs" dxfId="52" priority="4" operator="equal">
      <formula>0</formula>
    </cfRule>
  </conditionalFormatting>
  <conditionalFormatting sqref="L39">
    <cfRule type="cellIs" dxfId="51" priority="3" operator="equal">
      <formula>0</formula>
    </cfRule>
  </conditionalFormatting>
  <conditionalFormatting sqref="K39">
    <cfRule type="cellIs" dxfId="50" priority="2" operator="equal">
      <formula>0</formula>
    </cfRule>
  </conditionalFormatting>
  <conditionalFormatting sqref="L39">
    <cfRule type="cellIs" dxfId="49" priority="1" operator="equal">
      <formula>0</formula>
    </cfRule>
  </conditionalFormatting>
  <dataValidations count="2">
    <dataValidation type="list" showInputMessage="1" showErrorMessage="1" sqref="C2:C92" xr:uid="{124AB2BC-86CC-4B23-9BC2-BB9FD1721E5B}">
      <formula1>shoppingNames</formula1>
    </dataValidation>
    <dataValidation type="list" allowBlank="1" showInputMessage="1" showErrorMessage="1" sqref="B2:B9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Q82"/>
  <sheetViews>
    <sheetView tabSelected="1" zoomScaleNormal="100" workbookViewId="0">
      <selection activeCell="O25" sqref="O25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bestFit="1" customWidth="1"/>
    <col min="4" max="4" width="5.42578125" style="27" bestFit="1" customWidth="1"/>
    <col min="5" max="5" width="8.140625" style="127" bestFit="1" customWidth="1"/>
    <col min="6" max="7" width="8.140625" style="2" bestFit="1" customWidth="1"/>
    <col min="8" max="8" width="31.7109375" style="2" bestFit="1" customWidth="1"/>
    <col min="9" max="9" width="5.85546875" style="79" bestFit="1" customWidth="1"/>
    <col min="10" max="10" width="8.28515625" style="79" bestFit="1" customWidth="1"/>
    <col min="11" max="12" width="9.140625" style="1"/>
    <col min="13" max="13" width="27.7109375" style="1" bestFit="1" customWidth="1"/>
    <col min="14" max="14" width="6.85546875" style="1" bestFit="1" customWidth="1"/>
    <col min="15" max="16" width="9.140625" style="1"/>
    <col min="17" max="17" width="14.85546875" style="1" bestFit="1" customWidth="1"/>
    <col min="18" max="16384" width="9.140625" style="1"/>
  </cols>
  <sheetData>
    <row r="1" spans="1:17" ht="26.25" thickBot="1" x14ac:dyDescent="0.25">
      <c r="A1" s="73" t="s">
        <v>420</v>
      </c>
      <c r="B1" s="11" t="s">
        <v>64</v>
      </c>
      <c r="C1" s="11" t="s">
        <v>489</v>
      </c>
      <c r="D1" s="11" t="s">
        <v>490</v>
      </c>
      <c r="E1" s="123" t="s">
        <v>101</v>
      </c>
      <c r="F1" s="12" t="s">
        <v>102</v>
      </c>
      <c r="G1" s="12" t="s">
        <v>100</v>
      </c>
      <c r="H1" s="12" t="s">
        <v>161</v>
      </c>
      <c r="I1" s="75" t="s">
        <v>372</v>
      </c>
      <c r="J1" s="75" t="s">
        <v>373</v>
      </c>
    </row>
    <row r="2" spans="1:17" ht="13.5" thickBot="1" x14ac:dyDescent="0.25">
      <c r="A2" s="96" t="s">
        <v>414</v>
      </c>
      <c r="B2" s="94" t="s">
        <v>296</v>
      </c>
      <c r="C2" s="19">
        <v>1</v>
      </c>
      <c r="D2" s="20">
        <f>SUMIF(support!C:C,B2,support!I:I)</f>
        <v>0</v>
      </c>
      <c r="E2" s="124">
        <f t="shared" ref="E2:E55" si="0">D2 / C2</f>
        <v>0</v>
      </c>
      <c r="F2" s="113">
        <f>SUMIF(support!C:C,B2,support!J:J)</f>
        <v>0</v>
      </c>
      <c r="G2" s="113">
        <f>SUMIF(support!C:C,B2,support!K:K)</f>
        <v>0</v>
      </c>
      <c r="H2" s="20"/>
      <c r="I2" s="80">
        <f>SUMIF(support!C:C,B2,support!L:L)</f>
        <v>1</v>
      </c>
      <c r="J2" s="21" t="b">
        <f t="shared" ref="J2:J33" si="1">OR(COUNTIF(E2:G2, "&lt;&gt;0") &gt; 1, I2 = 0)</f>
        <v>0</v>
      </c>
      <c r="M2" s="1" t="s">
        <v>356</v>
      </c>
    </row>
    <row r="3" spans="1:17" x14ac:dyDescent="0.2">
      <c r="A3" s="97" t="s">
        <v>414</v>
      </c>
      <c r="B3" s="91" t="s">
        <v>57</v>
      </c>
      <c r="C3" s="22">
        <v>1</v>
      </c>
      <c r="D3" s="3">
        <f>SUMIF(support!C:C,B3,support!I:I)</f>
        <v>3.43453936025425</v>
      </c>
      <c r="E3" s="125">
        <f t="shared" si="0"/>
        <v>3.43453936025425</v>
      </c>
      <c r="F3" s="114">
        <f>SUMIF(support!C:C,B3,support!J:J)</f>
        <v>0</v>
      </c>
      <c r="G3" s="114">
        <f>SUMIF(support!C:C,B3,support!K:K)</f>
        <v>0</v>
      </c>
      <c r="H3" s="3" t="s">
        <v>493</v>
      </c>
      <c r="I3" s="81">
        <f>SUMIF(support!C:C,B3,support!L:L)</f>
        <v>4</v>
      </c>
      <c r="J3" s="23" t="b">
        <f t="shared" si="1"/>
        <v>0</v>
      </c>
      <c r="M3" s="1" t="s">
        <v>358</v>
      </c>
      <c r="N3" s="27" t="s">
        <v>462</v>
      </c>
      <c r="Q3" s="92" t="s">
        <v>412</v>
      </c>
    </row>
    <row r="4" spans="1:17" x14ac:dyDescent="0.2">
      <c r="A4" s="97" t="s">
        <v>414</v>
      </c>
      <c r="B4" s="91" t="s">
        <v>487</v>
      </c>
      <c r="C4" s="22">
        <v>1</v>
      </c>
      <c r="D4" s="3">
        <f>SUMIF(support!C:C,B4,support!I:I)</f>
        <v>0</v>
      </c>
      <c r="E4" s="125">
        <f t="shared" si="0"/>
        <v>0</v>
      </c>
      <c r="F4" s="114">
        <f>SUMIF(support!C:C,B4,support!J:J)</f>
        <v>0</v>
      </c>
      <c r="G4" s="114">
        <f>SUMIF(support!C:C,B4,support!K:K)</f>
        <v>1</v>
      </c>
      <c r="H4" s="3" t="s">
        <v>488</v>
      </c>
      <c r="I4" s="81">
        <f>SUMIF(support!C:C,B4,support!L:L)</f>
        <v>1</v>
      </c>
      <c r="J4" s="23" t="b">
        <f t="shared" si="1"/>
        <v>0</v>
      </c>
      <c r="M4" s="1" t="s">
        <v>359</v>
      </c>
      <c r="N4" s="27" t="s">
        <v>462</v>
      </c>
      <c r="Q4" s="93" t="s">
        <v>413</v>
      </c>
    </row>
    <row r="5" spans="1:17" x14ac:dyDescent="0.2">
      <c r="A5" s="97" t="s">
        <v>412</v>
      </c>
      <c r="B5" s="91" t="s">
        <v>297</v>
      </c>
      <c r="C5" s="22">
        <v>1</v>
      </c>
      <c r="D5" s="3">
        <f>SUMIF(support!C:C,B5,support!I:I)</f>
        <v>0</v>
      </c>
      <c r="E5" s="125">
        <f t="shared" si="0"/>
        <v>0</v>
      </c>
      <c r="F5" s="114">
        <f>SUMIF(support!C:C,B5,support!J:J)</f>
        <v>0</v>
      </c>
      <c r="G5" s="114">
        <f>SUMIF(support!C:C,B5,support!K:K)</f>
        <v>0</v>
      </c>
      <c r="H5" s="3"/>
      <c r="I5" s="81">
        <f>SUMIF(support!C:C,B5,support!L:L)</f>
        <v>1</v>
      </c>
      <c r="J5" s="23" t="b">
        <f t="shared" si="1"/>
        <v>0</v>
      </c>
      <c r="M5" s="1" t="s">
        <v>360</v>
      </c>
      <c r="N5" s="27" t="s">
        <v>462</v>
      </c>
      <c r="Q5" s="93" t="s">
        <v>414</v>
      </c>
    </row>
    <row r="6" spans="1:17" x14ac:dyDescent="0.2">
      <c r="A6" s="97" t="s">
        <v>412</v>
      </c>
      <c r="B6" s="91" t="s">
        <v>80</v>
      </c>
      <c r="C6" s="22">
        <v>1</v>
      </c>
      <c r="D6" s="3">
        <f>SUMIF(support!C:C,B6,support!I:I)</f>
        <v>0</v>
      </c>
      <c r="E6" s="125">
        <f t="shared" si="0"/>
        <v>0</v>
      </c>
      <c r="F6" s="114">
        <f>SUMIF(support!C:C,B6,support!J:J)</f>
        <v>0</v>
      </c>
      <c r="G6" s="114">
        <f>SUMIF(support!C:C,B6,support!K:K)</f>
        <v>3</v>
      </c>
      <c r="H6" s="3"/>
      <c r="I6" s="81">
        <f>SUMIF(support!C:C,B6,support!L:L)</f>
        <v>1</v>
      </c>
      <c r="J6" s="23" t="b">
        <f t="shared" si="1"/>
        <v>0</v>
      </c>
      <c r="M6" s="27" t="s">
        <v>357</v>
      </c>
      <c r="N6" s="1" t="s">
        <v>462</v>
      </c>
      <c r="Q6" s="93" t="s">
        <v>419</v>
      </c>
    </row>
    <row r="7" spans="1:17" s="27" customFormat="1" x14ac:dyDescent="0.2">
      <c r="A7" s="97" t="s">
        <v>412</v>
      </c>
      <c r="B7" s="91" t="s">
        <v>81</v>
      </c>
      <c r="C7" s="22">
        <v>1</v>
      </c>
      <c r="D7" s="3">
        <f>SUMIF(support!C:C,B7,support!I:I)</f>
        <v>0</v>
      </c>
      <c r="E7" s="125">
        <f t="shared" si="0"/>
        <v>0</v>
      </c>
      <c r="F7" s="114">
        <f>SUMIF(support!C:C,B7,support!J:J)</f>
        <v>0</v>
      </c>
      <c r="G7" s="114">
        <f>SUMIF(support!C:C,B7,support!K:K)</f>
        <v>3</v>
      </c>
      <c r="H7" s="3"/>
      <c r="I7" s="81">
        <f>SUMIF(support!C:C,B7,support!L:L)</f>
        <v>1</v>
      </c>
      <c r="J7" s="23" t="b">
        <f t="shared" si="1"/>
        <v>0</v>
      </c>
      <c r="Q7" s="93" t="s">
        <v>418</v>
      </c>
    </row>
    <row r="8" spans="1:17" x14ac:dyDescent="0.2">
      <c r="A8" s="97" t="s">
        <v>412</v>
      </c>
      <c r="B8" s="91" t="s">
        <v>47</v>
      </c>
      <c r="C8" s="22">
        <v>1</v>
      </c>
      <c r="D8" s="3">
        <f>SUMIF(support!C:C,B8,support!I:I)</f>
        <v>7.8421470898749996</v>
      </c>
      <c r="E8" s="125">
        <f t="shared" si="0"/>
        <v>7.8421470898749996</v>
      </c>
      <c r="F8" s="114">
        <f>SUMIF(support!C:C,B8,support!J:J)</f>
        <v>0</v>
      </c>
      <c r="G8" s="114">
        <f>SUMIF(support!C:C,B8,support!K:K)</f>
        <v>0</v>
      </c>
      <c r="H8" s="3"/>
      <c r="I8" s="81">
        <f>SUMIF(support!C:C,B8,support!L:L)</f>
        <v>9</v>
      </c>
      <c r="J8" s="23" t="b">
        <f t="shared" si="1"/>
        <v>0</v>
      </c>
      <c r="M8" s="1" t="s">
        <v>460</v>
      </c>
      <c r="Q8" s="93" t="s">
        <v>415</v>
      </c>
    </row>
    <row r="9" spans="1:17" s="27" customFormat="1" x14ac:dyDescent="0.2">
      <c r="A9" s="97" t="s">
        <v>413</v>
      </c>
      <c r="B9" s="91" t="s">
        <v>79</v>
      </c>
      <c r="C9" s="22">
        <v>1</v>
      </c>
      <c r="D9" s="3">
        <f>SUMIF(support!C:C,B9,support!I:I)</f>
        <v>0</v>
      </c>
      <c r="E9" s="125">
        <f t="shared" si="0"/>
        <v>0</v>
      </c>
      <c r="F9" s="114">
        <f>SUMIF(support!C:C,B9,support!J:J)</f>
        <v>0</v>
      </c>
      <c r="G9" s="114">
        <f>SUMIF(support!C:C,B9,support!K:K)</f>
        <v>5.25</v>
      </c>
      <c r="H9" s="3"/>
      <c r="I9" s="81">
        <f>SUMIF(support!C:C,B9,support!L:L)</f>
        <v>2</v>
      </c>
      <c r="J9" s="23" t="b">
        <f t="shared" si="1"/>
        <v>0</v>
      </c>
      <c r="M9" s="27" t="s">
        <v>461</v>
      </c>
      <c r="N9" s="27" t="s">
        <v>462</v>
      </c>
      <c r="Q9" s="93" t="s">
        <v>416</v>
      </c>
    </row>
    <row r="10" spans="1:17" s="27" customFormat="1" ht="13.5" thickBot="1" x14ac:dyDescent="0.25">
      <c r="A10" s="97" t="s">
        <v>413</v>
      </c>
      <c r="B10" s="91" t="s">
        <v>48</v>
      </c>
      <c r="C10" s="22">
        <v>1</v>
      </c>
      <c r="D10" s="3">
        <f>SUMIF(support!C:C,B10,support!I:I)</f>
        <v>5.0666774422793402E-2</v>
      </c>
      <c r="E10" s="125">
        <f t="shared" si="0"/>
        <v>5.0666774422793402E-2</v>
      </c>
      <c r="F10" s="114">
        <f>SUMIF(support!C:C,B10,support!J:J)</f>
        <v>0</v>
      </c>
      <c r="G10" s="114">
        <f>SUMIF(support!C:C,B10,support!K:K)</f>
        <v>0</v>
      </c>
      <c r="H10" s="3"/>
      <c r="I10" s="81">
        <f>SUMIF(support!C:C,B10,support!L:L)</f>
        <v>1</v>
      </c>
      <c r="J10" s="23" t="b">
        <f t="shared" si="1"/>
        <v>0</v>
      </c>
      <c r="Q10" s="7" t="s">
        <v>417</v>
      </c>
    </row>
    <row r="11" spans="1:17" s="27" customFormat="1" x14ac:dyDescent="0.2">
      <c r="A11" s="97" t="s">
        <v>413</v>
      </c>
      <c r="B11" s="91" t="s">
        <v>93</v>
      </c>
      <c r="C11" s="22">
        <v>1</v>
      </c>
      <c r="D11" s="3">
        <f>SUMIF(support!C:C,B11,support!I:I)</f>
        <v>1.0388910983621014E-2</v>
      </c>
      <c r="E11" s="125">
        <f t="shared" si="0"/>
        <v>1.0388910983621014E-2</v>
      </c>
      <c r="F11" s="114">
        <f>SUMIF(support!C:C,B11,support!J:J)</f>
        <v>0</v>
      </c>
      <c r="G11" s="114">
        <f>SUMIF(support!C:C,B11,support!K:K)</f>
        <v>0</v>
      </c>
      <c r="H11" s="3"/>
      <c r="I11" s="81">
        <f>SUMIF(support!C:C,B11,support!L:L)</f>
        <v>3</v>
      </c>
      <c r="J11" s="23" t="b">
        <f t="shared" si="1"/>
        <v>0</v>
      </c>
    </row>
    <row r="12" spans="1:17" s="27" customFormat="1" x14ac:dyDescent="0.2">
      <c r="A12" s="97" t="s">
        <v>413</v>
      </c>
      <c r="B12" s="91" t="s">
        <v>49</v>
      </c>
      <c r="C12" s="22">
        <v>1</v>
      </c>
      <c r="D12" s="3">
        <f>SUMIF(support!C:C,B12,support!I:I)</f>
        <v>3.483340741567046E-2</v>
      </c>
      <c r="E12" s="125">
        <f t="shared" si="0"/>
        <v>3.483340741567046E-2</v>
      </c>
      <c r="F12" s="114">
        <f>SUMIF(support!C:C,B12,support!J:J)</f>
        <v>0</v>
      </c>
      <c r="G12" s="114">
        <f>SUMIF(support!C:C,B12,support!K:K)</f>
        <v>0</v>
      </c>
      <c r="H12" s="3"/>
      <c r="I12" s="81">
        <f>SUMIF(support!C:C,B12,support!L:L)</f>
        <v>1</v>
      </c>
      <c r="J12" s="23" t="b">
        <f t="shared" si="1"/>
        <v>0</v>
      </c>
    </row>
    <row r="13" spans="1:17" s="27" customFormat="1" x14ac:dyDescent="0.2">
      <c r="A13" s="97" t="s">
        <v>413</v>
      </c>
      <c r="B13" s="91" t="s">
        <v>9</v>
      </c>
      <c r="C13" s="22">
        <v>1</v>
      </c>
      <c r="D13" s="3">
        <f>SUMIF(support!C:C,B13,support!I:I)</f>
        <v>5.4000114845345601E-2</v>
      </c>
      <c r="E13" s="125">
        <f t="shared" si="0"/>
        <v>5.4000114845345601E-2</v>
      </c>
      <c r="F13" s="114">
        <f>SUMIF(support!C:C,B13,support!J:J)</f>
        <v>0</v>
      </c>
      <c r="G13" s="114">
        <f>SUMIF(support!C:C,B13,support!K:K)</f>
        <v>0</v>
      </c>
      <c r="H13" s="3"/>
      <c r="I13" s="81">
        <f>SUMIF(support!C:C,B13,support!L:L)</f>
        <v>2</v>
      </c>
      <c r="J13" s="23" t="b">
        <f t="shared" si="1"/>
        <v>0</v>
      </c>
    </row>
    <row r="14" spans="1:17" x14ac:dyDescent="0.2">
      <c r="A14" s="97" t="s">
        <v>413</v>
      </c>
      <c r="B14" s="91" t="s">
        <v>92</v>
      </c>
      <c r="C14" s="22">
        <v>1</v>
      </c>
      <c r="D14" s="3">
        <f>SUMIF(support!C:C,B14,support!I:I)</f>
        <v>1.5000031901484889E-3</v>
      </c>
      <c r="E14" s="125">
        <f t="shared" si="0"/>
        <v>1.5000031901484889E-3</v>
      </c>
      <c r="F14" s="114">
        <f>SUMIF(support!C:C,B14,support!J:J)</f>
        <v>0</v>
      </c>
      <c r="G14" s="114">
        <f>SUMIF(support!C:C,B14,support!K:K)</f>
        <v>0</v>
      </c>
      <c r="H14" s="3"/>
      <c r="I14" s="81">
        <f>SUMIF(support!C:C,B14,support!L:L)</f>
        <v>1</v>
      </c>
      <c r="J14" s="23" t="b">
        <f t="shared" si="1"/>
        <v>0</v>
      </c>
      <c r="Q14" s="27"/>
    </row>
    <row r="15" spans="1:17" x14ac:dyDescent="0.2">
      <c r="A15" s="97" t="s">
        <v>413</v>
      </c>
      <c r="B15" s="91" t="s">
        <v>266</v>
      </c>
      <c r="C15" s="22">
        <v>1</v>
      </c>
      <c r="D15" s="3">
        <f>SUMIF(support!C:C,B15,support!I:I)</f>
        <v>0.45247500230624998</v>
      </c>
      <c r="E15" s="125">
        <f t="shared" si="0"/>
        <v>0.45247500230624998</v>
      </c>
      <c r="F15" s="114">
        <f>SUMIF(support!C:C,B15,support!J:J)</f>
        <v>0</v>
      </c>
      <c r="G15" s="114">
        <f>SUMIF(support!C:C,B15,support!K:K)</f>
        <v>0</v>
      </c>
      <c r="H15" s="3"/>
      <c r="I15" s="81">
        <f>SUMIF(support!C:C,B15,support!L:L)</f>
        <v>1</v>
      </c>
      <c r="J15" s="23" t="b">
        <f t="shared" si="1"/>
        <v>0</v>
      </c>
      <c r="Q15" s="27"/>
    </row>
    <row r="16" spans="1:17" x14ac:dyDescent="0.2">
      <c r="A16" s="97" t="s">
        <v>413</v>
      </c>
      <c r="B16" s="91" t="s">
        <v>86</v>
      </c>
      <c r="C16" s="22">
        <v>1</v>
      </c>
      <c r="D16" s="3">
        <f>SUMIF(support!C:C,B16,support!I:I)</f>
        <v>0.38149997823116744</v>
      </c>
      <c r="E16" s="125">
        <f t="shared" si="0"/>
        <v>0.38149997823116744</v>
      </c>
      <c r="F16" s="114">
        <f>SUMIF(support!C:C,B16,support!J:J)</f>
        <v>0</v>
      </c>
      <c r="G16" s="114">
        <f>SUMIF(support!C:C,B16,support!K:K)</f>
        <v>0</v>
      </c>
      <c r="H16" s="3"/>
      <c r="I16" s="81">
        <f>SUMIF(support!C:C,B16,support!L:L)</f>
        <v>1</v>
      </c>
      <c r="J16" s="23" t="b">
        <f t="shared" si="1"/>
        <v>0</v>
      </c>
    </row>
    <row r="17" spans="1:17" x14ac:dyDescent="0.2">
      <c r="A17" s="97" t="s">
        <v>413</v>
      </c>
      <c r="B17" s="91" t="s">
        <v>87</v>
      </c>
      <c r="C17" s="22">
        <v>1</v>
      </c>
      <c r="D17" s="3">
        <f>SUMIF(support!C:C,B17,support!I:I)</f>
        <v>0.95949994524981697</v>
      </c>
      <c r="E17" s="125">
        <f t="shared" si="0"/>
        <v>0.95949994524981697</v>
      </c>
      <c r="F17" s="114">
        <f>SUMIF(support!C:C,B17,support!J:J)</f>
        <v>0</v>
      </c>
      <c r="G17" s="114">
        <f>SUMIF(support!C:C,B17,support!K:K)</f>
        <v>0</v>
      </c>
      <c r="H17" s="3"/>
      <c r="I17" s="81">
        <f>SUMIF(support!C:C,B17,support!L:L)</f>
        <v>1</v>
      </c>
      <c r="J17" s="23" t="b">
        <f t="shared" si="1"/>
        <v>0</v>
      </c>
    </row>
    <row r="18" spans="1:17" x14ac:dyDescent="0.2">
      <c r="A18" s="97" t="s">
        <v>413</v>
      </c>
      <c r="B18" s="91" t="s">
        <v>268</v>
      </c>
      <c r="C18" s="22">
        <v>1</v>
      </c>
      <c r="D18" s="3">
        <f>SUMIF(support!C:C,B18,support!I:I)</f>
        <v>2.0000042535313184E-3</v>
      </c>
      <c r="E18" s="125">
        <f t="shared" si="0"/>
        <v>2.0000042535313184E-3</v>
      </c>
      <c r="F18" s="114">
        <f>SUMIF(support!C:C,B18,support!J:J)</f>
        <v>0</v>
      </c>
      <c r="G18" s="114">
        <f>SUMIF(support!C:C,B18,support!K:K)</f>
        <v>0</v>
      </c>
      <c r="H18" s="3"/>
      <c r="I18" s="81">
        <f>SUMIF(support!C:C,B18,support!L:L)</f>
        <v>1</v>
      </c>
      <c r="J18" s="23" t="b">
        <f t="shared" si="1"/>
        <v>0</v>
      </c>
    </row>
    <row r="19" spans="1:17" s="27" customFormat="1" x14ac:dyDescent="0.2">
      <c r="A19" s="97" t="s">
        <v>413</v>
      </c>
      <c r="B19" s="91" t="s">
        <v>182</v>
      </c>
      <c r="C19" s="22">
        <v>1</v>
      </c>
      <c r="D19" s="3">
        <f>SUMIF(support!C:C,B19,support!I:I)</f>
        <v>1.3234374244831209</v>
      </c>
      <c r="E19" s="125">
        <f t="shared" si="0"/>
        <v>1.3234374244831209</v>
      </c>
      <c r="F19" s="114">
        <f>SUMIF(support!C:C,B19,support!J:J)</f>
        <v>0</v>
      </c>
      <c r="G19" s="114">
        <f>SUMIF(support!C:C,B19,support!K:K)</f>
        <v>0</v>
      </c>
      <c r="H19" s="3"/>
      <c r="I19" s="81">
        <f>SUMIF(support!C:C,B19,support!L:L)</f>
        <v>2</v>
      </c>
      <c r="J19" s="23" t="b">
        <f t="shared" si="1"/>
        <v>0</v>
      </c>
      <c r="Q19" s="1"/>
    </row>
    <row r="20" spans="1:17" s="27" customFormat="1" x14ac:dyDescent="0.2">
      <c r="A20" s="97" t="s">
        <v>413</v>
      </c>
      <c r="B20" s="91" t="s">
        <v>10</v>
      </c>
      <c r="C20" s="22">
        <v>1</v>
      </c>
      <c r="D20" s="3">
        <f>SUMIF(support!C:C,B20,support!I:I)</f>
        <v>3.1666734014245877E-2</v>
      </c>
      <c r="E20" s="125">
        <f t="shared" si="0"/>
        <v>3.1666734014245877E-2</v>
      </c>
      <c r="F20" s="114">
        <f>SUMIF(support!C:C,B20,support!J:J)</f>
        <v>0</v>
      </c>
      <c r="G20" s="114">
        <f>SUMIF(support!C:C,B20,support!K:K)</f>
        <v>0</v>
      </c>
      <c r="H20" s="3"/>
      <c r="I20" s="81">
        <f>SUMIF(support!C:C,B20,support!L:L)</f>
        <v>1</v>
      </c>
      <c r="J20" s="23" t="b">
        <f t="shared" si="1"/>
        <v>0</v>
      </c>
      <c r="Q20" s="1"/>
    </row>
    <row r="21" spans="1:17" x14ac:dyDescent="0.2">
      <c r="A21" s="97" t="s">
        <v>413</v>
      </c>
      <c r="B21" s="91" t="s">
        <v>140</v>
      </c>
      <c r="C21" s="22">
        <v>1</v>
      </c>
      <c r="D21" s="3">
        <f>SUMIF(support!C:C,B21,support!I:I)</f>
        <v>2.688894607525439E-2</v>
      </c>
      <c r="E21" s="125">
        <f t="shared" si="0"/>
        <v>2.688894607525439E-2</v>
      </c>
      <c r="F21" s="114">
        <f>SUMIF(support!C:C,B21,support!J:J)</f>
        <v>0</v>
      </c>
      <c r="G21" s="114">
        <f>SUMIF(support!C:C,B21,support!K:K)</f>
        <v>0</v>
      </c>
      <c r="H21" s="3"/>
      <c r="I21" s="81">
        <f>SUMIF(support!C:C,B21,support!L:L)</f>
        <v>2</v>
      </c>
      <c r="J21" s="23" t="b">
        <f t="shared" si="1"/>
        <v>0</v>
      </c>
      <c r="Q21" s="27"/>
    </row>
    <row r="22" spans="1:17" s="27" customFormat="1" x14ac:dyDescent="0.2">
      <c r="A22" s="97" t="s">
        <v>413</v>
      </c>
      <c r="B22" s="91" t="s">
        <v>14</v>
      </c>
      <c r="C22" s="22">
        <v>1</v>
      </c>
      <c r="D22" s="3">
        <f>SUMIF(support!C:C,B22,support!I:I)</f>
        <v>3.0555620540061806E-2</v>
      </c>
      <c r="E22" s="125">
        <f t="shared" si="0"/>
        <v>3.0555620540061806E-2</v>
      </c>
      <c r="F22" s="114">
        <f>SUMIF(support!C:C,B22,support!J:J)</f>
        <v>0</v>
      </c>
      <c r="G22" s="114">
        <f>SUMIF(support!C:C,B22,support!K:K)</f>
        <v>0</v>
      </c>
      <c r="H22" s="3"/>
      <c r="I22" s="81">
        <f>SUMIF(support!C:C,B22,support!L:L)</f>
        <v>3</v>
      </c>
      <c r="J22" s="23" t="b">
        <f t="shared" si="1"/>
        <v>0</v>
      </c>
    </row>
    <row r="23" spans="1:17" x14ac:dyDescent="0.2">
      <c r="A23" s="97" t="s">
        <v>413</v>
      </c>
      <c r="B23" s="91" t="s">
        <v>292</v>
      </c>
      <c r="C23" s="22">
        <v>1</v>
      </c>
      <c r="D23" s="3">
        <f>SUMIF(support!C:C,B23,support!I:I)</f>
        <v>8.0889060920599998E-2</v>
      </c>
      <c r="E23" s="125">
        <f t="shared" si="0"/>
        <v>8.0889060920599998E-2</v>
      </c>
      <c r="F23" s="114">
        <f>SUMIF(support!C:C,B23,support!J:J)</f>
        <v>0</v>
      </c>
      <c r="G23" s="114">
        <f>SUMIF(support!C:C,B23,support!K:K)</f>
        <v>0</v>
      </c>
      <c r="H23" s="3"/>
      <c r="I23" s="81">
        <f>SUMIF(support!C:C,B23,support!L:L)</f>
        <v>6</v>
      </c>
      <c r="J23" s="23" t="b">
        <f t="shared" si="1"/>
        <v>0</v>
      </c>
    </row>
    <row r="24" spans="1:17" x14ac:dyDescent="0.2">
      <c r="A24" s="97" t="s">
        <v>413</v>
      </c>
      <c r="B24" s="91" t="s">
        <v>91</v>
      </c>
      <c r="C24" s="22">
        <v>1</v>
      </c>
      <c r="D24" s="3">
        <f>SUMIF(support!C:C,B24,support!I:I)</f>
        <v>9.3333531831461536E-3</v>
      </c>
      <c r="E24" s="125">
        <f t="shared" si="0"/>
        <v>9.3333531831461536E-3</v>
      </c>
      <c r="F24" s="114">
        <f>SUMIF(support!C:C,B24,support!J:J)</f>
        <v>0</v>
      </c>
      <c r="G24" s="114">
        <f>SUMIF(support!C:C,B24,support!K:K)</f>
        <v>0</v>
      </c>
      <c r="H24" s="3"/>
      <c r="I24" s="81">
        <f>SUMIF(support!C:C,B24,support!L:L)</f>
        <v>1</v>
      </c>
      <c r="J24" s="23" t="b">
        <f t="shared" si="1"/>
        <v>0</v>
      </c>
      <c r="Q24" s="27"/>
    </row>
    <row r="25" spans="1:17" x14ac:dyDescent="0.2">
      <c r="A25" s="97" t="s">
        <v>418</v>
      </c>
      <c r="B25" s="91" t="s">
        <v>403</v>
      </c>
      <c r="C25" s="22">
        <v>1</v>
      </c>
      <c r="D25" s="3">
        <f>SUMIF(support!C:C,B25,support!I:I)</f>
        <v>0</v>
      </c>
      <c r="E25" s="125">
        <f t="shared" si="0"/>
        <v>0</v>
      </c>
      <c r="F25" s="114">
        <f>SUMIF(support!C:C,B25,support!J:J)</f>
        <v>0</v>
      </c>
      <c r="G25" s="114">
        <f>SUMIF(support!C:C,B25,support!K:K)</f>
        <v>3</v>
      </c>
      <c r="H25" s="3"/>
      <c r="I25" s="81">
        <f>SUMIF(support!C:C,B25,support!L:L)</f>
        <v>1</v>
      </c>
      <c r="J25" s="23" t="b">
        <f t="shared" si="1"/>
        <v>0</v>
      </c>
    </row>
    <row r="26" spans="1:17" x14ac:dyDescent="0.2">
      <c r="A26" s="97" t="s">
        <v>415</v>
      </c>
      <c r="B26" s="91" t="s">
        <v>166</v>
      </c>
      <c r="C26" s="22">
        <v>1</v>
      </c>
      <c r="D26" s="3">
        <f>SUMIF(support!C:C,B26,support!I:I)</f>
        <v>0</v>
      </c>
      <c r="E26" s="125">
        <f t="shared" si="0"/>
        <v>0</v>
      </c>
      <c r="F26" s="114">
        <f>SUMIF(support!C:C,B26,support!J:J)</f>
        <v>0.47317647299999999</v>
      </c>
      <c r="G26" s="114">
        <f>SUMIF(support!C:C,B26,support!K:K)</f>
        <v>0</v>
      </c>
      <c r="H26" s="3"/>
      <c r="I26" s="81">
        <f>SUMIF(support!C:C,B26,support!L:L)</f>
        <v>1</v>
      </c>
      <c r="J26" s="23" t="b">
        <f t="shared" si="1"/>
        <v>0</v>
      </c>
    </row>
    <row r="27" spans="1:17" x14ac:dyDescent="0.2">
      <c r="A27" s="97" t="s">
        <v>415</v>
      </c>
      <c r="B27" s="91" t="s">
        <v>104</v>
      </c>
      <c r="C27" s="22">
        <v>1</v>
      </c>
      <c r="D27" s="3">
        <f>SUMIF(support!C:C,B27,support!I:I)</f>
        <v>0</v>
      </c>
      <c r="E27" s="125">
        <f t="shared" si="0"/>
        <v>0</v>
      </c>
      <c r="F27" s="114">
        <f>SUMIF(support!C:C,B27,support!J:J)</f>
        <v>0.11829411825</v>
      </c>
      <c r="G27" s="114">
        <f>SUMIF(support!C:C,B27,support!K:K)</f>
        <v>0</v>
      </c>
      <c r="H27" s="3"/>
      <c r="I27" s="81">
        <f>SUMIF(support!C:C,B27,support!L:L)</f>
        <v>1</v>
      </c>
      <c r="J27" s="23" t="b">
        <f t="shared" si="1"/>
        <v>0</v>
      </c>
    </row>
    <row r="28" spans="1:17" x14ac:dyDescent="0.2">
      <c r="A28" s="97" t="s">
        <v>415</v>
      </c>
      <c r="B28" s="91" t="s">
        <v>65</v>
      </c>
      <c r="C28" s="22">
        <v>1</v>
      </c>
      <c r="D28" s="3">
        <f>SUMIF(support!C:C,B28,support!I:I)</f>
        <v>0</v>
      </c>
      <c r="E28" s="125">
        <f t="shared" si="0"/>
        <v>0</v>
      </c>
      <c r="F28" s="114">
        <f>SUMIF(support!C:C,B28,support!J:J)</f>
        <v>9.6113971078124999E-2</v>
      </c>
      <c r="G28" s="114">
        <f>SUMIF(support!C:C,B28,support!K:K)</f>
        <v>0</v>
      </c>
      <c r="H28" s="3"/>
      <c r="I28" s="81">
        <f>SUMIF(support!C:C,B28,support!L:L)</f>
        <v>2</v>
      </c>
      <c r="J28" s="23" t="b">
        <f t="shared" si="1"/>
        <v>0</v>
      </c>
    </row>
    <row r="29" spans="1:17" x14ac:dyDescent="0.2">
      <c r="A29" s="97" t="s">
        <v>415</v>
      </c>
      <c r="B29" s="91" t="s">
        <v>175</v>
      </c>
      <c r="C29" s="22">
        <v>1</v>
      </c>
      <c r="D29" s="3">
        <f>SUMIF(support!C:C,B29,support!I:I)</f>
        <v>0</v>
      </c>
      <c r="E29" s="125">
        <f t="shared" si="0"/>
        <v>0</v>
      </c>
      <c r="F29" s="114">
        <f>SUMIF(support!C:C,B29,support!J:J)</f>
        <v>0.3844558843125</v>
      </c>
      <c r="G29" s="114">
        <f>SUMIF(support!C:C,B29,support!K:K)</f>
        <v>0</v>
      </c>
      <c r="H29" s="83" t="s">
        <v>169</v>
      </c>
      <c r="I29" s="81">
        <f>SUMIF(support!C:C,B29,support!L:L)</f>
        <v>1</v>
      </c>
      <c r="J29" s="28" t="b">
        <f t="shared" si="1"/>
        <v>0</v>
      </c>
    </row>
    <row r="30" spans="1:17" x14ac:dyDescent="0.2">
      <c r="A30" s="97" t="s">
        <v>415</v>
      </c>
      <c r="B30" s="91" t="s">
        <v>70</v>
      </c>
      <c r="C30" s="22">
        <v>1</v>
      </c>
      <c r="D30" s="3">
        <f>SUMIF(support!C:C,B30,support!I:I)</f>
        <v>0</v>
      </c>
      <c r="E30" s="125">
        <f t="shared" si="0"/>
        <v>0</v>
      </c>
      <c r="F30" s="114">
        <f>SUMIF(support!C:C,B30,support!J:J)</f>
        <v>0</v>
      </c>
      <c r="G30" s="114">
        <f>SUMIF(support!C:C,B30,support!K:K)</f>
        <v>0</v>
      </c>
      <c r="H30" s="3"/>
      <c r="I30" s="81">
        <f>SUMIF(support!C:C,B30,support!L:L)</f>
        <v>4</v>
      </c>
      <c r="J30" s="23" t="b">
        <f t="shared" si="1"/>
        <v>0</v>
      </c>
    </row>
    <row r="31" spans="1:17" x14ac:dyDescent="0.2">
      <c r="A31" s="97" t="s">
        <v>415</v>
      </c>
      <c r="B31" s="91" t="s">
        <v>56</v>
      </c>
      <c r="C31" s="22">
        <v>1</v>
      </c>
      <c r="D31" s="3">
        <f>SUMIF(support!C:C,B31,support!I:I)</f>
        <v>0</v>
      </c>
      <c r="E31" s="125">
        <f t="shared" si="0"/>
        <v>0</v>
      </c>
      <c r="F31" s="114">
        <f>SUMIF(support!C:C,B31,support!J:J)</f>
        <v>5.5450367929687501E-2</v>
      </c>
      <c r="G31" s="114">
        <f>SUMIF(support!C:C,B31,support!K:K)</f>
        <v>0</v>
      </c>
      <c r="H31" s="3"/>
      <c r="I31" s="81">
        <f>SUMIF(support!C:C,B31,support!L:L)</f>
        <v>1</v>
      </c>
      <c r="J31" s="23" t="b">
        <f t="shared" si="1"/>
        <v>0</v>
      </c>
    </row>
    <row r="32" spans="1:17" x14ac:dyDescent="0.2">
      <c r="A32" s="97" t="s">
        <v>415</v>
      </c>
      <c r="B32" s="91" t="s">
        <v>46</v>
      </c>
      <c r="C32" s="22">
        <v>1</v>
      </c>
      <c r="D32" s="3">
        <f>SUMIF(support!C:C,B32,support!I:I)</f>
        <v>0</v>
      </c>
      <c r="E32" s="125">
        <f t="shared" si="0"/>
        <v>0</v>
      </c>
      <c r="F32" s="114">
        <f>SUMIF(support!C:C,B32,support!J:J)</f>
        <v>0.60256066483593751</v>
      </c>
      <c r="G32" s="114">
        <f>SUMIF(support!C:C,B32,support!K:K)</f>
        <v>0</v>
      </c>
      <c r="H32" s="3"/>
      <c r="I32" s="81">
        <f>SUMIF(support!C:C,B32,support!L:L)</f>
        <v>7</v>
      </c>
      <c r="J32" s="23" t="b">
        <f t="shared" si="1"/>
        <v>0</v>
      </c>
    </row>
    <row r="33" spans="1:17" s="27" customFormat="1" x14ac:dyDescent="0.2">
      <c r="A33" s="97" t="s">
        <v>415</v>
      </c>
      <c r="B33" s="91" t="s">
        <v>67</v>
      </c>
      <c r="C33" s="22">
        <v>1</v>
      </c>
      <c r="D33" s="3">
        <f>SUMIF(support!C:C,B33,support!I:I)</f>
        <v>0</v>
      </c>
      <c r="E33" s="125">
        <f t="shared" si="0"/>
        <v>0</v>
      </c>
      <c r="F33" s="114">
        <f>SUMIF(support!C:C,B33,support!J:J)</f>
        <v>5.9147059124999998E-2</v>
      </c>
      <c r="G33" s="114">
        <f>SUMIF(support!C:C,B33,support!K:K)</f>
        <v>0</v>
      </c>
      <c r="H33" s="3"/>
      <c r="I33" s="81">
        <f>SUMIF(support!C:C,B33,support!L:L)</f>
        <v>1</v>
      </c>
      <c r="J33" s="23" t="b">
        <f t="shared" si="1"/>
        <v>0</v>
      </c>
      <c r="Q33" s="1"/>
    </row>
    <row r="34" spans="1:17" x14ac:dyDescent="0.2">
      <c r="A34" s="97" t="s">
        <v>415</v>
      </c>
      <c r="B34" s="91" t="s">
        <v>96</v>
      </c>
      <c r="C34" s="22">
        <v>1</v>
      </c>
      <c r="D34" s="3">
        <f>SUMIF(support!C:C,B34,support!I:I)</f>
        <v>0</v>
      </c>
      <c r="E34" s="125">
        <f t="shared" si="0"/>
        <v>0</v>
      </c>
      <c r="F34" s="114">
        <f>SUMIF(support!C:C,B34,support!J:J)</f>
        <v>0.70976470949999992</v>
      </c>
      <c r="G34" s="114">
        <f>SUMIF(support!C:C,B34,support!K:K)</f>
        <v>0</v>
      </c>
      <c r="H34" s="3"/>
      <c r="I34" s="81">
        <f>SUMIF(support!C:C,B34,support!L:L)</f>
        <v>2</v>
      </c>
      <c r="J34" s="23" t="b">
        <f t="shared" ref="J34:J65" si="2">OR(COUNTIF(E34:G34, "&lt;&gt;0") &gt; 1, I34 = 0)</f>
        <v>0</v>
      </c>
    </row>
    <row r="35" spans="1:17" x14ac:dyDescent="0.2">
      <c r="A35" s="97" t="s">
        <v>415</v>
      </c>
      <c r="B35" s="91" t="s">
        <v>106</v>
      </c>
      <c r="C35" s="22">
        <v>1</v>
      </c>
      <c r="D35" s="3">
        <f>SUMIF(support!C:C,B35,support!I:I)</f>
        <v>0</v>
      </c>
      <c r="E35" s="125">
        <f t="shared" si="0"/>
        <v>0</v>
      </c>
      <c r="F35" s="114">
        <f>SUMIF(support!C:C,B35,support!J:J)</f>
        <v>0.29573529562500001</v>
      </c>
      <c r="G35" s="114">
        <f>SUMIF(support!C:C,B35,support!K:K)</f>
        <v>0</v>
      </c>
      <c r="H35" s="3"/>
      <c r="I35" s="81">
        <f>SUMIF(support!C:C,B35,support!L:L)</f>
        <v>1</v>
      </c>
      <c r="J35" s="23" t="b">
        <f t="shared" si="2"/>
        <v>0</v>
      </c>
      <c r="Q35" s="27"/>
    </row>
    <row r="36" spans="1:17" x14ac:dyDescent="0.2">
      <c r="A36" s="97" t="s">
        <v>415</v>
      </c>
      <c r="B36" s="91" t="s">
        <v>11</v>
      </c>
      <c r="C36" s="22">
        <v>1</v>
      </c>
      <c r="D36" s="3">
        <f>SUMIF(support!C:C,B36,support!I:I)</f>
        <v>6.666680845104396E-2</v>
      </c>
      <c r="E36" s="125">
        <f t="shared" si="0"/>
        <v>6.666680845104396E-2</v>
      </c>
      <c r="F36" s="114">
        <f>SUMIF(support!C:C,B36,support!J:J)</f>
        <v>0</v>
      </c>
      <c r="G36" s="114">
        <f>SUMIF(support!C:C,B36,support!K:K)</f>
        <v>0</v>
      </c>
      <c r="H36" s="3"/>
      <c r="I36" s="81">
        <f>SUMIF(support!C:C,B36,support!L:L)</f>
        <v>10</v>
      </c>
      <c r="J36" s="23" t="b">
        <f t="shared" si="2"/>
        <v>0</v>
      </c>
    </row>
    <row r="37" spans="1:17" s="27" customFormat="1" x14ac:dyDescent="0.2">
      <c r="A37" s="97" t="s">
        <v>415</v>
      </c>
      <c r="B37" s="91" t="s">
        <v>156</v>
      </c>
      <c r="C37" s="22">
        <v>1</v>
      </c>
      <c r="D37" s="3">
        <f>SUMIF(support!C:C,B37,support!I:I)</f>
        <v>0</v>
      </c>
      <c r="E37" s="125">
        <f t="shared" si="0"/>
        <v>0</v>
      </c>
      <c r="F37" s="114">
        <f>SUMIF(support!C:C,B37,support!J:J)</f>
        <v>0.10350735346874999</v>
      </c>
      <c r="G37" s="114">
        <f>SUMIF(support!C:C,B37,support!K:K)</f>
        <v>0</v>
      </c>
      <c r="H37" s="3"/>
      <c r="I37" s="81">
        <f>SUMIF(support!C:C,B37,support!L:L)</f>
        <v>1</v>
      </c>
      <c r="J37" s="23" t="b">
        <f t="shared" si="2"/>
        <v>0</v>
      </c>
      <c r="Q37" s="1"/>
    </row>
    <row r="38" spans="1:17" s="27" customFormat="1" x14ac:dyDescent="0.2">
      <c r="A38" s="97" t="s">
        <v>415</v>
      </c>
      <c r="B38" s="91" t="s">
        <v>105</v>
      </c>
      <c r="C38" s="22">
        <v>1</v>
      </c>
      <c r="D38" s="3">
        <f>SUMIF(support!C:C,B38,support!I:I)</f>
        <v>0</v>
      </c>
      <c r="E38" s="125">
        <f t="shared" si="0"/>
        <v>0</v>
      </c>
      <c r="F38" s="114">
        <f>SUMIF(support!C:C,B38,support!J:J)</f>
        <v>0.11829411825</v>
      </c>
      <c r="G38" s="114">
        <f>SUMIF(support!C:C,B38,support!K:K)</f>
        <v>0</v>
      </c>
      <c r="H38" s="83" t="s">
        <v>169</v>
      </c>
      <c r="I38" s="81">
        <f>SUMIF(support!C:C,B38,support!L:L)</f>
        <v>1</v>
      </c>
      <c r="J38" s="28" t="b">
        <f t="shared" si="2"/>
        <v>0</v>
      </c>
      <c r="Q38" s="1"/>
    </row>
    <row r="39" spans="1:17" x14ac:dyDescent="0.2">
      <c r="A39" s="97" t="s">
        <v>415</v>
      </c>
      <c r="B39" s="91" t="s">
        <v>274</v>
      </c>
      <c r="C39" s="22">
        <v>1</v>
      </c>
      <c r="D39" s="3">
        <f>SUMIF(support!C:C,B39,support!I:I)</f>
        <v>0</v>
      </c>
      <c r="E39" s="125">
        <f t="shared" si="0"/>
        <v>0</v>
      </c>
      <c r="F39" s="114">
        <f>SUMIF(support!C:C,B39,support!J:J)</f>
        <v>0.53232353212499994</v>
      </c>
      <c r="G39" s="114">
        <f>SUMIF(support!C:C,B39,support!K:K)</f>
        <v>0</v>
      </c>
      <c r="H39" s="3"/>
      <c r="I39" s="81">
        <f>SUMIF(support!C:C,B39,support!L:L)</f>
        <v>1</v>
      </c>
      <c r="J39" s="23" t="b">
        <f t="shared" si="2"/>
        <v>0</v>
      </c>
      <c r="Q39" s="27"/>
    </row>
    <row r="40" spans="1:17" x14ac:dyDescent="0.2">
      <c r="A40" s="97" t="s">
        <v>415</v>
      </c>
      <c r="B40" s="91" t="s">
        <v>298</v>
      </c>
      <c r="C40" s="22">
        <v>1</v>
      </c>
      <c r="D40" s="3">
        <f>SUMIF(support!C:C,B40,support!I:I)</f>
        <v>0</v>
      </c>
      <c r="E40" s="125">
        <f t="shared" si="0"/>
        <v>0</v>
      </c>
      <c r="F40" s="114">
        <f>SUMIF(support!C:C,B40,support!J:J)</f>
        <v>0</v>
      </c>
      <c r="G40" s="114">
        <f>SUMIF(support!C:C,B40,support!K:K)</f>
        <v>0</v>
      </c>
      <c r="H40" s="3"/>
      <c r="I40" s="81">
        <f>SUMIF(support!C:C,B40,support!L:L)</f>
        <v>1</v>
      </c>
      <c r="J40" s="23" t="b">
        <f t="shared" si="2"/>
        <v>0</v>
      </c>
      <c r="Q40" s="27"/>
    </row>
    <row r="41" spans="1:17" s="27" customFormat="1" x14ac:dyDescent="0.2">
      <c r="A41" s="97" t="s">
        <v>415</v>
      </c>
      <c r="B41" s="91" t="s">
        <v>273</v>
      </c>
      <c r="C41" s="22">
        <v>1</v>
      </c>
      <c r="D41" s="3">
        <f>SUMIF(support!C:C,B41,support!I:I)</f>
        <v>0</v>
      </c>
      <c r="E41" s="125">
        <f t="shared" si="0"/>
        <v>0</v>
      </c>
      <c r="F41" s="114">
        <f>SUMIF(support!C:C,B41,support!J:J)</f>
        <v>3.3270220757812496E-2</v>
      </c>
      <c r="G41" s="114">
        <f>SUMIF(support!C:C,B41,support!K:K)</f>
        <v>0</v>
      </c>
      <c r="H41" s="3"/>
      <c r="I41" s="81">
        <f>SUMIF(support!C:C,B41,support!L:L)</f>
        <v>1</v>
      </c>
      <c r="J41" s="23" t="b">
        <f t="shared" si="2"/>
        <v>0</v>
      </c>
      <c r="Q41" s="1"/>
    </row>
    <row r="42" spans="1:17" x14ac:dyDescent="0.2">
      <c r="A42" s="97" t="s">
        <v>415</v>
      </c>
      <c r="B42" s="91" t="s">
        <v>154</v>
      </c>
      <c r="C42" s="22">
        <v>1</v>
      </c>
      <c r="D42" s="3">
        <f>SUMIF(support!C:C,B42,support!I:I)</f>
        <v>0</v>
      </c>
      <c r="E42" s="125">
        <f t="shared" si="0"/>
        <v>0</v>
      </c>
      <c r="F42" s="114">
        <f>SUMIF(support!C:C,B42,support!J:J)</f>
        <v>4.8056985539062499E-2</v>
      </c>
      <c r="G42" s="114">
        <f>SUMIF(support!C:C,B42,support!K:K)</f>
        <v>0</v>
      </c>
      <c r="H42" s="3"/>
      <c r="I42" s="81">
        <f>SUMIF(support!C:C,B42,support!L:L)</f>
        <v>1</v>
      </c>
      <c r="J42" s="23" t="b">
        <f t="shared" si="2"/>
        <v>0</v>
      </c>
    </row>
    <row r="43" spans="1:17" x14ac:dyDescent="0.2">
      <c r="A43" s="97" t="s">
        <v>415</v>
      </c>
      <c r="B43" s="91" t="s">
        <v>157</v>
      </c>
      <c r="C43" s="22">
        <v>1</v>
      </c>
      <c r="D43" s="3">
        <f>SUMIF(support!C:C,B43,support!I:I)</f>
        <v>0</v>
      </c>
      <c r="E43" s="125">
        <f t="shared" si="0"/>
        <v>0</v>
      </c>
      <c r="F43" s="114">
        <f>SUMIF(support!C:C,B43,support!J:J)</f>
        <v>4.4360294343749995E-2</v>
      </c>
      <c r="G43" s="114">
        <f>SUMIF(support!C:C,B43,support!K:K)</f>
        <v>0</v>
      </c>
      <c r="H43" s="3"/>
      <c r="I43" s="81">
        <f>SUMIF(support!C:C,B43,support!L:L)</f>
        <v>2</v>
      </c>
      <c r="J43" s="23" t="b">
        <f t="shared" si="2"/>
        <v>0</v>
      </c>
      <c r="Q43" s="27"/>
    </row>
    <row r="44" spans="1:17" s="27" customFormat="1" x14ac:dyDescent="0.2">
      <c r="A44" s="97" t="s">
        <v>415</v>
      </c>
      <c r="B44" s="91" t="s">
        <v>404</v>
      </c>
      <c r="C44" s="22">
        <v>1</v>
      </c>
      <c r="D44" s="3">
        <f>SUMIF(support!C:C,B44,support!I:I)</f>
        <v>0</v>
      </c>
      <c r="E44" s="125">
        <f t="shared" si="0"/>
        <v>0</v>
      </c>
      <c r="F44" s="114">
        <f>SUMIF(support!C:C,B44,support!J:J)</f>
        <v>0</v>
      </c>
      <c r="G44" s="114">
        <f>SUMIF(support!C:C,B44,support!K:K)</f>
        <v>4.25</v>
      </c>
      <c r="H44" s="3" t="s">
        <v>162</v>
      </c>
      <c r="I44" s="81">
        <f>SUMIF(support!C:C,B44,support!L:L)</f>
        <v>1</v>
      </c>
      <c r="J44" s="23" t="b">
        <f t="shared" si="2"/>
        <v>0</v>
      </c>
      <c r="Q44" s="1"/>
    </row>
    <row r="45" spans="1:17" x14ac:dyDescent="0.2">
      <c r="A45" s="97" t="s">
        <v>415</v>
      </c>
      <c r="B45" s="91" t="s">
        <v>405</v>
      </c>
      <c r="C45" s="22">
        <v>1</v>
      </c>
      <c r="D45" s="3">
        <f>SUMIF(support!C:C,B45,support!I:I)</f>
        <v>0</v>
      </c>
      <c r="E45" s="125">
        <f t="shared" si="0"/>
        <v>0</v>
      </c>
      <c r="F45" s="114">
        <f>SUMIF(support!C:C,B45,support!J:J)</f>
        <v>0</v>
      </c>
      <c r="G45" s="114">
        <f>SUMIF(support!C:C,B45,support!K:K)</f>
        <v>2.25</v>
      </c>
      <c r="H45" s="3"/>
      <c r="I45" s="81">
        <f>SUMIF(support!C:C,B45,support!L:L)</f>
        <v>1</v>
      </c>
      <c r="J45" s="23" t="b">
        <f t="shared" si="2"/>
        <v>0</v>
      </c>
    </row>
    <row r="46" spans="1:17" x14ac:dyDescent="0.2">
      <c r="A46" s="97" t="s">
        <v>415</v>
      </c>
      <c r="B46" s="91" t="s">
        <v>406</v>
      </c>
      <c r="C46" s="22">
        <v>1</v>
      </c>
      <c r="D46" s="3">
        <f>SUMIF(support!C:C,B46,support!I:I)</f>
        <v>0</v>
      </c>
      <c r="E46" s="125">
        <f t="shared" si="0"/>
        <v>0</v>
      </c>
      <c r="F46" s="114">
        <f>SUMIF(support!C:C,B46,support!J:J)</f>
        <v>0</v>
      </c>
      <c r="G46" s="114">
        <f>SUMIF(support!C:C,B46,support!K:K)</f>
        <v>4.5</v>
      </c>
      <c r="H46" s="3" t="s">
        <v>422</v>
      </c>
      <c r="I46" s="81">
        <f>SUMIF(support!C:C,B46,support!L:L)</f>
        <v>1</v>
      </c>
      <c r="J46" s="23" t="b">
        <f t="shared" si="2"/>
        <v>0</v>
      </c>
      <c r="Q46" s="27"/>
    </row>
    <row r="47" spans="1:17" s="27" customFormat="1" x14ac:dyDescent="0.2">
      <c r="A47" s="97" t="s">
        <v>415</v>
      </c>
      <c r="B47" s="91" t="s">
        <v>407</v>
      </c>
      <c r="C47" s="22">
        <v>1</v>
      </c>
      <c r="D47" s="3">
        <f>SUMIF(support!C:C,B47,support!I:I)</f>
        <v>0</v>
      </c>
      <c r="E47" s="125">
        <f t="shared" si="0"/>
        <v>0</v>
      </c>
      <c r="F47" s="114">
        <f>SUMIF(support!C:C,B47,support!J:J)</f>
        <v>0</v>
      </c>
      <c r="G47" s="114">
        <f>SUMIF(support!C:C,B47,support!K:K)</f>
        <v>4.75</v>
      </c>
      <c r="H47" s="3" t="s">
        <v>421</v>
      </c>
      <c r="I47" s="81">
        <f>SUMIF(support!C:C,B47,support!L:L)</f>
        <v>2</v>
      </c>
      <c r="J47" s="23" t="b">
        <f t="shared" si="2"/>
        <v>0</v>
      </c>
      <c r="Q47" s="1"/>
    </row>
    <row r="48" spans="1:17" s="27" customFormat="1" x14ac:dyDescent="0.2">
      <c r="A48" s="97" t="s">
        <v>415</v>
      </c>
      <c r="B48" s="91" t="s">
        <v>408</v>
      </c>
      <c r="C48" s="22">
        <v>1</v>
      </c>
      <c r="D48" s="3">
        <f>SUMIF(support!C:C,B48,support!I:I)</f>
        <v>0</v>
      </c>
      <c r="E48" s="125">
        <f t="shared" si="0"/>
        <v>0</v>
      </c>
      <c r="F48" s="114">
        <f>SUMIF(support!C:C,B48,support!J:J)</f>
        <v>0</v>
      </c>
      <c r="G48" s="114">
        <f>SUMIF(support!C:C,B48,support!K:K)</f>
        <v>5.25</v>
      </c>
      <c r="H48" s="3" t="s">
        <v>354</v>
      </c>
      <c r="I48" s="81">
        <f>SUMIF(support!C:C,B48,support!L:L)</f>
        <v>4</v>
      </c>
      <c r="J48" s="23" t="b">
        <f t="shared" si="2"/>
        <v>0</v>
      </c>
      <c r="Q48" s="1"/>
    </row>
    <row r="49" spans="1:17" x14ac:dyDescent="0.2">
      <c r="A49" s="97" t="s">
        <v>415</v>
      </c>
      <c r="B49" s="91" t="s">
        <v>409</v>
      </c>
      <c r="C49" s="22">
        <v>1</v>
      </c>
      <c r="D49" s="3">
        <f>SUMIF(support!C:C,B49,support!I:I)</f>
        <v>0</v>
      </c>
      <c r="E49" s="125">
        <f t="shared" si="0"/>
        <v>0</v>
      </c>
      <c r="F49" s="114">
        <f>SUMIF(support!C:C,B49,support!J:J)</f>
        <v>1.3012353007499999</v>
      </c>
      <c r="G49" s="114">
        <f>SUMIF(support!C:C,B49,support!K:K)</f>
        <v>0</v>
      </c>
      <c r="H49" s="3" t="s">
        <v>354</v>
      </c>
      <c r="I49" s="81">
        <f>SUMIF(support!C:C,B49,support!L:L)</f>
        <v>2</v>
      </c>
      <c r="J49" s="23" t="b">
        <f t="shared" si="2"/>
        <v>0</v>
      </c>
      <c r="Q49" s="27"/>
    </row>
    <row r="50" spans="1:17" x14ac:dyDescent="0.2">
      <c r="A50" s="97" t="s">
        <v>415</v>
      </c>
      <c r="B50" s="91" t="s">
        <v>410</v>
      </c>
      <c r="C50" s="22">
        <v>1</v>
      </c>
      <c r="D50" s="3">
        <f>SUMIF(support!C:C,B50,support!I:I)</f>
        <v>0</v>
      </c>
      <c r="E50" s="125">
        <f t="shared" si="0"/>
        <v>0</v>
      </c>
      <c r="F50" s="114">
        <f>SUMIF(support!C:C,B50,support!J:J)</f>
        <v>0</v>
      </c>
      <c r="G50" s="114">
        <f>SUMIF(support!C:C,B50,support!K:K)</f>
        <v>2.25</v>
      </c>
      <c r="H50" s="3"/>
      <c r="I50" s="81">
        <f>SUMIF(support!C:C,B50,support!L:L)</f>
        <v>1</v>
      </c>
      <c r="J50" s="23" t="b">
        <f t="shared" si="2"/>
        <v>0</v>
      </c>
      <c r="Q50" s="27"/>
    </row>
    <row r="51" spans="1:17" x14ac:dyDescent="0.2">
      <c r="A51" s="97" t="s">
        <v>415</v>
      </c>
      <c r="B51" s="91" t="s">
        <v>411</v>
      </c>
      <c r="C51" s="22">
        <v>1</v>
      </c>
      <c r="D51" s="3">
        <f>SUMIF(support!C:C,B51,support!I:I)</f>
        <v>0</v>
      </c>
      <c r="E51" s="125">
        <f t="shared" si="0"/>
        <v>0</v>
      </c>
      <c r="F51" s="114">
        <f>SUMIF(support!C:C,B51,support!J:J)</f>
        <v>1.0646470642499999</v>
      </c>
      <c r="G51" s="114">
        <f>SUMIF(support!C:C,B51,support!K:K)</f>
        <v>0</v>
      </c>
      <c r="H51" s="5" t="s">
        <v>494</v>
      </c>
      <c r="I51" s="81">
        <f>SUMIF(support!C:C,B51,support!L:L)</f>
        <v>1</v>
      </c>
      <c r="J51" s="23" t="b">
        <f t="shared" si="2"/>
        <v>0</v>
      </c>
    </row>
    <row r="52" spans="1:17" x14ac:dyDescent="0.2">
      <c r="A52" s="97" t="s">
        <v>419</v>
      </c>
      <c r="B52" s="91" t="s">
        <v>66</v>
      </c>
      <c r="C52" s="22">
        <v>1</v>
      </c>
      <c r="D52" s="3">
        <f>SUMIF(support!C:C,B52,support!I:I)</f>
        <v>0</v>
      </c>
      <c r="E52" s="125">
        <f t="shared" si="0"/>
        <v>0</v>
      </c>
      <c r="F52" s="114">
        <f>SUMIF(support!C:C,B52,support!J:J)</f>
        <v>6.6540441515624993E-2</v>
      </c>
      <c r="G52" s="114">
        <f>SUMIF(support!C:C,B52,support!K:K)</f>
        <v>0</v>
      </c>
      <c r="H52" s="3"/>
      <c r="I52" s="81">
        <f>SUMIF(support!C:C,B52,support!L:L)</f>
        <v>1</v>
      </c>
      <c r="J52" s="23" t="b">
        <f t="shared" si="2"/>
        <v>0</v>
      </c>
    </row>
    <row r="53" spans="1:17" x14ac:dyDescent="0.2">
      <c r="A53" s="97" t="s">
        <v>419</v>
      </c>
      <c r="B53" s="91" t="s">
        <v>55</v>
      </c>
      <c r="C53" s="22">
        <v>1</v>
      </c>
      <c r="D53" s="3">
        <f>SUMIF(support!C:C,B53,support!I:I)</f>
        <v>0</v>
      </c>
      <c r="E53" s="125">
        <f t="shared" si="0"/>
        <v>0</v>
      </c>
      <c r="F53" s="114">
        <f>SUMIF(support!C:C,B53,support!J:J)</f>
        <v>11.21594121325</v>
      </c>
      <c r="G53" s="114">
        <f>SUMIF(support!C:C,B53,support!K:K)</f>
        <v>0</v>
      </c>
      <c r="H53" s="5" t="s">
        <v>494</v>
      </c>
      <c r="I53" s="81">
        <f>SUMIF(support!C:C,B53,support!L:L)</f>
        <v>5</v>
      </c>
      <c r="J53" s="23" t="b">
        <f t="shared" si="2"/>
        <v>0</v>
      </c>
    </row>
    <row r="54" spans="1:17" x14ac:dyDescent="0.2">
      <c r="A54" s="97" t="s">
        <v>416</v>
      </c>
      <c r="B54" s="91" t="s">
        <v>379</v>
      </c>
      <c r="C54" s="22">
        <v>1</v>
      </c>
      <c r="D54" s="3">
        <f>SUMIF(support!C:C,B54,support!I:I)</f>
        <v>0</v>
      </c>
      <c r="E54" s="125">
        <f t="shared" si="0"/>
        <v>0</v>
      </c>
      <c r="F54" s="114">
        <f>SUMIF(support!C:C,B54,support!J:J)</f>
        <v>0</v>
      </c>
      <c r="G54" s="114">
        <f>SUMIF(support!C:C,B54,support!K:K)</f>
        <v>18</v>
      </c>
      <c r="H54" s="83" t="s">
        <v>394</v>
      </c>
      <c r="I54" s="81">
        <f>SUMIF(support!C:C,B54,support!L:L)</f>
        <v>1</v>
      </c>
      <c r="J54" s="23" t="b">
        <f t="shared" si="2"/>
        <v>0</v>
      </c>
    </row>
    <row r="55" spans="1:17" x14ac:dyDescent="0.2">
      <c r="A55" s="97" t="s">
        <v>416</v>
      </c>
      <c r="B55" s="91" t="s">
        <v>380</v>
      </c>
      <c r="C55" s="22">
        <v>1</v>
      </c>
      <c r="D55" s="3">
        <f>SUMIF(support!C:C,B55,support!I:I)</f>
        <v>0</v>
      </c>
      <c r="E55" s="125">
        <f t="shared" si="0"/>
        <v>0</v>
      </c>
      <c r="F55" s="114">
        <f>SUMIF(support!C:C,B55,support!J:J)</f>
        <v>0</v>
      </c>
      <c r="G55" s="114">
        <f>SUMIF(support!C:C,B55,support!K:K)</f>
        <v>18</v>
      </c>
      <c r="H55" s="3"/>
      <c r="I55" s="81">
        <f>SUMIF(support!C:C,B55,support!L:L)</f>
        <v>1</v>
      </c>
      <c r="J55" s="23" t="b">
        <f t="shared" si="2"/>
        <v>0</v>
      </c>
    </row>
    <row r="56" spans="1:17" s="27" customFormat="1" x14ac:dyDescent="0.2">
      <c r="A56" s="97" t="s">
        <v>416</v>
      </c>
      <c r="B56" s="91" t="s">
        <v>2</v>
      </c>
      <c r="C56" s="22">
        <f>273 / 524</f>
        <v>0.52099236641221369</v>
      </c>
      <c r="D56" s="3">
        <f>SUMIF(support!C:C,B56,support!I:I)</f>
        <v>1.2417448811381251</v>
      </c>
      <c r="E56" s="125">
        <f>D56 / C56</f>
        <v>2.3834224092175003</v>
      </c>
      <c r="F56" s="114">
        <f>SUMIF(support!C:C,B56,support!J:J)</f>
        <v>0</v>
      </c>
      <c r="G56" s="114">
        <f>SUMIF(support!C:C,B56,support!K:K)</f>
        <v>0</v>
      </c>
      <c r="H56" s="3"/>
      <c r="I56" s="81">
        <f>SUMIF(support!C:C,B56,support!L:L)</f>
        <v>3</v>
      </c>
      <c r="J56" s="23" t="b">
        <f t="shared" si="2"/>
        <v>0</v>
      </c>
      <c r="Q56" s="1"/>
    </row>
    <row r="57" spans="1:17" s="27" customFormat="1" x14ac:dyDescent="0.2">
      <c r="A57" s="97" t="s">
        <v>416</v>
      </c>
      <c r="B57" s="91" t="s">
        <v>58</v>
      </c>
      <c r="C57" s="22">
        <v>1</v>
      </c>
      <c r="D57" s="3">
        <f>SUMIF(support!C:C,B57,support!I:I)</f>
        <v>8.3602147978917323</v>
      </c>
      <c r="E57" s="125">
        <f t="shared" ref="E57:E81" si="3">D57 / C57</f>
        <v>8.3602147978917323</v>
      </c>
      <c r="F57" s="114">
        <f>SUMIF(support!C:C,B57,support!J:J)</f>
        <v>0</v>
      </c>
      <c r="G57" s="114">
        <f>SUMIF(support!C:C,B57,support!K:K)</f>
        <v>0</v>
      </c>
      <c r="H57" s="3"/>
      <c r="I57" s="81">
        <f>SUMIF(support!C:C,B57,support!L:L)</f>
        <v>9</v>
      </c>
      <c r="J57" s="23" t="b">
        <f t="shared" si="2"/>
        <v>0</v>
      </c>
      <c r="Q57" s="1"/>
    </row>
    <row r="58" spans="1:17" s="27" customFormat="1" x14ac:dyDescent="0.2">
      <c r="A58" s="97" t="s">
        <v>416</v>
      </c>
      <c r="B58" s="91" t="s">
        <v>147</v>
      </c>
      <c r="C58" s="22">
        <v>1</v>
      </c>
      <c r="D58" s="3">
        <f>SUMIF(support!C:C,B58,support!I:I)</f>
        <v>0</v>
      </c>
      <c r="E58" s="125">
        <f t="shared" si="3"/>
        <v>0</v>
      </c>
      <c r="F58" s="114">
        <f>SUMIF(support!C:C,B58,support!J:J)</f>
        <v>0</v>
      </c>
      <c r="G58" s="114">
        <f>SUMIF(support!C:C,B58,support!K:K)</f>
        <v>3.25</v>
      </c>
      <c r="H58" s="3"/>
      <c r="I58" s="81">
        <f>SUMIF(support!C:C,B58,support!L:L)</f>
        <v>3</v>
      </c>
      <c r="J58" s="23" t="b">
        <f t="shared" si="2"/>
        <v>0</v>
      </c>
    </row>
    <row r="59" spans="1:17" s="27" customFormat="1" x14ac:dyDescent="0.2">
      <c r="A59" s="97" t="s">
        <v>416</v>
      </c>
      <c r="B59" s="91" t="s">
        <v>482</v>
      </c>
      <c r="C59" s="22">
        <v>1</v>
      </c>
      <c r="D59" s="3">
        <f>SUMIF(support!C:C,B59,support!I:I)</f>
        <v>4.5070833333333331</v>
      </c>
      <c r="E59" s="125">
        <f t="shared" si="3"/>
        <v>4.5070833333333331</v>
      </c>
      <c r="F59" s="114">
        <f>SUMIF(support!C:C,B59,support!J:J)</f>
        <v>0</v>
      </c>
      <c r="G59" s="114">
        <f>SUMIF(support!C:C,B59,support!K:K)</f>
        <v>0</v>
      </c>
      <c r="H59" s="3" t="s">
        <v>483</v>
      </c>
      <c r="I59" s="81">
        <f>SUMIF(support!C:C,B59,support!L:L)</f>
        <v>8</v>
      </c>
      <c r="J59" s="23" t="b">
        <f t="shared" si="2"/>
        <v>0</v>
      </c>
    </row>
    <row r="60" spans="1:17" s="27" customFormat="1" x14ac:dyDescent="0.2">
      <c r="A60" s="97" t="s">
        <v>416</v>
      </c>
      <c r="B60" s="91" t="s">
        <v>146</v>
      </c>
      <c r="C60" s="22">
        <v>1</v>
      </c>
      <c r="D60" s="3">
        <f>SUMIF(support!C:C,B60,support!I:I)</f>
        <v>1.1934</v>
      </c>
      <c r="E60" s="125">
        <f t="shared" si="3"/>
        <v>1.1934</v>
      </c>
      <c r="F60" s="114">
        <f>SUMIF(support!C:C,B60,support!J:J)</f>
        <v>0</v>
      </c>
      <c r="G60" s="114">
        <f>SUMIF(support!C:C,B60,support!K:K)</f>
        <v>0</v>
      </c>
      <c r="H60" s="3"/>
      <c r="I60" s="81">
        <f>SUMIF(support!C:C,B60,support!L:L)</f>
        <v>1</v>
      </c>
      <c r="J60" s="23" t="b">
        <f t="shared" si="2"/>
        <v>0</v>
      </c>
    </row>
    <row r="61" spans="1:17" s="27" customFormat="1" x14ac:dyDescent="0.2">
      <c r="A61" s="97" t="s">
        <v>416</v>
      </c>
      <c r="B61" s="91" t="s">
        <v>74</v>
      </c>
      <c r="C61" s="22">
        <v>1</v>
      </c>
      <c r="D61" s="3">
        <f>SUMIF(support!C:C,B61,support!I:I)</f>
        <v>0</v>
      </c>
      <c r="E61" s="125">
        <f t="shared" si="3"/>
        <v>0</v>
      </c>
      <c r="F61" s="114">
        <f>SUMIF(support!C:C,B61,support!J:J)</f>
        <v>0</v>
      </c>
      <c r="G61" s="114">
        <f>SUMIF(support!C:C,B61,support!K:K)</f>
        <v>0</v>
      </c>
      <c r="H61" s="3"/>
      <c r="I61" s="81">
        <f>SUMIF(support!C:C,B61,support!L:L)</f>
        <v>1</v>
      </c>
      <c r="J61" s="23" t="b">
        <f t="shared" si="2"/>
        <v>0</v>
      </c>
    </row>
    <row r="62" spans="1:17" x14ac:dyDescent="0.2">
      <c r="A62" s="97" t="s">
        <v>416</v>
      </c>
      <c r="B62" s="91" t="s">
        <v>69</v>
      </c>
      <c r="C62" s="22">
        <v>1</v>
      </c>
      <c r="D62" s="3">
        <f>SUMIF(support!C:C,B62,support!I:I)</f>
        <v>0</v>
      </c>
      <c r="E62" s="125">
        <f t="shared" si="3"/>
        <v>0</v>
      </c>
      <c r="F62" s="114">
        <f>SUMIF(support!C:C,B62,support!J:J)</f>
        <v>4.8056985539062499E-2</v>
      </c>
      <c r="G62" s="114">
        <f>SUMIF(support!C:C,B62,support!K:K)</f>
        <v>0</v>
      </c>
      <c r="H62" s="3"/>
      <c r="I62" s="81">
        <f>SUMIF(support!C:C,B62,support!L:L)</f>
        <v>3</v>
      </c>
      <c r="J62" s="23" t="b">
        <f t="shared" si="2"/>
        <v>0</v>
      </c>
      <c r="Q62" s="27"/>
    </row>
    <row r="63" spans="1:17" s="27" customFormat="1" x14ac:dyDescent="0.2">
      <c r="A63" s="97" t="s">
        <v>416</v>
      </c>
      <c r="B63" s="91" t="s">
        <v>8</v>
      </c>
      <c r="C63" s="22">
        <v>1</v>
      </c>
      <c r="D63" s="3">
        <f>SUMIF(support!C:C,B63,support!I:I)</f>
        <v>0</v>
      </c>
      <c r="E63" s="125">
        <f t="shared" si="3"/>
        <v>0</v>
      </c>
      <c r="F63" s="114">
        <f>SUMIF(support!C:C,B63,support!J:J)</f>
        <v>0</v>
      </c>
      <c r="G63" s="114">
        <f>SUMIF(support!C:C,B63,support!K:K)</f>
        <v>30</v>
      </c>
      <c r="H63" s="3" t="s">
        <v>492</v>
      </c>
      <c r="I63" s="81">
        <f>SUMIF(support!C:C,B63,support!L:L)</f>
        <v>5</v>
      </c>
      <c r="J63" s="23" t="b">
        <f t="shared" si="2"/>
        <v>0</v>
      </c>
    </row>
    <row r="64" spans="1:17" x14ac:dyDescent="0.2">
      <c r="A64" s="97" t="s">
        <v>416</v>
      </c>
      <c r="B64" s="91" t="s">
        <v>62</v>
      </c>
      <c r="C64" s="22">
        <v>1</v>
      </c>
      <c r="D64" s="3">
        <f>SUMIF(support!C:C,B64,support!I:I)</f>
        <v>0</v>
      </c>
      <c r="E64" s="125">
        <f t="shared" si="3"/>
        <v>0</v>
      </c>
      <c r="F64" s="114">
        <f>SUMIF(support!C:C,B64,support!J:J)</f>
        <v>0.51753676734374998</v>
      </c>
      <c r="G64" s="114">
        <f>SUMIF(support!C:C,B64,support!K:K)</f>
        <v>0</v>
      </c>
      <c r="H64" s="3"/>
      <c r="I64" s="81">
        <f>SUMIF(support!C:C,B64,support!L:L)</f>
        <v>8</v>
      </c>
      <c r="J64" s="23" t="b">
        <f t="shared" si="2"/>
        <v>0</v>
      </c>
    </row>
    <row r="65" spans="1:17" x14ac:dyDescent="0.2">
      <c r="A65" s="97" t="s">
        <v>416</v>
      </c>
      <c r="B65" s="91" t="s">
        <v>388</v>
      </c>
      <c r="C65" s="22">
        <v>1</v>
      </c>
      <c r="D65" s="3">
        <f>SUMIF(support!C:C,B65,support!I:I)</f>
        <v>0</v>
      </c>
      <c r="E65" s="125">
        <f t="shared" si="3"/>
        <v>0</v>
      </c>
      <c r="F65" s="114">
        <f>SUMIF(support!C:C,B65,support!J:J)</f>
        <v>0</v>
      </c>
      <c r="G65" s="114">
        <f>SUMIF(support!C:C,B65,support!K:K)</f>
        <v>0</v>
      </c>
      <c r="H65" s="3" t="s">
        <v>387</v>
      </c>
      <c r="I65" s="81">
        <f>SUMIF(support!C:C,B65,support!L:L)</f>
        <v>1</v>
      </c>
      <c r="J65" s="23" t="b">
        <f t="shared" si="2"/>
        <v>0</v>
      </c>
      <c r="Q65" s="27"/>
    </row>
    <row r="66" spans="1:17" x14ac:dyDescent="0.2">
      <c r="A66" s="97" t="s">
        <v>416</v>
      </c>
      <c r="B66" s="91" t="s">
        <v>478</v>
      </c>
      <c r="C66" s="22">
        <v>1</v>
      </c>
      <c r="D66" s="3">
        <f>SUMIF(support!C:C,B66,support!I:I)</f>
        <v>0.82500000000000007</v>
      </c>
      <c r="E66" s="125">
        <f t="shared" si="3"/>
        <v>0.82500000000000007</v>
      </c>
      <c r="F66" s="114">
        <f>SUMIF(support!C:C,B66,support!J:J)</f>
        <v>0</v>
      </c>
      <c r="G66" s="114">
        <f>SUMIF(support!C:C,B66,support!K:K)</f>
        <v>0</v>
      </c>
      <c r="H66" s="3"/>
      <c r="I66" s="81">
        <f>SUMIF(support!C:C,B66,support!L:L)</f>
        <v>1</v>
      </c>
      <c r="J66" s="23" t="b">
        <f t="shared" ref="J66:J97" si="4">OR(COUNTIF(E66:G66, "&lt;&gt;0") &gt; 1, I66 = 0)</f>
        <v>0</v>
      </c>
    </row>
    <row r="67" spans="1:17" s="27" customFormat="1" x14ac:dyDescent="0.2">
      <c r="A67" s="97" t="s">
        <v>416</v>
      </c>
      <c r="B67" s="91" t="s">
        <v>148</v>
      </c>
      <c r="C67" s="22">
        <f>155 / 189</f>
        <v>0.82010582010582012</v>
      </c>
      <c r="D67" s="3">
        <f>SUMIF(support!C:C,B67,support!I:I)</f>
        <v>1.3112999920824469</v>
      </c>
      <c r="E67" s="125">
        <f t="shared" si="3"/>
        <v>1.5989399903456933</v>
      </c>
      <c r="F67" s="114">
        <f>SUMIF(support!C:C,B67,support!J:J)</f>
        <v>0</v>
      </c>
      <c r="G67" s="114">
        <f>SUMIF(support!C:C,B67,support!K:K)</f>
        <v>0</v>
      </c>
      <c r="H67" s="3"/>
      <c r="I67" s="81">
        <f>SUMIF(support!C:C,B67,support!L:L)</f>
        <v>2</v>
      </c>
      <c r="J67" s="23" t="b">
        <f t="shared" si="4"/>
        <v>0</v>
      </c>
      <c r="Q67" s="1"/>
    </row>
    <row r="68" spans="1:17" s="27" customFormat="1" x14ac:dyDescent="0.2">
      <c r="A68" s="97" t="s">
        <v>416</v>
      </c>
      <c r="B68" s="91" t="s">
        <v>3</v>
      </c>
      <c r="C68" s="22">
        <v>1</v>
      </c>
      <c r="D68" s="3">
        <f>SUMIF(support!C:C,B68,support!I:I)</f>
        <v>5.2825267696226081</v>
      </c>
      <c r="E68" s="125">
        <f t="shared" si="3"/>
        <v>5.2825267696226081</v>
      </c>
      <c r="F68" s="114">
        <f>SUMIF(support!C:C,B68,support!J:J)</f>
        <v>0</v>
      </c>
      <c r="G68" s="114">
        <f>SUMIF(support!C:C,B68,support!K:K)</f>
        <v>0</v>
      </c>
      <c r="H68" s="3"/>
      <c r="I68" s="81">
        <f>SUMIF(support!C:C,B68,support!L:L)</f>
        <v>4</v>
      </c>
      <c r="J68" s="23" t="b">
        <f t="shared" si="4"/>
        <v>0</v>
      </c>
    </row>
    <row r="69" spans="1:17" x14ac:dyDescent="0.2">
      <c r="A69" s="97" t="s">
        <v>416</v>
      </c>
      <c r="B69" s="91" t="s">
        <v>145</v>
      </c>
      <c r="C69" s="22">
        <v>1</v>
      </c>
      <c r="D69" s="3">
        <f>SUMIF(support!C:C,B69,support!I:I)</f>
        <v>0</v>
      </c>
      <c r="E69" s="125">
        <f t="shared" si="3"/>
        <v>0</v>
      </c>
      <c r="F69" s="114">
        <f>SUMIF(support!C:C,B69,support!J:J)</f>
        <v>0</v>
      </c>
      <c r="G69" s="114">
        <f>SUMIF(support!C:C,B69,support!K:K)</f>
        <v>4.75</v>
      </c>
      <c r="H69" s="3"/>
      <c r="I69" s="81">
        <f>SUMIF(support!C:C,B69,support!L:L)</f>
        <v>2</v>
      </c>
      <c r="J69" s="23" t="b">
        <f t="shared" si="4"/>
        <v>0</v>
      </c>
    </row>
    <row r="70" spans="1:17" s="27" customFormat="1" x14ac:dyDescent="0.2">
      <c r="A70" s="97" t="s">
        <v>416</v>
      </c>
      <c r="B70" s="91" t="s">
        <v>149</v>
      </c>
      <c r="C70" s="22">
        <v>1</v>
      </c>
      <c r="D70" s="3">
        <f>SUMIF(support!C:C,B70,support!I:I)</f>
        <v>6.5832000000000006</v>
      </c>
      <c r="E70" s="125">
        <f t="shared" si="3"/>
        <v>6.5832000000000006</v>
      </c>
      <c r="F70" s="114">
        <f>SUMIF(support!C:C,B70,support!J:J)</f>
        <v>0</v>
      </c>
      <c r="G70" s="114">
        <f>SUMIF(support!C:C,B70,support!K:K)</f>
        <v>0</v>
      </c>
      <c r="H70" s="3"/>
      <c r="I70" s="81">
        <f>SUMIF(support!C:C,B70,support!L:L)</f>
        <v>1</v>
      </c>
      <c r="J70" s="23" t="b">
        <f t="shared" si="4"/>
        <v>0</v>
      </c>
    </row>
    <row r="71" spans="1:17" x14ac:dyDescent="0.2">
      <c r="A71" s="97" t="s">
        <v>416</v>
      </c>
      <c r="B71" s="91" t="s">
        <v>59</v>
      </c>
      <c r="C71" s="22">
        <v>1</v>
      </c>
      <c r="D71" s="3">
        <f>SUMIF(support!C:C,B71,support!I:I)</f>
        <v>1.85</v>
      </c>
      <c r="E71" s="125">
        <f t="shared" si="3"/>
        <v>1.85</v>
      </c>
      <c r="F71" s="114">
        <f>SUMIF(support!C:C,B71,support!J:J)</f>
        <v>0</v>
      </c>
      <c r="G71" s="114">
        <f>SUMIF(support!C:C,B71,support!K:K)</f>
        <v>0</v>
      </c>
      <c r="H71" s="3"/>
      <c r="I71" s="81">
        <f>SUMIF(support!C:C,B71,support!L:L)</f>
        <v>4</v>
      </c>
      <c r="J71" s="23" t="b">
        <f t="shared" si="4"/>
        <v>0</v>
      </c>
      <c r="Q71" s="27"/>
    </row>
    <row r="72" spans="1:17" s="27" customFormat="1" x14ac:dyDescent="0.2">
      <c r="A72" s="97" t="s">
        <v>416</v>
      </c>
      <c r="B72" s="91" t="s">
        <v>382</v>
      </c>
      <c r="C72" s="22">
        <v>1</v>
      </c>
      <c r="D72" s="3">
        <f>SUMIF(support!C:C,B72,support!I:I)</f>
        <v>0</v>
      </c>
      <c r="E72" s="125">
        <f t="shared" si="3"/>
        <v>0</v>
      </c>
      <c r="F72" s="114">
        <f>SUMIF(support!C:C,B72,support!J:J)</f>
        <v>0</v>
      </c>
      <c r="G72" s="114">
        <f>SUMIF(support!C:C,B72,support!K:K)</f>
        <v>18</v>
      </c>
      <c r="H72" s="3"/>
      <c r="I72" s="81">
        <f>SUMIF(support!C:C,B72,support!L:L)</f>
        <v>1</v>
      </c>
      <c r="J72" s="23" t="b">
        <f t="shared" si="4"/>
        <v>0</v>
      </c>
      <c r="Q72" s="1"/>
    </row>
    <row r="73" spans="1:17" x14ac:dyDescent="0.2">
      <c r="A73" s="97" t="s">
        <v>416</v>
      </c>
      <c r="B73" s="91" t="s">
        <v>381</v>
      </c>
      <c r="C73" s="22">
        <v>1</v>
      </c>
      <c r="D73" s="3">
        <f>SUMIF(support!C:C,B73,support!I:I)</f>
        <v>0</v>
      </c>
      <c r="E73" s="125">
        <f t="shared" si="3"/>
        <v>0</v>
      </c>
      <c r="F73" s="114">
        <f>SUMIF(support!C:C,B73,support!J:J)</f>
        <v>0</v>
      </c>
      <c r="G73" s="114">
        <f>SUMIF(support!C:C,B73,support!K:K)</f>
        <v>18</v>
      </c>
      <c r="H73" s="3"/>
      <c r="I73" s="81">
        <f>SUMIF(support!C:C,B73,support!L:L)</f>
        <v>1</v>
      </c>
      <c r="J73" s="23" t="b">
        <f t="shared" si="4"/>
        <v>0</v>
      </c>
    </row>
    <row r="74" spans="1:17" x14ac:dyDescent="0.2">
      <c r="A74" s="97" t="s">
        <v>416</v>
      </c>
      <c r="B74" s="91" t="s">
        <v>60</v>
      </c>
      <c r="C74" s="22">
        <v>1</v>
      </c>
      <c r="D74" s="3">
        <f>SUMIF(support!C:C,B74,support!I:I)</f>
        <v>5.4562499999999998</v>
      </c>
      <c r="E74" s="125">
        <f t="shared" si="3"/>
        <v>5.4562499999999998</v>
      </c>
      <c r="F74" s="114">
        <f>SUMIF(support!C:C,B74,support!J:J)</f>
        <v>0</v>
      </c>
      <c r="G74" s="114">
        <f>SUMIF(support!C:C,B74,support!K:K)</f>
        <v>0</v>
      </c>
      <c r="H74" s="3"/>
      <c r="I74" s="81">
        <f>SUMIF(support!C:C,B74,support!L:L)</f>
        <v>3</v>
      </c>
      <c r="J74" s="23" t="b">
        <f t="shared" si="4"/>
        <v>0</v>
      </c>
      <c r="Q74" s="27"/>
    </row>
    <row r="75" spans="1:17" x14ac:dyDescent="0.2">
      <c r="A75" s="97" t="s">
        <v>416</v>
      </c>
      <c r="B75" s="91" t="s">
        <v>349</v>
      </c>
      <c r="C75" s="22">
        <f>155 / 189</f>
        <v>0.82010582010582012</v>
      </c>
      <c r="D75" s="3">
        <f>SUMIF(support!C:C,B75,support!I:I)</f>
        <v>0.57975947354324997</v>
      </c>
      <c r="E75" s="125">
        <f t="shared" si="3"/>
        <v>0.70693251935273704</v>
      </c>
      <c r="F75" s="114">
        <f>SUMIF(support!C:C,B75,support!J:J)</f>
        <v>0</v>
      </c>
      <c r="G75" s="114">
        <f>SUMIF(support!C:C,B75,support!K:K)</f>
        <v>0</v>
      </c>
      <c r="H75" s="3"/>
      <c r="I75" s="81">
        <f>SUMIF(support!C:C,B75,support!L:L)</f>
        <v>1</v>
      </c>
      <c r="J75" s="23" t="b">
        <f t="shared" si="4"/>
        <v>0</v>
      </c>
    </row>
    <row r="76" spans="1:17" x14ac:dyDescent="0.2">
      <c r="A76" s="97" t="s">
        <v>416</v>
      </c>
      <c r="B76" s="91" t="s">
        <v>479</v>
      </c>
      <c r="C76" s="22">
        <f xml:space="preserve"> 330 / 772</f>
        <v>0.42746113989637308</v>
      </c>
      <c r="D76" s="3">
        <f>SUMIF(support!C:C,B76,support!I:I)</f>
        <v>2.1759472106018749</v>
      </c>
      <c r="E76" s="125">
        <f t="shared" si="3"/>
        <v>5.0903977169231736</v>
      </c>
      <c r="F76" s="114">
        <f>SUMIF(support!C:C,B76,support!J:J)</f>
        <v>0</v>
      </c>
      <c r="G76" s="114">
        <f>SUMIF(support!C:C,B76,support!K:K)</f>
        <v>0</v>
      </c>
      <c r="H76" s="3" t="s">
        <v>480</v>
      </c>
      <c r="I76" s="81">
        <f>SUMIF(support!C:C,B76,support!L:L)</f>
        <v>3</v>
      </c>
      <c r="J76" s="23" t="b">
        <f t="shared" si="4"/>
        <v>0</v>
      </c>
    </row>
    <row r="77" spans="1:17" x14ac:dyDescent="0.2">
      <c r="A77" s="97" t="s">
        <v>416</v>
      </c>
      <c r="B77" s="91" t="s">
        <v>352</v>
      </c>
      <c r="C77" s="22">
        <v>1</v>
      </c>
      <c r="D77" s="3">
        <f>SUMIF(support!C:C,B77,support!I:I)</f>
        <v>0</v>
      </c>
      <c r="E77" s="125">
        <f t="shared" si="3"/>
        <v>0</v>
      </c>
      <c r="F77" s="114">
        <f>SUMIF(support!C:C,B77,support!J:J)</f>
        <v>0.76891176862499999</v>
      </c>
      <c r="G77" s="114">
        <f>SUMIF(support!C:C,B77,support!K:K)</f>
        <v>0</v>
      </c>
      <c r="H77" s="3"/>
      <c r="I77" s="81">
        <f>SUMIF(support!C:C,B77,support!L:L)</f>
        <v>1</v>
      </c>
      <c r="J77" s="23" t="b">
        <f t="shared" si="4"/>
        <v>0</v>
      </c>
    </row>
    <row r="78" spans="1:17" x14ac:dyDescent="0.2">
      <c r="A78" s="97" t="s">
        <v>416</v>
      </c>
      <c r="B78" s="91" t="s">
        <v>63</v>
      </c>
      <c r="C78" s="22">
        <v>1</v>
      </c>
      <c r="D78" s="3">
        <f>SUMIF(support!C:C,B78,support!I:I)</f>
        <v>4.1340000000000003</v>
      </c>
      <c r="E78" s="125">
        <f t="shared" si="3"/>
        <v>4.1340000000000003</v>
      </c>
      <c r="F78" s="114">
        <f>SUMIF(support!C:C,B78,support!J:J)</f>
        <v>0</v>
      </c>
      <c r="G78" s="114">
        <f>SUMIF(support!C:C,B78,support!K:K)</f>
        <v>0</v>
      </c>
      <c r="H78" s="3"/>
      <c r="I78" s="81">
        <f>SUMIF(support!C:C,B78,support!L:L)</f>
        <v>1</v>
      </c>
      <c r="J78" s="23" t="b">
        <f t="shared" si="4"/>
        <v>0</v>
      </c>
    </row>
    <row r="79" spans="1:17" x14ac:dyDescent="0.2">
      <c r="A79" s="97" t="s">
        <v>416</v>
      </c>
      <c r="B79" s="91" t="s">
        <v>485</v>
      </c>
      <c r="C79" s="22">
        <v>1</v>
      </c>
      <c r="D79" s="3">
        <f>SUMIF(support!C:C,B79,support!I:I)</f>
        <v>1.10625</v>
      </c>
      <c r="E79" s="125">
        <f t="shared" si="3"/>
        <v>1.10625</v>
      </c>
      <c r="F79" s="114">
        <f>SUMIF(support!C:C,B79,support!J:J)</f>
        <v>0</v>
      </c>
      <c r="G79" s="114">
        <f>SUMIF(support!C:C,B79,support!K:K)</f>
        <v>0</v>
      </c>
      <c r="H79" s="3" t="s">
        <v>486</v>
      </c>
      <c r="I79" s="81">
        <f>SUMIF(support!C:C,B79,support!L:L)</f>
        <v>1</v>
      </c>
      <c r="J79" s="23" t="b">
        <f t="shared" si="4"/>
        <v>0</v>
      </c>
    </row>
    <row r="80" spans="1:17" x14ac:dyDescent="0.2">
      <c r="A80" s="97" t="s">
        <v>416</v>
      </c>
      <c r="B80" s="91" t="s">
        <v>158</v>
      </c>
      <c r="C80" s="22">
        <f>155 / 189</f>
        <v>0.82010582010582012</v>
      </c>
      <c r="D80" s="3">
        <f>SUMIF(support!C:C,B80,support!I:I)</f>
        <v>0.51837500000000003</v>
      </c>
      <c r="E80" s="125">
        <f t="shared" si="3"/>
        <v>0.63208306451612906</v>
      </c>
      <c r="F80" s="114">
        <f>SUMIF(support!C:C,B80,support!J:J)</f>
        <v>0</v>
      </c>
      <c r="G80" s="114">
        <f>SUMIF(support!C:C,B80,support!K:K)</f>
        <v>0</v>
      </c>
      <c r="H80" s="3"/>
      <c r="I80" s="81">
        <f>SUMIF(support!C:C,B80,support!L:L)</f>
        <v>1</v>
      </c>
      <c r="J80" s="23" t="b">
        <f t="shared" si="4"/>
        <v>0</v>
      </c>
    </row>
    <row r="81" spans="1:10" ht="13.5" thickBot="1" x14ac:dyDescent="0.25">
      <c r="A81" s="98" t="s">
        <v>416</v>
      </c>
      <c r="B81" s="95" t="s">
        <v>61</v>
      </c>
      <c r="C81" s="24">
        <v>1</v>
      </c>
      <c r="D81" s="25">
        <f>SUMIF(support!C:C,B81,support!I:I)</f>
        <v>0</v>
      </c>
      <c r="E81" s="126">
        <f t="shared" si="3"/>
        <v>0</v>
      </c>
      <c r="F81" s="115">
        <f>SUMIF(support!C:C,B81,support!J:J)</f>
        <v>0</v>
      </c>
      <c r="G81" s="115">
        <f>SUMIF(support!C:C,B81,support!K:K)</f>
        <v>12</v>
      </c>
      <c r="H81" s="25"/>
      <c r="I81" s="82">
        <f>SUMIF(support!C:C,B81,support!L:L)</f>
        <v>2</v>
      </c>
      <c r="J81" s="26" t="b">
        <f t="shared" si="4"/>
        <v>0</v>
      </c>
    </row>
    <row r="82" spans="1:10" ht="13.5" thickBot="1" x14ac:dyDescent="0.25">
      <c r="B82" s="7" t="s">
        <v>99</v>
      </c>
      <c r="C82" s="112"/>
      <c r="D82" s="112"/>
    </row>
  </sheetData>
  <sortState xmlns:xlrd2="http://schemas.microsoft.com/office/spreadsheetml/2017/richdata2" ref="A2:J81">
    <sortCondition ref="A2:A81"/>
    <sortCondition ref="B2:B81"/>
  </sortState>
  <conditionalFormatting sqref="J1 J82:J1048576 F73:G81 F62:G71 E82:G1048576 E1:G1 F38:G55 F2:G18 F20:G36 I1:I1048576">
    <cfRule type="cellIs" dxfId="48" priority="71" operator="equal">
      <formula>0</formula>
    </cfRule>
  </conditionalFormatting>
  <conditionalFormatting sqref="F19:G19">
    <cfRule type="cellIs" dxfId="47" priority="70" operator="equal">
      <formula>0</formula>
    </cfRule>
  </conditionalFormatting>
  <conditionalFormatting sqref="F72:G72">
    <cfRule type="cellIs" dxfId="46" priority="69" operator="equal">
      <formula>0</formula>
    </cfRule>
  </conditionalFormatting>
  <conditionalFormatting sqref="F58:G58">
    <cfRule type="cellIs" dxfId="45" priority="68" operator="equal">
      <formula>0</formula>
    </cfRule>
  </conditionalFormatting>
  <conditionalFormatting sqref="F59:G59">
    <cfRule type="cellIs" dxfId="44" priority="67" operator="equal">
      <formula>0</formula>
    </cfRule>
  </conditionalFormatting>
  <conditionalFormatting sqref="F61:G61">
    <cfRule type="cellIs" dxfId="43" priority="66" operator="equal">
      <formula>0</formula>
    </cfRule>
  </conditionalFormatting>
  <conditionalFormatting sqref="F57:G57">
    <cfRule type="cellIs" dxfId="42" priority="65" operator="equal">
      <formula>0</formula>
    </cfRule>
  </conditionalFormatting>
  <conditionalFormatting sqref="F56:G56">
    <cfRule type="cellIs" dxfId="41" priority="63" operator="equal">
      <formula>0</formula>
    </cfRule>
  </conditionalFormatting>
  <conditionalFormatting sqref="F37:G37">
    <cfRule type="cellIs" dxfId="40" priority="62" operator="equal">
      <formula>0</formula>
    </cfRule>
  </conditionalFormatting>
  <conditionalFormatting sqref="F60:G60">
    <cfRule type="cellIs" dxfId="39" priority="61" operator="equal">
      <formula>0</formula>
    </cfRule>
  </conditionalFormatting>
  <conditionalFormatting sqref="J2:J8 J13:J32 J34:J43 J45:J81">
    <cfRule type="cellIs" dxfId="38" priority="45" operator="equal">
      <formula>TRUE</formula>
    </cfRule>
  </conditionalFormatting>
  <conditionalFormatting sqref="J44">
    <cfRule type="cellIs" dxfId="37" priority="43" operator="equal">
      <formula>TRUE</formula>
    </cfRule>
  </conditionalFormatting>
  <conditionalFormatting sqref="J11">
    <cfRule type="cellIs" dxfId="36" priority="41" operator="equal">
      <formula>TRUE</formula>
    </cfRule>
  </conditionalFormatting>
  <conditionalFormatting sqref="J12">
    <cfRule type="cellIs" dxfId="35" priority="39" operator="equal">
      <formula>TRUE</formula>
    </cfRule>
  </conditionalFormatting>
  <conditionalFormatting sqref="J9">
    <cfRule type="cellIs" dxfId="34" priority="37" operator="equal">
      <formula>TRUE</formula>
    </cfRule>
  </conditionalFormatting>
  <conditionalFormatting sqref="J10">
    <cfRule type="cellIs" dxfId="33" priority="35" operator="equal">
      <formula>TRUE</formula>
    </cfRule>
  </conditionalFormatting>
  <conditionalFormatting sqref="J33">
    <cfRule type="cellIs" dxfId="32" priority="33" operator="equal">
      <formula>TRUE</formula>
    </cfRule>
  </conditionalFormatting>
  <conditionalFormatting sqref="C20:D32 C38:D43 C2:D8 C45:D55 C13:D18 C34:D36 C62:D71 C73:D81">
    <cfRule type="cellIs" dxfId="31" priority="32" operator="equal">
      <formula>0</formula>
    </cfRule>
  </conditionalFormatting>
  <conditionalFormatting sqref="C19:D19">
    <cfRule type="cellIs" dxfId="30" priority="31" operator="equal">
      <formula>0</formula>
    </cfRule>
  </conditionalFormatting>
  <conditionalFormatting sqref="C72:D72">
    <cfRule type="cellIs" dxfId="29" priority="30" operator="equal">
      <formula>0</formula>
    </cfRule>
  </conditionalFormatting>
  <conditionalFormatting sqref="C58:D58">
    <cfRule type="cellIs" dxfId="28" priority="29" operator="equal">
      <formula>0</formula>
    </cfRule>
  </conditionalFormatting>
  <conditionalFormatting sqref="C59:D59">
    <cfRule type="cellIs" dxfId="27" priority="28" operator="equal">
      <formula>0</formula>
    </cfRule>
  </conditionalFormatting>
  <conditionalFormatting sqref="C61:D61">
    <cfRule type="cellIs" dxfId="26" priority="27" operator="equal">
      <formula>0</formula>
    </cfRule>
  </conditionalFormatting>
  <conditionalFormatting sqref="C57:D57">
    <cfRule type="cellIs" dxfId="25" priority="26" operator="equal">
      <formula>0</formula>
    </cfRule>
  </conditionalFormatting>
  <conditionalFormatting sqref="C56:D56">
    <cfRule type="cellIs" dxfId="24" priority="25" operator="equal">
      <formula>0</formula>
    </cfRule>
  </conditionalFormatting>
  <conditionalFormatting sqref="C37:D37">
    <cfRule type="cellIs" dxfId="23" priority="24" operator="equal">
      <formula>0</formula>
    </cfRule>
  </conditionalFormatting>
  <conditionalFormatting sqref="C60:D60">
    <cfRule type="cellIs" dxfId="22" priority="23" operator="equal">
      <formula>0</formula>
    </cfRule>
  </conditionalFormatting>
  <conditionalFormatting sqref="C44:D44">
    <cfRule type="cellIs" dxfId="21" priority="22" operator="equal">
      <formula>0</formula>
    </cfRule>
  </conditionalFormatting>
  <conditionalFormatting sqref="C11:D11">
    <cfRule type="cellIs" dxfId="20" priority="21" operator="equal">
      <formula>0</formula>
    </cfRule>
  </conditionalFormatting>
  <conditionalFormatting sqref="C12:D12">
    <cfRule type="cellIs" dxfId="19" priority="20" operator="equal">
      <formula>0</formula>
    </cfRule>
  </conditionalFormatting>
  <conditionalFormatting sqref="C9:D9">
    <cfRule type="cellIs" dxfId="18" priority="19" operator="equal">
      <formula>0</formula>
    </cfRule>
  </conditionalFormatting>
  <conditionalFormatting sqref="C10:D10">
    <cfRule type="cellIs" dxfId="17" priority="18" operator="equal">
      <formula>0</formula>
    </cfRule>
  </conditionalFormatting>
  <conditionalFormatting sqref="C33:D33">
    <cfRule type="cellIs" dxfId="16" priority="17" operator="equal">
      <formula>0</formula>
    </cfRule>
  </conditionalFormatting>
  <conditionalFormatting sqref="E20:E32 E38:E43 E73:E81 E45:E55 E13:E18 E34:E36 E62:E71 E2:E8">
    <cfRule type="cellIs" dxfId="15" priority="16" operator="equal">
      <formula>0</formula>
    </cfRule>
  </conditionalFormatting>
  <conditionalFormatting sqref="E19">
    <cfRule type="cellIs" dxfId="14" priority="15" operator="equal">
      <formula>0</formula>
    </cfRule>
  </conditionalFormatting>
  <conditionalFormatting sqref="E72">
    <cfRule type="cellIs" dxfId="13" priority="14" operator="equal">
      <formula>0</formula>
    </cfRule>
  </conditionalFormatting>
  <conditionalFormatting sqref="E58">
    <cfRule type="cellIs" dxfId="12" priority="13" operator="equal">
      <formula>0</formula>
    </cfRule>
  </conditionalFormatting>
  <conditionalFormatting sqref="E59">
    <cfRule type="cellIs" dxfId="11" priority="12" operator="equal">
      <formula>0</formula>
    </cfRule>
  </conditionalFormatting>
  <conditionalFormatting sqref="E61">
    <cfRule type="cellIs" dxfId="10" priority="11" operator="equal">
      <formula>0</formula>
    </cfRule>
  </conditionalFormatting>
  <conditionalFormatting sqref="E57">
    <cfRule type="cellIs" dxfId="9" priority="10" operator="equal">
      <formula>0</formula>
    </cfRule>
  </conditionalFormatting>
  <conditionalFormatting sqref="E56">
    <cfRule type="cellIs" dxfId="8" priority="9" operator="equal">
      <formula>0</formula>
    </cfRule>
  </conditionalFormatting>
  <conditionalFormatting sqref="E37">
    <cfRule type="cellIs" dxfId="7" priority="8" operator="equal">
      <formula>0</formula>
    </cfRule>
  </conditionalFormatting>
  <conditionalFormatting sqref="E60">
    <cfRule type="cellIs" dxfId="6" priority="7" operator="equal">
      <formula>0</formula>
    </cfRule>
  </conditionalFormatting>
  <conditionalFormatting sqref="E44">
    <cfRule type="cellIs" dxfId="5" priority="6" operator="equal">
      <formula>0</formula>
    </cfRule>
  </conditionalFormatting>
  <conditionalFormatting sqref="E11">
    <cfRule type="cellIs" dxfId="4" priority="5" operator="equal">
      <formula>0</formula>
    </cfRule>
  </conditionalFormatting>
  <conditionalFormatting sqref="E12">
    <cfRule type="cellIs" dxfId="3" priority="4" operator="equal">
      <formula>0</formula>
    </cfRule>
  </conditionalFormatting>
  <conditionalFormatting sqref="E9">
    <cfRule type="cellIs" dxfId="2" priority="3" operator="equal">
      <formula>0</formula>
    </cfRule>
  </conditionalFormatting>
  <conditionalFormatting sqref="E10">
    <cfRule type="cellIs" dxfId="1" priority="2" operator="equal">
      <formula>0</formula>
    </cfRule>
  </conditionalFormatting>
  <conditionalFormatting sqref="E33">
    <cfRule type="cellIs" dxfId="0" priority="1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2018-11-18T07:59:04Z</dcterms:modified>
</cp:coreProperties>
</file>