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EE74B677-8E7F-4BBB-87C3-40810AC293AE}" xr6:coauthVersionLast="38" xr6:coauthVersionMax="38" xr10:uidLastSave="{00000000-0000-0000-0000-000000000000}"/>
  <bookViews>
    <workbookView xWindow="0" yWindow="0" windowWidth="28770" windowHeight="11520" activeTab="3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0" i="2" l="1"/>
  <c r="O430" i="2"/>
  <c r="P430" i="2"/>
  <c r="Q430" i="2"/>
  <c r="Q429" i="2"/>
  <c r="O428" i="2"/>
  <c r="Q428" i="2"/>
  <c r="O427" i="2"/>
  <c r="Q427" i="2"/>
  <c r="N426" i="2"/>
  <c r="O426" i="2"/>
  <c r="P426" i="2"/>
  <c r="Q426" i="2"/>
  <c r="N425" i="2"/>
  <c r="O425" i="2"/>
  <c r="P425" i="2"/>
  <c r="Q425" i="2"/>
  <c r="O424" i="2"/>
  <c r="Q424" i="2"/>
  <c r="N423" i="2"/>
  <c r="O423" i="2"/>
  <c r="P423" i="2"/>
  <c r="Q423" i="2"/>
  <c r="N422" i="2"/>
  <c r="O422" i="2"/>
  <c r="P422" i="2"/>
  <c r="Q422" i="2"/>
  <c r="Q421" i="2"/>
  <c r="Q420" i="2"/>
  <c r="Q411" i="2"/>
  <c r="Q408" i="2"/>
  <c r="Q407" i="2"/>
  <c r="Q406" i="2"/>
  <c r="N405" i="2"/>
  <c r="M405" i="2"/>
  <c r="O405" i="2"/>
  <c r="P405" i="2"/>
  <c r="Q405" i="2"/>
  <c r="N402" i="2"/>
  <c r="O402" i="2"/>
  <c r="P402" i="2"/>
  <c r="Q402" i="2"/>
  <c r="N401" i="2"/>
  <c r="M401" i="2"/>
  <c r="O401" i="2"/>
  <c r="P401" i="2"/>
  <c r="Q401" i="2"/>
  <c r="N400" i="2"/>
  <c r="M400" i="2"/>
  <c r="O400" i="2"/>
  <c r="P400" i="2"/>
  <c r="Q400" i="2"/>
  <c r="Q399" i="2"/>
  <c r="N398" i="2"/>
  <c r="O398" i="2"/>
  <c r="P398" i="2"/>
  <c r="Q398" i="2"/>
  <c r="N395" i="2"/>
  <c r="M395" i="2"/>
  <c r="O395" i="2"/>
  <c r="P395" i="2"/>
  <c r="Q395" i="2"/>
  <c r="Q382" i="2"/>
  <c r="Q381" i="2"/>
  <c r="N378" i="2"/>
  <c r="M378" i="2"/>
  <c r="O378" i="2"/>
  <c r="P378" i="2"/>
  <c r="Q378" i="2"/>
  <c r="Q377" i="2"/>
  <c r="Q376" i="2"/>
  <c r="Q375" i="2"/>
  <c r="M372" i="2"/>
  <c r="O372" i="2"/>
  <c r="N372" i="2"/>
  <c r="P372" i="2"/>
  <c r="Q372" i="2"/>
  <c r="Q371" i="2"/>
  <c r="N368" i="2"/>
  <c r="O368" i="2"/>
  <c r="P368" i="2"/>
  <c r="Q368" i="2"/>
  <c r="N367" i="2"/>
  <c r="O367" i="2"/>
  <c r="P367" i="2"/>
  <c r="Q367" i="2"/>
  <c r="N364" i="2"/>
  <c r="O364" i="2"/>
  <c r="P364" i="2"/>
  <c r="Q364" i="2"/>
  <c r="N363" i="2"/>
  <c r="O363" i="2"/>
  <c r="P363" i="2"/>
  <c r="Q363" i="2"/>
  <c r="Q362" i="2"/>
  <c r="Q361" i="2"/>
  <c r="N360" i="2"/>
  <c r="O360" i="2"/>
  <c r="P360" i="2"/>
  <c r="Q360" i="2"/>
  <c r="Q349" i="2"/>
  <c r="Q348" i="2"/>
  <c r="Q343" i="2"/>
  <c r="Q342" i="2"/>
  <c r="M341" i="2"/>
  <c r="O341" i="2"/>
  <c r="N341" i="2"/>
  <c r="P341" i="2"/>
  <c r="Q341" i="2"/>
  <c r="N340" i="2"/>
  <c r="O340" i="2"/>
  <c r="P340" i="2"/>
  <c r="Q340" i="2"/>
  <c r="N337" i="2"/>
  <c r="M337" i="2"/>
  <c r="O337" i="2"/>
  <c r="P337" i="2"/>
  <c r="Q337" i="2"/>
  <c r="N336" i="2"/>
  <c r="M336" i="2"/>
  <c r="O336" i="2"/>
  <c r="P336" i="2"/>
  <c r="Q336" i="2"/>
  <c r="N335" i="2"/>
  <c r="M335" i="2"/>
  <c r="O335" i="2"/>
  <c r="P335" i="2"/>
  <c r="Q335" i="2"/>
  <c r="N334" i="2"/>
  <c r="M334" i="2"/>
  <c r="O334" i="2"/>
  <c r="P334" i="2"/>
  <c r="Q334" i="2"/>
  <c r="N333" i="2"/>
  <c r="M333" i="2"/>
  <c r="O333" i="2"/>
  <c r="P333" i="2"/>
  <c r="Q333" i="2"/>
  <c r="Q332" i="2"/>
  <c r="N331" i="2"/>
  <c r="O331" i="2"/>
  <c r="P331" i="2"/>
  <c r="Q331" i="2"/>
  <c r="N330" i="2"/>
  <c r="O330" i="2"/>
  <c r="P330" i="2"/>
  <c r="Q330" i="2"/>
  <c r="Q327" i="2"/>
  <c r="N315" i="2"/>
  <c r="O315" i="2"/>
  <c r="P315" i="2"/>
  <c r="Q315" i="2"/>
  <c r="N314" i="2"/>
  <c r="M314" i="2"/>
  <c r="O314" i="2"/>
  <c r="P314" i="2"/>
  <c r="Q314" i="2"/>
  <c r="N313" i="2"/>
  <c r="M313" i="2"/>
  <c r="O313" i="2"/>
  <c r="P313" i="2"/>
  <c r="Q313" i="2"/>
  <c r="N312" i="2"/>
  <c r="O312" i="2"/>
  <c r="P312" i="2"/>
  <c r="Q312" i="2"/>
  <c r="N311" i="2"/>
  <c r="O311" i="2"/>
  <c r="P311" i="2"/>
  <c r="Q311" i="2"/>
  <c r="N302" i="2"/>
  <c r="O302" i="2"/>
  <c r="P302" i="2"/>
  <c r="Q302" i="2"/>
  <c r="N299" i="2"/>
  <c r="M299" i="2"/>
  <c r="O299" i="2"/>
  <c r="P299" i="2"/>
  <c r="Q299" i="2"/>
  <c r="Q298" i="2"/>
  <c r="M297" i="2"/>
  <c r="O297" i="2"/>
  <c r="N297" i="2"/>
  <c r="P297" i="2"/>
  <c r="Q297" i="2"/>
  <c r="Q294" i="2"/>
  <c r="N293" i="2"/>
  <c r="M293" i="2"/>
  <c r="O293" i="2"/>
  <c r="P293" i="2"/>
  <c r="Q293" i="2"/>
  <c r="N281" i="2"/>
  <c r="O281" i="2"/>
  <c r="P281" i="2"/>
  <c r="Q281" i="2"/>
  <c r="Q278" i="2"/>
  <c r="M275" i="2"/>
  <c r="O275" i="2"/>
  <c r="Q275" i="2"/>
  <c r="N270" i="2"/>
  <c r="O270" i="2"/>
  <c r="P270" i="2"/>
  <c r="Q270" i="2"/>
  <c r="Q267" i="2"/>
  <c r="Q266" i="2"/>
  <c r="M265" i="2"/>
  <c r="O265" i="2"/>
  <c r="N265" i="2"/>
  <c r="P265" i="2"/>
  <c r="Q265" i="2"/>
  <c r="N264" i="2"/>
  <c r="O264" i="2"/>
  <c r="P264" i="2"/>
  <c r="Q264" i="2"/>
  <c r="N256" i="2"/>
  <c r="O256" i="2"/>
  <c r="P256" i="2"/>
  <c r="Q256" i="2"/>
  <c r="N255" i="2"/>
  <c r="O255" i="2"/>
  <c r="P255" i="2"/>
  <c r="Q255" i="2"/>
  <c r="Q254" i="2"/>
  <c r="Q253" i="2"/>
  <c r="N250" i="2"/>
  <c r="O250" i="2"/>
  <c r="P250" i="2"/>
  <c r="Q250" i="2"/>
  <c r="Q249" i="2"/>
  <c r="Q248" i="2"/>
  <c r="Q245" i="2"/>
  <c r="N242" i="2"/>
  <c r="O242" i="2"/>
  <c r="P242" i="2"/>
  <c r="Q242" i="2"/>
  <c r="N241" i="2"/>
  <c r="O241" i="2"/>
  <c r="P241" i="2"/>
  <c r="Q241" i="2"/>
  <c r="N238" i="2"/>
  <c r="M238" i="2"/>
  <c r="O238" i="2"/>
  <c r="P238" i="2"/>
  <c r="Q238" i="2"/>
  <c r="N237" i="2"/>
  <c r="O237" i="2"/>
  <c r="P237" i="2"/>
  <c r="Q237" i="2"/>
  <c r="N222" i="2"/>
  <c r="O222" i="2"/>
  <c r="P222" i="2"/>
  <c r="Q222" i="2"/>
  <c r="N221" i="2"/>
  <c r="M221" i="2"/>
  <c r="O221" i="2"/>
  <c r="P221" i="2"/>
  <c r="Q221" i="2"/>
  <c r="N218" i="2"/>
  <c r="O218" i="2"/>
  <c r="P218" i="2"/>
  <c r="Q218" i="2"/>
  <c r="N217" i="2"/>
  <c r="O217" i="2"/>
  <c r="P217" i="2"/>
  <c r="Q217" i="2"/>
  <c r="Q216" i="2"/>
  <c r="M208" i="2"/>
  <c r="O208" i="2"/>
  <c r="N208" i="2"/>
  <c r="P208" i="2"/>
  <c r="Q208" i="2"/>
  <c r="M207" i="2"/>
  <c r="O207" i="2"/>
  <c r="N207" i="2"/>
  <c r="P207" i="2"/>
  <c r="Q207" i="2"/>
  <c r="N204" i="2"/>
  <c r="O204" i="2"/>
  <c r="P204" i="2"/>
  <c r="Q204" i="2"/>
  <c r="N196" i="2"/>
  <c r="O196" i="2"/>
  <c r="P196" i="2"/>
  <c r="Q196" i="2"/>
  <c r="Q191" i="2"/>
  <c r="O190" i="2"/>
  <c r="Q190" i="2"/>
  <c r="Q189" i="2"/>
  <c r="Q186" i="2"/>
  <c r="Q185" i="2"/>
  <c r="Q184" i="2"/>
  <c r="Q183" i="2"/>
  <c r="N182" i="2"/>
  <c r="M182" i="2"/>
  <c r="O182" i="2"/>
  <c r="P182" i="2"/>
  <c r="Q182" i="2"/>
  <c r="Q179" i="2"/>
  <c r="N178" i="2"/>
  <c r="O178" i="2"/>
  <c r="P178" i="2"/>
  <c r="Q178" i="2"/>
  <c r="Q177" i="2"/>
  <c r="N176" i="2"/>
  <c r="O176" i="2"/>
  <c r="P176" i="2"/>
  <c r="Q176" i="2"/>
  <c r="N175" i="2"/>
  <c r="O175" i="2"/>
  <c r="P175" i="2"/>
  <c r="Q175" i="2"/>
  <c r="N172" i="2"/>
  <c r="O172" i="2"/>
  <c r="P172" i="2"/>
  <c r="Q172" i="2"/>
  <c r="M171" i="2"/>
  <c r="O171" i="2"/>
  <c r="Q171" i="2"/>
  <c r="G74" i="1"/>
  <c r="M158" i="2"/>
  <c r="O158" i="2"/>
  <c r="Q158" i="2"/>
  <c r="Q155" i="2"/>
  <c r="Q154" i="2"/>
  <c r="Q153" i="2"/>
  <c r="N152" i="2"/>
  <c r="O152" i="2"/>
  <c r="P152" i="2"/>
  <c r="Q152" i="2"/>
  <c r="Q151" i="2"/>
  <c r="Q148" i="2"/>
  <c r="M147" i="2"/>
  <c r="O147" i="2"/>
  <c r="N147" i="2"/>
  <c r="P147" i="2"/>
  <c r="Q147" i="2"/>
  <c r="N146" i="2"/>
  <c r="O146" i="2"/>
  <c r="P146" i="2"/>
  <c r="Q146" i="2"/>
  <c r="N135" i="2"/>
  <c r="M135" i="2"/>
  <c r="O135" i="2"/>
  <c r="P135" i="2"/>
  <c r="Q135" i="2"/>
  <c r="N134" i="2"/>
  <c r="M134" i="2"/>
  <c r="O134" i="2"/>
  <c r="P134" i="2"/>
  <c r="Q134" i="2"/>
  <c r="N131" i="2"/>
  <c r="O131" i="2"/>
  <c r="P131" i="2"/>
  <c r="Q131" i="2"/>
  <c r="N123" i="2"/>
  <c r="O123" i="2"/>
  <c r="P123" i="2"/>
  <c r="Q123" i="2"/>
  <c r="N122" i="2"/>
  <c r="M122" i="2"/>
  <c r="O122" i="2"/>
  <c r="P122" i="2"/>
  <c r="Q122" i="2"/>
  <c r="N121" i="2"/>
  <c r="M121" i="2"/>
  <c r="O121" i="2"/>
  <c r="P121" i="2"/>
  <c r="Q121" i="2"/>
  <c r="Q118" i="2"/>
  <c r="Q117" i="2"/>
  <c r="N114" i="2"/>
  <c r="O114" i="2"/>
  <c r="P114" i="2"/>
  <c r="Q114" i="2"/>
  <c r="N113" i="2"/>
  <c r="M113" i="2"/>
  <c r="O113" i="2"/>
  <c r="P113" i="2"/>
  <c r="Q113" i="2"/>
  <c r="N109" i="2"/>
  <c r="M109" i="2"/>
  <c r="O109" i="2"/>
  <c r="P109" i="2"/>
  <c r="Q109" i="2"/>
  <c r="M100" i="2"/>
  <c r="O100" i="2"/>
  <c r="N100" i="2"/>
  <c r="P100" i="2"/>
  <c r="Q100" i="2"/>
  <c r="N95" i="2"/>
  <c r="M95" i="2"/>
  <c r="O95" i="2"/>
  <c r="P95" i="2"/>
  <c r="Q95" i="2"/>
  <c r="Q94" i="2"/>
  <c r="N93" i="2"/>
  <c r="M93" i="2"/>
  <c r="O93" i="2"/>
  <c r="P93" i="2"/>
  <c r="Q93" i="2"/>
  <c r="N92" i="2"/>
  <c r="M92" i="2"/>
  <c r="O92" i="2"/>
  <c r="P92" i="2"/>
  <c r="Q92" i="2"/>
  <c r="N91" i="2"/>
  <c r="M91" i="2"/>
  <c r="O91" i="2"/>
  <c r="P91" i="2"/>
  <c r="Q91" i="2"/>
  <c r="N90" i="2"/>
  <c r="M90" i="2"/>
  <c r="O90" i="2"/>
  <c r="P90" i="2"/>
  <c r="Q90" i="2"/>
  <c r="N87" i="2"/>
  <c r="M87" i="2"/>
  <c r="O87" i="2"/>
  <c r="P87" i="2"/>
  <c r="Q87" i="2"/>
  <c r="M86" i="2"/>
  <c r="O86" i="2"/>
  <c r="N86" i="2"/>
  <c r="P86" i="2"/>
  <c r="Q86" i="2"/>
  <c r="Q85" i="2"/>
  <c r="N82" i="2"/>
  <c r="M82" i="2"/>
  <c r="O82" i="2"/>
  <c r="P82" i="2"/>
  <c r="Q82" i="2"/>
  <c r="N71" i="2"/>
  <c r="M71" i="2"/>
  <c r="O71" i="2"/>
  <c r="P71" i="2"/>
  <c r="Q71" i="2"/>
  <c r="N70" i="2"/>
  <c r="M70" i="2"/>
  <c r="O70" i="2"/>
  <c r="P70" i="2"/>
  <c r="Q70" i="2"/>
  <c r="N69" i="2"/>
  <c r="M69" i="2"/>
  <c r="O69" i="2"/>
  <c r="P69" i="2"/>
  <c r="Q69" i="2"/>
  <c r="N68" i="2"/>
  <c r="M68" i="2"/>
  <c r="O68" i="2"/>
  <c r="P68" i="2"/>
  <c r="Q68" i="2"/>
  <c r="N67" i="2"/>
  <c r="M67" i="2"/>
  <c r="O67" i="2"/>
  <c r="P67" i="2"/>
  <c r="Q67" i="2"/>
  <c r="Q64" i="2"/>
  <c r="Q63" i="2"/>
  <c r="N60" i="2"/>
  <c r="M60" i="2"/>
  <c r="O60" i="2"/>
  <c r="P60" i="2"/>
  <c r="Q60" i="2"/>
  <c r="O59" i="2"/>
  <c r="M59" i="2"/>
  <c r="N59" i="2"/>
  <c r="P59" i="2"/>
  <c r="Q59" i="2"/>
  <c r="N53" i="2"/>
  <c r="M53" i="2"/>
  <c r="O53" i="2"/>
  <c r="P53" i="2"/>
  <c r="Q53" i="2"/>
  <c r="N52" i="2"/>
  <c r="O52" i="2"/>
  <c r="P52" i="2"/>
  <c r="Q52" i="2"/>
  <c r="N51" i="2"/>
  <c r="O51" i="2"/>
  <c r="P51" i="2"/>
  <c r="Q51" i="2"/>
  <c r="N48" i="2"/>
  <c r="O48" i="2"/>
  <c r="P48" i="2"/>
  <c r="Q48" i="2"/>
  <c r="N43" i="2"/>
  <c r="M43" i="2"/>
  <c r="O43" i="2"/>
  <c r="P43" i="2"/>
  <c r="Q43" i="2"/>
  <c r="N45" i="2"/>
  <c r="M45" i="2"/>
  <c r="O45" i="2"/>
  <c r="P45" i="2"/>
  <c r="Q45" i="2"/>
  <c r="N44" i="2"/>
  <c r="M44" i="2"/>
  <c r="O44" i="2"/>
  <c r="P44" i="2"/>
  <c r="Q44" i="2"/>
  <c r="N42" i="2"/>
  <c r="M42" i="2"/>
  <c r="O42" i="2"/>
  <c r="P42" i="2"/>
  <c r="Q42" i="2"/>
  <c r="M39" i="2"/>
  <c r="N39" i="2"/>
  <c r="O39" i="2"/>
  <c r="Q39" i="2"/>
  <c r="N38" i="2"/>
  <c r="O38" i="2"/>
  <c r="P38" i="2"/>
  <c r="Q38" i="2"/>
  <c r="N37" i="2"/>
  <c r="O37" i="2"/>
  <c r="P37" i="2"/>
  <c r="Q37" i="2"/>
  <c r="Q29" i="2"/>
  <c r="Q23" i="2"/>
  <c r="Q22" i="2"/>
  <c r="Q21" i="2"/>
  <c r="M20" i="2"/>
  <c r="O20" i="2"/>
  <c r="N20" i="2"/>
  <c r="P20" i="2"/>
  <c r="Q20" i="2"/>
  <c r="Q19" i="2"/>
  <c r="Q10" i="2"/>
  <c r="Q9" i="2"/>
  <c r="Q8" i="2"/>
  <c r="Q7" i="2"/>
  <c r="Q6" i="2"/>
  <c r="F16" i="2"/>
  <c r="F3" i="2"/>
  <c r="F4" i="2"/>
  <c r="L2" i="1"/>
  <c r="G2" i="1"/>
  <c r="G16" i="1"/>
  <c r="M332" i="2"/>
  <c r="R332" i="2"/>
  <c r="S332" i="2"/>
  <c r="T332" i="2"/>
  <c r="M407" i="2"/>
  <c r="R407" i="2"/>
  <c r="S407" i="2"/>
  <c r="T407" i="2"/>
  <c r="M429" i="2"/>
  <c r="R429" i="2"/>
  <c r="H2" i="1"/>
  <c r="N429" i="2"/>
  <c r="S429" i="2"/>
  <c r="T429" i="2"/>
  <c r="K2" i="1"/>
  <c r="J2" i="1"/>
  <c r="I2" i="1"/>
  <c r="G429" i="2"/>
  <c r="H8" i="1"/>
  <c r="G8" i="1"/>
  <c r="O429" i="2"/>
  <c r="P429" i="2"/>
  <c r="D429" i="2"/>
  <c r="C429" i="2"/>
  <c r="B429" i="2"/>
  <c r="G428" i="2"/>
  <c r="G427" i="2"/>
  <c r="H70" i="1"/>
  <c r="H9" i="1"/>
  <c r="N427" i="2"/>
  <c r="G9" i="1"/>
  <c r="M427" i="2"/>
  <c r="P427" i="2"/>
  <c r="R427" i="2"/>
  <c r="S427" i="2"/>
  <c r="T427" i="2"/>
  <c r="G70" i="1"/>
  <c r="D427" i="2"/>
  <c r="C427" i="2"/>
  <c r="B427" i="2"/>
  <c r="G423" i="2"/>
  <c r="R423" i="2"/>
  <c r="S423" i="2"/>
  <c r="T423" i="2"/>
  <c r="M423" i="2"/>
  <c r="D423" i="2"/>
  <c r="C423" i="2"/>
  <c r="B423" i="2"/>
  <c r="L59" i="1"/>
  <c r="H59" i="1"/>
  <c r="M18" i="5"/>
  <c r="M19" i="5"/>
  <c r="F201" i="2"/>
  <c r="F202" i="2"/>
  <c r="F204" i="2"/>
  <c r="F205" i="2"/>
  <c r="R218" i="2"/>
  <c r="S218" i="2"/>
  <c r="T218" i="2"/>
  <c r="K59" i="1"/>
  <c r="J59" i="1"/>
  <c r="I59" i="1"/>
  <c r="G59" i="1"/>
  <c r="L58" i="1"/>
  <c r="H58" i="1"/>
  <c r="G58" i="1"/>
  <c r="M428" i="2"/>
  <c r="P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G75" i="1"/>
  <c r="M421" i="2"/>
  <c r="G421" i="2"/>
  <c r="R421" i="2"/>
  <c r="H75" i="1"/>
  <c r="N421" i="2"/>
  <c r="S421" i="2"/>
  <c r="T421" i="2"/>
  <c r="G76" i="1"/>
  <c r="M420" i="2"/>
  <c r="G420" i="2"/>
  <c r="R420" i="2"/>
  <c r="H76" i="1"/>
  <c r="N420" i="2"/>
  <c r="S420" i="2"/>
  <c r="T420" i="2"/>
  <c r="H69" i="1"/>
  <c r="H78" i="1"/>
  <c r="H54" i="1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M430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G101" i="1"/>
  <c r="M118" i="2"/>
  <c r="F109" i="2"/>
  <c r="F110" i="2"/>
  <c r="R118" i="2"/>
  <c r="I101" i="1"/>
  <c r="J19" i="5"/>
  <c r="F357" i="2"/>
  <c r="F358" i="2"/>
  <c r="G102" i="1"/>
  <c r="M376" i="2"/>
  <c r="F360" i="2"/>
  <c r="F361" i="2"/>
  <c r="R376" i="2"/>
  <c r="I102" i="1"/>
  <c r="D116" i="3"/>
  <c r="E116" i="3"/>
  <c r="F167" i="2"/>
  <c r="F168" i="2"/>
  <c r="G100" i="1"/>
  <c r="M184" i="2"/>
  <c r="F170" i="2"/>
  <c r="F171" i="2"/>
  <c r="R184" i="2"/>
  <c r="I100" i="1"/>
  <c r="D115" i="3"/>
  <c r="E115" i="3"/>
  <c r="F261" i="2"/>
  <c r="F262" i="2"/>
  <c r="G99" i="1"/>
  <c r="M267" i="2"/>
  <c r="F264" i="2"/>
  <c r="F265" i="2"/>
  <c r="R267" i="2"/>
  <c r="I99" i="1"/>
  <c r="D114" i="3"/>
  <c r="E114" i="3"/>
  <c r="F17" i="2"/>
  <c r="G95" i="1"/>
  <c r="M29" i="2"/>
  <c r="F19" i="2"/>
  <c r="F20" i="2"/>
  <c r="R29" i="2"/>
  <c r="I95" i="1"/>
  <c r="D113" i="3"/>
  <c r="E113" i="3"/>
  <c r="H79" i="1"/>
  <c r="F35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G73" i="1"/>
  <c r="M408" i="2"/>
  <c r="F393" i="2"/>
  <c r="F394" i="2"/>
  <c r="R408" i="2"/>
  <c r="I73" i="1"/>
  <c r="H74" i="1"/>
  <c r="N158" i="2"/>
  <c r="P158" i="2"/>
  <c r="F143" i="2"/>
  <c r="F144" i="2"/>
  <c r="F146" i="2"/>
  <c r="F147" i="2"/>
  <c r="R158" i="2"/>
  <c r="M377" i="2"/>
  <c r="R377" i="2"/>
  <c r="I74" i="1"/>
  <c r="D111" i="3"/>
  <c r="C111" i="3"/>
  <c r="E111" i="3"/>
  <c r="H68" i="1"/>
  <c r="G68" i="1"/>
  <c r="R45" i="2"/>
  <c r="I68" i="1"/>
  <c r="D110" i="3"/>
  <c r="E110" i="3"/>
  <c r="F56" i="2"/>
  <c r="F57" i="2"/>
  <c r="F59" i="2"/>
  <c r="F60" i="2"/>
  <c r="R59" i="2"/>
  <c r="F288" i="2"/>
  <c r="F289" i="2"/>
  <c r="G67" i="1"/>
  <c r="M294" i="2"/>
  <c r="F291" i="2"/>
  <c r="F292" i="2"/>
  <c r="R294" i="2"/>
  <c r="M406" i="2"/>
  <c r="R406" i="2"/>
  <c r="I67" i="1"/>
  <c r="D109" i="3"/>
  <c r="E109" i="3"/>
  <c r="G66" i="1"/>
  <c r="M9" i="2"/>
  <c r="F6" i="2"/>
  <c r="F7" i="2"/>
  <c r="R9" i="2"/>
  <c r="I66" i="1"/>
  <c r="D108" i="3"/>
  <c r="E108" i="3"/>
  <c r="G61" i="1"/>
  <c r="M10" i="2"/>
  <c r="R10" i="2"/>
  <c r="I61" i="1"/>
  <c r="D107" i="3"/>
  <c r="E107" i="3"/>
  <c r="G60" i="1"/>
  <c r="M64" i="2"/>
  <c r="R64" i="2"/>
  <c r="M177" i="2"/>
  <c r="R177" i="2"/>
  <c r="F234" i="2"/>
  <c r="F235" i="2"/>
  <c r="M249" i="2"/>
  <c r="F237" i="2"/>
  <c r="F238" i="2"/>
  <c r="R249" i="2"/>
  <c r="M362" i="2"/>
  <c r="R362" i="2"/>
  <c r="I60" i="1"/>
  <c r="D106" i="3"/>
  <c r="E106" i="3"/>
  <c r="G53" i="1"/>
  <c r="M23" i="2"/>
  <c r="R23" i="2"/>
  <c r="I53" i="1"/>
  <c r="D105" i="3"/>
  <c r="E105" i="3"/>
  <c r="G52" i="1"/>
  <c r="M189" i="2"/>
  <c r="R189" i="2"/>
  <c r="F322" i="2"/>
  <c r="F323" i="2"/>
  <c r="M349" i="2"/>
  <c r="F325" i="2"/>
  <c r="F326" i="2"/>
  <c r="R349" i="2"/>
  <c r="I52" i="1"/>
  <c r="D104" i="3"/>
  <c r="E104" i="3"/>
  <c r="H51" i="1"/>
  <c r="G51" i="1"/>
  <c r="R43" i="2"/>
  <c r="R207" i="2"/>
  <c r="M342" i="2"/>
  <c r="R342" i="2"/>
  <c r="M371" i="2"/>
  <c r="R371" i="2"/>
  <c r="I51" i="1"/>
  <c r="D103" i="3"/>
  <c r="E103" i="3"/>
  <c r="G45" i="1"/>
  <c r="H45" i="1"/>
  <c r="F79" i="2"/>
  <c r="F80" i="2"/>
  <c r="F82" i="2"/>
  <c r="F83" i="2"/>
  <c r="R100" i="2"/>
  <c r="I45" i="1"/>
  <c r="G46" i="1"/>
  <c r="M22" i="2"/>
  <c r="R22" i="2"/>
  <c r="I46" i="1"/>
  <c r="D102" i="3"/>
  <c r="E102" i="3"/>
  <c r="R190" i="2"/>
  <c r="I39" i="1"/>
  <c r="D98" i="3"/>
  <c r="E98" i="3"/>
  <c r="I44" i="1"/>
  <c r="D101" i="3"/>
  <c r="E101" i="3"/>
  <c r="H42" i="1"/>
  <c r="R37" i="2"/>
  <c r="R123" i="2"/>
  <c r="R178" i="2"/>
  <c r="R250" i="2"/>
  <c r="G91" i="1"/>
  <c r="M6" i="2"/>
  <c r="R6" i="2"/>
  <c r="G3" i="1"/>
  <c r="M7" i="2"/>
  <c r="R7" i="2"/>
  <c r="G4" i="1"/>
  <c r="M8" i="2"/>
  <c r="R8" i="2"/>
  <c r="G22" i="1"/>
  <c r="M19" i="2"/>
  <c r="R19" i="2"/>
  <c r="G12" i="1"/>
  <c r="H12" i="1"/>
  <c r="R20" i="2"/>
  <c r="G18" i="1"/>
  <c r="M21" i="2"/>
  <c r="R21" i="2"/>
  <c r="H33" i="1"/>
  <c r="R38" i="2"/>
  <c r="H93" i="1"/>
  <c r="G93" i="1"/>
  <c r="P39" i="2"/>
  <c r="R39" i="2"/>
  <c r="H10" i="1"/>
  <c r="G10" i="1"/>
  <c r="R42" i="2"/>
  <c r="H7" i="1"/>
  <c r="G7" i="1"/>
  <c r="R44" i="2"/>
  <c r="H89" i="1"/>
  <c r="R48" i="2"/>
  <c r="H43" i="1"/>
  <c r="R51" i="2"/>
  <c r="H48" i="1"/>
  <c r="G48" i="1"/>
  <c r="R53" i="2"/>
  <c r="H31" i="1"/>
  <c r="G31" i="1"/>
  <c r="R60" i="2"/>
  <c r="G41" i="1"/>
  <c r="M63" i="2"/>
  <c r="R63" i="2"/>
  <c r="H24" i="1"/>
  <c r="G24" i="1"/>
  <c r="R67" i="2"/>
  <c r="H40" i="1"/>
  <c r="G40" i="1"/>
  <c r="R68" i="2"/>
  <c r="H50" i="1"/>
  <c r="G50" i="1"/>
  <c r="R69" i="2"/>
  <c r="H49" i="1"/>
  <c r="G49" i="1"/>
  <c r="R70" i="2"/>
  <c r="H71" i="1"/>
  <c r="G71" i="1"/>
  <c r="R71" i="2"/>
  <c r="H28" i="1"/>
  <c r="G28" i="1"/>
  <c r="R82" i="2"/>
  <c r="G17" i="1"/>
  <c r="M85" i="2"/>
  <c r="R85" i="2"/>
  <c r="G11" i="1"/>
  <c r="H11" i="1"/>
  <c r="R86" i="2"/>
  <c r="R87" i="2"/>
  <c r="H63" i="1"/>
  <c r="G63" i="1"/>
  <c r="R90" i="2"/>
  <c r="R91" i="2"/>
  <c r="H26" i="1"/>
  <c r="G26" i="1"/>
  <c r="R92" i="2"/>
  <c r="H21" i="1"/>
  <c r="G21" i="1"/>
  <c r="R93" i="2"/>
  <c r="G5" i="1"/>
  <c r="M94" i="2"/>
  <c r="R94" i="2"/>
  <c r="H98" i="1"/>
  <c r="G98" i="1"/>
  <c r="R95" i="2"/>
  <c r="H29" i="1"/>
  <c r="G29" i="1"/>
  <c r="R109" i="2"/>
  <c r="R113" i="2"/>
  <c r="H57" i="1"/>
  <c r="R114" i="2"/>
  <c r="G87" i="1"/>
  <c r="M117" i="2"/>
  <c r="R117" i="2"/>
  <c r="R121" i="2"/>
  <c r="R122" i="2"/>
  <c r="R131" i="2"/>
  <c r="H23" i="1"/>
  <c r="G23" i="1"/>
  <c r="R134" i="2"/>
  <c r="H6" i="1"/>
  <c r="G6" i="1"/>
  <c r="R135" i="2"/>
  <c r="R146" i="2"/>
  <c r="R147" i="2"/>
  <c r="M148" i="2"/>
  <c r="R148" i="2"/>
  <c r="M151" i="2"/>
  <c r="R151" i="2"/>
  <c r="H96" i="1"/>
  <c r="R152" i="2"/>
  <c r="G36" i="1"/>
  <c r="M153" i="2"/>
  <c r="R153" i="2"/>
  <c r="G38" i="1"/>
  <c r="M154" i="2"/>
  <c r="R154" i="2"/>
  <c r="M155" i="2"/>
  <c r="R155" i="2"/>
  <c r="R171" i="2"/>
  <c r="H82" i="1"/>
  <c r="R172" i="2"/>
  <c r="H72" i="1"/>
  <c r="R175" i="2"/>
  <c r="H83" i="1"/>
  <c r="R176" i="2"/>
  <c r="G15" i="1"/>
  <c r="M179" i="2"/>
  <c r="R179" i="2"/>
  <c r="R182" i="2"/>
  <c r="M183" i="2"/>
  <c r="R183" i="2"/>
  <c r="M185" i="2"/>
  <c r="R185" i="2"/>
  <c r="G84" i="1"/>
  <c r="M186" i="2"/>
  <c r="R186" i="2"/>
  <c r="G88" i="1"/>
  <c r="M191" i="2"/>
  <c r="R191" i="2"/>
  <c r="H14" i="1"/>
  <c r="R196" i="2"/>
  <c r="R204" i="2"/>
  <c r="R208" i="2"/>
  <c r="G90" i="1"/>
  <c r="M216" i="2"/>
  <c r="R216" i="2"/>
  <c r="H25" i="1"/>
  <c r="R217" i="2"/>
  <c r="R221" i="2"/>
  <c r="H56" i="1"/>
  <c r="R222" i="2"/>
  <c r="H64" i="1"/>
  <c r="R237" i="2"/>
  <c r="H97" i="1"/>
  <c r="G97" i="1"/>
  <c r="R238" i="2"/>
  <c r="H20" i="1"/>
  <c r="R241" i="2"/>
  <c r="H77" i="1"/>
  <c r="R242" i="2"/>
  <c r="M245" i="2"/>
  <c r="R245" i="2"/>
  <c r="M248" i="2"/>
  <c r="R248" i="2"/>
  <c r="M253" i="2"/>
  <c r="R253" i="2"/>
  <c r="M254" i="2"/>
  <c r="R254" i="2"/>
  <c r="H65" i="1"/>
  <c r="R255" i="2"/>
  <c r="R256" i="2"/>
  <c r="R264" i="2"/>
  <c r="G13" i="1"/>
  <c r="H13" i="1"/>
  <c r="R265" i="2"/>
  <c r="M266" i="2"/>
  <c r="R266" i="2"/>
  <c r="R270" i="2"/>
  <c r="R275" i="2"/>
  <c r="G62" i="1"/>
  <c r="M278" i="2"/>
  <c r="R278" i="2"/>
  <c r="H55" i="1"/>
  <c r="R281" i="2"/>
  <c r="H27" i="1"/>
  <c r="G27" i="1"/>
  <c r="R293" i="2"/>
  <c r="R297" i="2"/>
  <c r="M298" i="2"/>
  <c r="R298" i="2"/>
  <c r="H30" i="1"/>
  <c r="G30" i="1"/>
  <c r="R299" i="2"/>
  <c r="H92" i="1"/>
  <c r="R302" i="2"/>
  <c r="H81" i="1"/>
  <c r="R311" i="2"/>
  <c r="R312" i="2"/>
  <c r="R313" i="2"/>
  <c r="R314" i="2"/>
  <c r="R315" i="2"/>
  <c r="M327" i="2"/>
  <c r="R327" i="2"/>
  <c r="R330" i="2"/>
  <c r="R331" i="2"/>
  <c r="R333" i="2"/>
  <c r="R334" i="2"/>
  <c r="R335" i="2"/>
  <c r="R336" i="2"/>
  <c r="R337" i="2"/>
  <c r="R340" i="2"/>
  <c r="R341" i="2"/>
  <c r="G85" i="1"/>
  <c r="M343" i="2"/>
  <c r="R343" i="2"/>
  <c r="M348" i="2"/>
  <c r="R348" i="2"/>
  <c r="R360" i="2"/>
  <c r="M361" i="2"/>
  <c r="R361" i="2"/>
  <c r="R363" i="2"/>
  <c r="R364" i="2"/>
  <c r="R367" i="2"/>
  <c r="R368" i="2"/>
  <c r="R372" i="2"/>
  <c r="M375" i="2"/>
  <c r="R375" i="2"/>
  <c r="R378" i="2"/>
  <c r="M381" i="2"/>
  <c r="R381" i="2"/>
  <c r="G86" i="1"/>
  <c r="M382" i="2"/>
  <c r="R382" i="2"/>
  <c r="R395" i="2"/>
  <c r="R398" i="2"/>
  <c r="M399" i="2"/>
  <c r="R399" i="2"/>
  <c r="R400" i="2"/>
  <c r="R401" i="2"/>
  <c r="R402" i="2"/>
  <c r="R405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N85" i="2"/>
  <c r="S85" i="2"/>
  <c r="T85" i="2"/>
  <c r="N148" i="2"/>
  <c r="S148" i="2"/>
  <c r="T148" i="2"/>
  <c r="N29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1" i="1"/>
  <c r="N118" i="2"/>
  <c r="S118" i="2"/>
  <c r="J101" i="1"/>
  <c r="H102" i="1"/>
  <c r="N376" i="2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N184" i="2"/>
  <c r="S184" i="2"/>
  <c r="J100" i="1"/>
  <c r="F115" i="3"/>
  <c r="T184" i="2"/>
  <c r="K100" i="1"/>
  <c r="G115" i="3"/>
  <c r="L100" i="1"/>
  <c r="I115" i="3"/>
  <c r="J115" i="3"/>
  <c r="H99" i="1"/>
  <c r="N267" i="2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N21" i="2"/>
  <c r="S21" i="2"/>
  <c r="H46" i="1"/>
  <c r="N22" i="2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H15" i="1"/>
  <c r="N179" i="2"/>
  <c r="S179" i="2"/>
  <c r="S183" i="2"/>
  <c r="N185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N332" i="2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N407" i="2"/>
  <c r="H73" i="1"/>
  <c r="N408" i="2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M52" i="2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3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2" i="1"/>
  <c r="N19" i="2"/>
  <c r="P19" i="2"/>
  <c r="O19" i="2"/>
  <c r="C19" i="2"/>
  <c r="B19" i="2"/>
  <c r="O29" i="2"/>
  <c r="H95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N294" i="2"/>
  <c r="O294" i="2"/>
  <c r="P294" i="2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P408" i="2"/>
  <c r="O408" i="2"/>
  <c r="P407" i="2"/>
  <c r="O407" i="2"/>
  <c r="N406" i="2"/>
  <c r="P406" i="2"/>
  <c r="O406" i="2"/>
  <c r="G42" i="1"/>
  <c r="M402" i="2"/>
  <c r="P399" i="2"/>
  <c r="O399" i="2"/>
  <c r="G57" i="1"/>
  <c r="M398" i="2"/>
  <c r="G14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83" i="1"/>
  <c r="M176" i="2"/>
  <c r="G72" i="1"/>
  <c r="M175" i="2"/>
  <c r="G82" i="1"/>
  <c r="M172" i="2"/>
  <c r="N171" i="2"/>
  <c r="P171" i="2"/>
  <c r="P349" i="2"/>
  <c r="O349" i="2"/>
  <c r="P348" i="2"/>
  <c r="O348" i="2"/>
  <c r="P343" i="2"/>
  <c r="O343" i="2"/>
  <c r="N342" i="2"/>
  <c r="P342" i="2"/>
  <c r="O342" i="2"/>
  <c r="G96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5" i="1"/>
  <c r="M281" i="2"/>
  <c r="P278" i="2"/>
  <c r="G94" i="1"/>
  <c r="H94" i="1"/>
  <c r="N275" i="2"/>
  <c r="P275" i="2"/>
  <c r="M270" i="2"/>
  <c r="P267" i="2"/>
  <c r="O267" i="2"/>
  <c r="P266" i="2"/>
  <c r="O266" i="2"/>
  <c r="M264" i="2"/>
  <c r="G89" i="1"/>
  <c r="M256" i="2"/>
  <c r="G65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<sst xmlns="http://schemas.openxmlformats.org/spreadsheetml/2006/main" count="1883" uniqueCount="544">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</sst>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/>
    <xf numFmtId="0" fontId="1" fillId="2" borderId="29" xfId="0" applyFont="1" applyFill="1" applyBorder="1" applyAlignment="1">
      <alignment horizontal="left"/>
    </xf>
    <xf numFmtId="0" fontId="12" fillId="4" borderId="0" xfId="0" applyFont="1" applyFill="1" applyBorder="1"/>
    <xf numFmtId="0" fontId="2" fillId="6" borderId="0" xfId="0" applyFont="1" applyFill="1" applyBorder="1"/>
  </cellXfs>
  <cellStyles count="1">
    <cellStyle name="Normal" xfId="0" builtinId="0"/>
  </cellStyles>
  <dxfs count="597"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S7" sqref="S7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7.5703125" style="27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51" x14ac:dyDescent="0.2">
      <c r="B1" s="122" t="s">
        <v>421</v>
      </c>
      <c r="C1" s="123" t="s">
        <v>416</v>
      </c>
      <c r="D1" s="122" t="s">
        <v>415</v>
      </c>
      <c r="E1" s="122" t="s">
        <v>420</v>
      </c>
      <c r="F1" s="123" t="s">
        <v>414</v>
      </c>
      <c r="G1" s="124" t="s">
        <v>410</v>
      </c>
      <c r="H1" s="123" t="s">
        <v>411</v>
      </c>
      <c r="I1" s="122" t="s">
        <v>162</v>
      </c>
      <c r="J1" s="124" t="s">
        <v>422</v>
      </c>
      <c r="K1" s="123" t="s">
        <v>412</v>
      </c>
      <c r="L1" s="122" t="s">
        <v>396</v>
      </c>
      <c r="M1" s="124" t="s">
        <v>423</v>
      </c>
      <c r="N1" s="123" t="s">
        <v>413</v>
      </c>
    </row>
    <row r="2" spans="1:25" x14ac:dyDescent="0.2">
      <c r="A2" s="27" t="s">
        <v>397</v>
      </c>
      <c r="B2" s="125">
        <v>1</v>
      </c>
      <c r="C2" s="126"/>
      <c r="D2" s="125">
        <v>1</v>
      </c>
      <c r="E2" s="125"/>
      <c r="F2" s="126"/>
      <c r="G2" s="125"/>
      <c r="H2" s="126"/>
      <c r="I2" s="125">
        <v>1</v>
      </c>
      <c r="J2" s="127"/>
      <c r="K2" s="126"/>
      <c r="L2" s="125">
        <v>1</v>
      </c>
      <c r="M2" s="127"/>
      <c r="N2" s="126"/>
      <c r="S2" s="27" t="s">
        <v>284</v>
      </c>
      <c r="T2" s="27" t="s">
        <v>285</v>
      </c>
      <c r="U2" s="27" t="s">
        <v>286</v>
      </c>
      <c r="V2" s="27" t="s">
        <v>287</v>
      </c>
      <c r="W2" s="27" t="s">
        <v>288</v>
      </c>
      <c r="X2" s="27" t="s">
        <v>289</v>
      </c>
      <c r="Y2" s="27" t="s">
        <v>290</v>
      </c>
    </row>
    <row r="3" spans="1:25" x14ac:dyDescent="0.2">
      <c r="A3" s="27" t="s">
        <v>417</v>
      </c>
      <c r="B3" s="125">
        <v>1</v>
      </c>
      <c r="C3" s="126"/>
      <c r="D3" s="125">
        <v>1</v>
      </c>
      <c r="E3" s="125">
        <v>1</v>
      </c>
      <c r="F3" s="126"/>
      <c r="G3" s="125">
        <v>1</v>
      </c>
      <c r="H3" s="126"/>
      <c r="I3" s="125">
        <v>1</v>
      </c>
      <c r="J3" s="127">
        <v>1</v>
      </c>
      <c r="K3" s="126"/>
      <c r="L3" s="125">
        <v>1</v>
      </c>
      <c r="M3" s="127">
        <v>1</v>
      </c>
      <c r="N3" s="126"/>
      <c r="R3" s="27" t="s">
        <v>431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398</v>
      </c>
      <c r="B4" s="125">
        <v>1</v>
      </c>
      <c r="C4" s="126"/>
      <c r="D4" s="125">
        <v>1</v>
      </c>
      <c r="E4" s="125">
        <v>1</v>
      </c>
      <c r="F4" s="126"/>
      <c r="G4" s="125">
        <v>1</v>
      </c>
      <c r="H4" s="126"/>
      <c r="I4" s="125">
        <v>1</v>
      </c>
      <c r="J4" s="127">
        <v>1</v>
      </c>
      <c r="K4" s="126"/>
      <c r="L4" s="125">
        <v>1</v>
      </c>
      <c r="M4" s="127">
        <v>1</v>
      </c>
      <c r="N4" s="126"/>
      <c r="R4" s="27" t="s">
        <v>432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  <c r="Y4" s="27">
        <v>2</v>
      </c>
    </row>
    <row r="5" spans="1:25" x14ac:dyDescent="0.2">
      <c r="A5" s="27" t="s">
        <v>399</v>
      </c>
      <c r="B5" s="125">
        <v>1</v>
      </c>
      <c r="C5" s="126"/>
      <c r="D5" s="125">
        <v>1</v>
      </c>
      <c r="E5" s="125">
        <v>1</v>
      </c>
      <c r="F5" s="126"/>
      <c r="G5" s="125">
        <v>1</v>
      </c>
      <c r="H5" s="126"/>
      <c r="I5" s="125">
        <v>1</v>
      </c>
      <c r="J5" s="127">
        <v>1</v>
      </c>
      <c r="K5" s="126"/>
      <c r="L5" s="125">
        <v>1</v>
      </c>
      <c r="M5" s="127">
        <v>1</v>
      </c>
      <c r="N5" s="126"/>
      <c r="R5" s="27" t="s">
        <v>433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400</v>
      </c>
      <c r="B6" s="125">
        <v>1</v>
      </c>
      <c r="C6" s="126"/>
      <c r="D6" s="125">
        <v>1</v>
      </c>
      <c r="E6" s="125">
        <v>1</v>
      </c>
      <c r="F6" s="126"/>
      <c r="G6" s="125">
        <v>1</v>
      </c>
      <c r="H6" s="126"/>
      <c r="I6" s="125">
        <v>1</v>
      </c>
      <c r="J6" s="127">
        <v>1</v>
      </c>
      <c r="K6" s="126"/>
      <c r="L6" s="125">
        <v>1</v>
      </c>
      <c r="M6" s="127">
        <v>1</v>
      </c>
      <c r="N6" s="126"/>
    </row>
    <row r="7" spans="1:25" x14ac:dyDescent="0.2">
      <c r="A7" s="27" t="s">
        <v>401</v>
      </c>
      <c r="B7" s="125">
        <v>1</v>
      </c>
      <c r="C7" s="126"/>
      <c r="D7" s="125">
        <v>1</v>
      </c>
      <c r="E7" s="125">
        <v>1</v>
      </c>
      <c r="F7" s="126"/>
      <c r="G7" s="125">
        <v>1</v>
      </c>
      <c r="H7" s="126"/>
      <c r="I7" s="125">
        <v>1</v>
      </c>
      <c r="J7" s="127">
        <v>1</v>
      </c>
      <c r="K7" s="126"/>
      <c r="L7" s="125">
        <v>1</v>
      </c>
      <c r="M7" s="127">
        <v>1</v>
      </c>
      <c r="N7" s="126"/>
    </row>
    <row r="8" spans="1:25" x14ac:dyDescent="0.2">
      <c r="A8" s="27" t="s">
        <v>402</v>
      </c>
      <c r="B8" s="125">
        <v>1</v>
      </c>
      <c r="C8" s="126"/>
      <c r="D8" s="125">
        <v>1</v>
      </c>
      <c r="E8" s="125">
        <v>1</v>
      </c>
      <c r="F8" s="126"/>
      <c r="G8" s="125">
        <v>1</v>
      </c>
      <c r="H8" s="126"/>
      <c r="I8" s="125">
        <v>1</v>
      </c>
      <c r="J8" s="127">
        <v>1</v>
      </c>
      <c r="K8" s="126"/>
      <c r="L8" s="125">
        <v>1</v>
      </c>
      <c r="M8" s="127">
        <v>1</v>
      </c>
      <c r="N8" s="126"/>
    </row>
    <row r="9" spans="1:25" x14ac:dyDescent="0.2">
      <c r="A9" s="27" t="s">
        <v>403</v>
      </c>
      <c r="B9" s="125">
        <v>1</v>
      </c>
      <c r="C9" s="126"/>
      <c r="D9" s="125">
        <v>1</v>
      </c>
      <c r="E9" s="125">
        <v>1</v>
      </c>
      <c r="F9" s="126"/>
      <c r="G9" s="125">
        <v>1</v>
      </c>
      <c r="H9" s="126"/>
      <c r="I9" s="125">
        <v>1</v>
      </c>
      <c r="J9" s="127">
        <v>1</v>
      </c>
      <c r="K9" s="126"/>
      <c r="L9" s="125">
        <v>1</v>
      </c>
      <c r="M9" s="127">
        <v>1</v>
      </c>
      <c r="N9" s="126"/>
    </row>
    <row r="10" spans="1:25" x14ac:dyDescent="0.2">
      <c r="A10" s="27" t="s">
        <v>404</v>
      </c>
      <c r="B10" s="125">
        <v>1</v>
      </c>
      <c r="C10" s="126"/>
      <c r="D10" s="125">
        <v>1</v>
      </c>
      <c r="E10" s="125">
        <v>1</v>
      </c>
      <c r="F10" s="126"/>
      <c r="G10" s="125"/>
      <c r="H10" s="126">
        <v>1</v>
      </c>
      <c r="I10" s="125">
        <v>1</v>
      </c>
      <c r="J10" s="127">
        <v>1</v>
      </c>
      <c r="K10" s="126"/>
      <c r="L10" s="125">
        <v>1</v>
      </c>
      <c r="M10" s="127">
        <v>1</v>
      </c>
      <c r="N10" s="126"/>
    </row>
    <row r="11" spans="1:25" x14ac:dyDescent="0.2">
      <c r="A11" s="27" t="s">
        <v>405</v>
      </c>
      <c r="B11" s="125">
        <v>1</v>
      </c>
      <c r="C11" s="126"/>
      <c r="D11" s="125">
        <v>1</v>
      </c>
      <c r="E11" s="125">
        <v>1</v>
      </c>
      <c r="F11" s="126"/>
      <c r="G11" s="125"/>
      <c r="H11" s="126">
        <v>1</v>
      </c>
      <c r="I11" s="125">
        <v>1</v>
      </c>
      <c r="J11" s="127">
        <v>1</v>
      </c>
      <c r="K11" s="126"/>
      <c r="L11" s="125">
        <v>1</v>
      </c>
      <c r="M11" s="127">
        <v>1</v>
      </c>
      <c r="N11" s="126"/>
    </row>
    <row r="12" spans="1:25" x14ac:dyDescent="0.2">
      <c r="A12" s="27" t="s">
        <v>406</v>
      </c>
      <c r="B12" s="125">
        <v>1</v>
      </c>
      <c r="C12" s="126"/>
      <c r="D12" s="125">
        <v>1</v>
      </c>
      <c r="E12" s="125">
        <v>1</v>
      </c>
      <c r="F12" s="126"/>
      <c r="G12" s="125"/>
      <c r="H12" s="126">
        <v>1</v>
      </c>
      <c r="I12" s="125">
        <v>1</v>
      </c>
      <c r="J12" s="127">
        <v>1</v>
      </c>
      <c r="K12" s="126"/>
      <c r="L12" s="125">
        <v>1</v>
      </c>
      <c r="M12" s="127">
        <v>1</v>
      </c>
      <c r="N12" s="126"/>
    </row>
    <row r="13" spans="1:25" x14ac:dyDescent="0.2">
      <c r="A13" s="27" t="s">
        <v>474</v>
      </c>
      <c r="B13" s="125"/>
      <c r="C13" s="126">
        <v>1</v>
      </c>
      <c r="D13" s="125">
        <v>1</v>
      </c>
      <c r="E13" s="125"/>
      <c r="F13" s="126">
        <v>1</v>
      </c>
      <c r="G13" s="125">
        <v>1</v>
      </c>
      <c r="H13" s="126"/>
      <c r="I13" s="125">
        <v>1</v>
      </c>
      <c r="J13" s="127"/>
      <c r="K13" s="126">
        <v>1</v>
      </c>
      <c r="L13" s="125">
        <v>1</v>
      </c>
      <c r="M13" s="127"/>
      <c r="N13" s="126">
        <v>1</v>
      </c>
    </row>
    <row r="14" spans="1:25" x14ac:dyDescent="0.2">
      <c r="A14" s="27" t="s">
        <v>407</v>
      </c>
      <c r="B14" s="125"/>
      <c r="C14" s="126">
        <v>1</v>
      </c>
      <c r="D14" s="125">
        <v>1</v>
      </c>
      <c r="E14" s="125"/>
      <c r="F14" s="126">
        <v>1</v>
      </c>
      <c r="G14" s="125">
        <v>1</v>
      </c>
      <c r="H14" s="126"/>
      <c r="I14" s="125">
        <v>1</v>
      </c>
      <c r="J14" s="127">
        <v>1</v>
      </c>
      <c r="K14" s="126"/>
      <c r="L14" s="125">
        <v>1</v>
      </c>
      <c r="M14" s="127">
        <v>1</v>
      </c>
      <c r="N14" s="126"/>
    </row>
    <row r="15" spans="1:25" x14ac:dyDescent="0.2">
      <c r="A15" s="27" t="s">
        <v>472</v>
      </c>
      <c r="B15" s="125"/>
      <c r="C15" s="126">
        <v>1</v>
      </c>
      <c r="D15" s="125">
        <v>1</v>
      </c>
      <c r="E15" s="125"/>
      <c r="F15" s="126">
        <v>1</v>
      </c>
      <c r="G15" s="125"/>
      <c r="H15" s="126">
        <v>1</v>
      </c>
      <c r="I15" s="125">
        <v>1</v>
      </c>
      <c r="J15" s="127">
        <v>1</v>
      </c>
      <c r="K15" s="126"/>
      <c r="L15" s="125">
        <v>1</v>
      </c>
      <c r="M15" s="127">
        <v>1</v>
      </c>
      <c r="N15" s="126"/>
    </row>
    <row r="16" spans="1:25" x14ac:dyDescent="0.2">
      <c r="A16" s="27" t="s">
        <v>473</v>
      </c>
      <c r="B16" s="125"/>
      <c r="C16" s="126">
        <v>1</v>
      </c>
      <c r="D16" s="125">
        <v>1</v>
      </c>
      <c r="E16" s="125"/>
      <c r="F16" s="126">
        <v>1</v>
      </c>
      <c r="G16" s="125"/>
      <c r="H16" s="126">
        <v>1</v>
      </c>
      <c r="I16" s="125">
        <v>1</v>
      </c>
      <c r="J16" s="127"/>
      <c r="K16" s="126">
        <v>1</v>
      </c>
      <c r="L16" s="125">
        <v>1</v>
      </c>
      <c r="M16" s="127"/>
      <c r="N16" s="126">
        <v>1</v>
      </c>
    </row>
    <row r="17" spans="1:14" x14ac:dyDescent="0.2">
      <c r="B17" s="125"/>
      <c r="C17" s="126"/>
      <c r="D17" s="125"/>
      <c r="E17" s="125"/>
      <c r="F17" s="126"/>
      <c r="G17" s="125"/>
      <c r="H17" s="126"/>
      <c r="I17" s="125"/>
      <c r="J17" s="127"/>
      <c r="K17" s="126"/>
      <c r="L17" s="125"/>
      <c r="M17" s="127"/>
      <c r="N17" s="126"/>
    </row>
    <row r="18" spans="1:14" x14ac:dyDescent="0.2">
      <c r="A18" s="128" t="s">
        <v>468</v>
      </c>
      <c r="B18" s="125">
        <f t="shared" ref="B18:N18" si="0">SUM(B2:B16)</f>
        <v>11</v>
      </c>
      <c r="C18" s="126">
        <f t="shared" si="0"/>
        <v>4</v>
      </c>
      <c r="D18" s="125">
        <f t="shared" si="0"/>
        <v>15</v>
      </c>
      <c r="E18" s="125">
        <f t="shared" si="0"/>
        <v>10</v>
      </c>
      <c r="F18" s="126">
        <f t="shared" si="0"/>
        <v>4</v>
      </c>
      <c r="G18" s="125">
        <f t="shared" si="0"/>
        <v>9</v>
      </c>
      <c r="H18" s="126">
        <f t="shared" si="0"/>
        <v>5</v>
      </c>
      <c r="I18" s="125">
        <f t="shared" si="0"/>
        <v>15</v>
      </c>
      <c r="J18" s="127">
        <f t="shared" si="0"/>
        <v>12</v>
      </c>
      <c r="K18" s="126">
        <f t="shared" si="0"/>
        <v>2</v>
      </c>
      <c r="L18" s="125">
        <f t="shared" si="0"/>
        <v>15</v>
      </c>
      <c r="M18" s="127">
        <f t="shared" si="0"/>
        <v>12</v>
      </c>
      <c r="N18" s="126">
        <f t="shared" si="0"/>
        <v>2</v>
      </c>
    </row>
    <row r="19" spans="1:14" x14ac:dyDescent="0.2">
      <c r="A19" s="128" t="s">
        <v>469</v>
      </c>
      <c r="B19" s="125">
        <f t="shared" ref="B19:N19" si="1">B18-B2-B3-B4</f>
        <v>8</v>
      </c>
      <c r="C19" s="126">
        <f t="shared" si="1"/>
        <v>4</v>
      </c>
      <c r="D19" s="125">
        <f t="shared" si="1"/>
        <v>12</v>
      </c>
      <c r="E19" s="125">
        <f t="shared" si="1"/>
        <v>8</v>
      </c>
      <c r="F19" s="126">
        <f t="shared" si="1"/>
        <v>4</v>
      </c>
      <c r="G19" s="125">
        <f t="shared" si="1"/>
        <v>7</v>
      </c>
      <c r="H19" s="126">
        <f t="shared" si="1"/>
        <v>5</v>
      </c>
      <c r="I19" s="125">
        <f t="shared" si="1"/>
        <v>12</v>
      </c>
      <c r="J19" s="127">
        <f t="shared" si="1"/>
        <v>10</v>
      </c>
      <c r="K19" s="126">
        <f t="shared" si="1"/>
        <v>2</v>
      </c>
      <c r="L19" s="125">
        <f t="shared" si="1"/>
        <v>12</v>
      </c>
      <c r="M19" s="127">
        <f t="shared" si="1"/>
        <v>10</v>
      </c>
      <c r="N19" s="126">
        <f t="shared" si="1"/>
        <v>2</v>
      </c>
    </row>
    <row r="20" spans="1:14" x14ac:dyDescent="0.2">
      <c r="B20" s="125"/>
      <c r="C20" s="126"/>
      <c r="D20" s="125"/>
      <c r="E20" s="125"/>
      <c r="F20" s="126"/>
      <c r="G20" s="125"/>
      <c r="H20" s="126"/>
      <c r="I20" s="125"/>
      <c r="J20" s="127"/>
      <c r="K20" s="126"/>
      <c r="L20" s="125"/>
      <c r="M20" s="127"/>
      <c r="N20" s="126"/>
    </row>
    <row r="21" spans="1:14" x14ac:dyDescent="0.2">
      <c r="A21" s="128" t="s">
        <v>470</v>
      </c>
      <c r="B21" s="125">
        <v>2</v>
      </c>
      <c r="C21" s="126">
        <v>2</v>
      </c>
      <c r="D21" s="127">
        <v>2</v>
      </c>
      <c r="E21" s="127">
        <v>4</v>
      </c>
      <c r="F21" s="126">
        <v>4</v>
      </c>
      <c r="G21" s="125">
        <v>4</v>
      </c>
      <c r="H21" s="126">
        <v>4</v>
      </c>
      <c r="I21" s="125">
        <v>2</v>
      </c>
      <c r="J21" s="127">
        <v>2</v>
      </c>
      <c r="K21" s="126">
        <v>2</v>
      </c>
      <c r="L21" s="125">
        <v>2</v>
      </c>
      <c r="M21" s="127">
        <v>2</v>
      </c>
      <c r="N21" s="126">
        <v>2</v>
      </c>
    </row>
    <row r="22" spans="1:14" x14ac:dyDescent="0.2">
      <c r="A22" s="128" t="s">
        <v>471</v>
      </c>
      <c r="B22" s="125">
        <v>5</v>
      </c>
      <c r="C22" s="126">
        <v>5</v>
      </c>
      <c r="D22" s="125">
        <v>5</v>
      </c>
      <c r="E22" s="125">
        <v>9</v>
      </c>
      <c r="F22" s="126">
        <v>9</v>
      </c>
      <c r="G22" s="125">
        <v>9</v>
      </c>
      <c r="H22" s="126">
        <v>9</v>
      </c>
      <c r="I22" s="125">
        <v>4</v>
      </c>
      <c r="J22" s="127">
        <v>4</v>
      </c>
      <c r="K22" s="126">
        <v>5</v>
      </c>
      <c r="L22" s="125">
        <v>4</v>
      </c>
      <c r="M22" s="127">
        <v>4</v>
      </c>
      <c r="N22" s="126">
        <v>4</v>
      </c>
    </row>
    <row r="23" spans="1:14" x14ac:dyDescent="0.2">
      <c r="B23" s="125"/>
      <c r="C23" s="126"/>
      <c r="D23" s="125"/>
      <c r="E23" s="125"/>
      <c r="F23" s="126"/>
      <c r="G23" s="125"/>
      <c r="H23" s="126"/>
      <c r="I23" s="125"/>
      <c r="J23" s="127"/>
      <c r="K23" s="126"/>
      <c r="L23" s="125"/>
      <c r="M23" s="127"/>
      <c r="N23" s="126"/>
    </row>
    <row r="24" spans="1:14" x14ac:dyDescent="0.2">
      <c r="A24" s="128" t="s">
        <v>283</v>
      </c>
      <c r="B24" s="129">
        <f>B21*B18+B22*B19</f>
        <v>62</v>
      </c>
      <c r="C24" s="130">
        <f t="shared" ref="C24:N24" si="2">C21*C18+C22*C19</f>
        <v>28</v>
      </c>
      <c r="D24" s="129">
        <f t="shared" si="2"/>
        <v>90</v>
      </c>
      <c r="E24" s="129">
        <f t="shared" si="2"/>
        <v>112</v>
      </c>
      <c r="F24" s="130">
        <f t="shared" si="2"/>
        <v>52</v>
      </c>
      <c r="G24" s="129">
        <f t="shared" si="2"/>
        <v>99</v>
      </c>
      <c r="H24" s="130">
        <f t="shared" si="2"/>
        <v>65</v>
      </c>
      <c r="I24" s="129">
        <f t="shared" si="2"/>
        <v>78</v>
      </c>
      <c r="J24" s="129">
        <f t="shared" si="2"/>
        <v>64</v>
      </c>
      <c r="K24" s="130">
        <f t="shared" si="2"/>
        <v>14</v>
      </c>
      <c r="L24" s="129">
        <f t="shared" si="2"/>
        <v>78</v>
      </c>
      <c r="M24" s="129">
        <f t="shared" si="2"/>
        <v>64</v>
      </c>
      <c r="N24" s="130">
        <f t="shared" si="2"/>
        <v>12</v>
      </c>
    </row>
    <row r="29" spans="1:14" x14ac:dyDescent="0.2">
      <c r="A29" s="99" t="s">
        <v>408</v>
      </c>
      <c r="B29" s="27" t="s">
        <v>419</v>
      </c>
    </row>
    <row r="30" spans="1:14" x14ac:dyDescent="0.2">
      <c r="A30" s="99" t="s">
        <v>409</v>
      </c>
      <c r="B30" s="27" t="s">
        <v>418</v>
      </c>
    </row>
    <row r="31" spans="1:14" x14ac:dyDescent="0.2">
      <c r="A31" s="99" t="s">
        <v>424</v>
      </c>
    </row>
    <row r="32" spans="1:14" x14ac:dyDescent="0.2">
      <c r="A32" s="27" t="s">
        <v>425</v>
      </c>
      <c r="B32" s="27" t="s">
        <v>467</v>
      </c>
    </row>
    <row r="33" spans="1:10" x14ac:dyDescent="0.2">
      <c r="A33" s="27" t="s">
        <v>426</v>
      </c>
    </row>
    <row r="34" spans="1:10" x14ac:dyDescent="0.2">
      <c r="A34" s="27" t="s">
        <v>427</v>
      </c>
    </row>
    <row r="35" spans="1:10" x14ac:dyDescent="0.2">
      <c r="A35" s="27" t="s">
        <v>428</v>
      </c>
    </row>
    <row r="36" spans="1:10" x14ac:dyDescent="0.2">
      <c r="A36" s="27" t="s">
        <v>429</v>
      </c>
    </row>
    <row r="37" spans="1:10" x14ac:dyDescent="0.2">
      <c r="A37" s="27" t="s">
        <v>430</v>
      </c>
    </row>
    <row r="41" spans="1:10" x14ac:dyDescent="0.2">
      <c r="B41" s="27" t="s">
        <v>284</v>
      </c>
      <c r="C41" s="27" t="s">
        <v>285</v>
      </c>
      <c r="D41" s="27" t="s">
        <v>286</v>
      </c>
      <c r="E41" s="27" t="s">
        <v>287</v>
      </c>
      <c r="F41" s="27" t="s">
        <v>288</v>
      </c>
      <c r="G41" s="27" t="s">
        <v>289</v>
      </c>
      <c r="H41" s="27" t="s">
        <v>290</v>
      </c>
    </row>
    <row r="42" spans="1:10" x14ac:dyDescent="0.2">
      <c r="A42" s="27">
        <v>2015</v>
      </c>
    </row>
    <row r="43" spans="1:10" x14ac:dyDescent="0.2">
      <c r="A43" s="27">
        <v>2016</v>
      </c>
      <c r="B43" s="27">
        <v>20</v>
      </c>
      <c r="C43" s="27">
        <v>20</v>
      </c>
      <c r="D43" s="27">
        <v>14</v>
      </c>
      <c r="E43" s="27">
        <v>14</v>
      </c>
      <c r="F43" s="27">
        <v>11</v>
      </c>
      <c r="G43" s="27">
        <v>11</v>
      </c>
      <c r="H43" s="27">
        <v>11</v>
      </c>
      <c r="J43" s="27">
        <f>SUM(B43:I43)</f>
        <v>101</v>
      </c>
    </row>
    <row r="44" spans="1:10" x14ac:dyDescent="0.2">
      <c r="A44" s="27">
        <v>2018</v>
      </c>
      <c r="B44" s="27">
        <v>15</v>
      </c>
      <c r="C44" s="27">
        <v>15</v>
      </c>
      <c r="D44" s="27">
        <v>12</v>
      </c>
      <c r="E44" s="27">
        <v>12</v>
      </c>
      <c r="F44" s="27">
        <v>12</v>
      </c>
      <c r="G44" s="27">
        <v>12</v>
      </c>
      <c r="H44" s="27">
        <v>12</v>
      </c>
      <c r="J44" s="27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topLeftCell="B134" zoomScaleNormal="100" workbookViewId="0">
      <selection activeCell="E158" sqref="E158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6" customFormat="1" ht="15.75" x14ac:dyDescent="0.25">
      <c r="A1" s="117" t="s">
        <v>527</v>
      </c>
      <c r="B1" s="117"/>
      <c r="C1" s="117"/>
      <c r="D1" s="117"/>
      <c r="E1" s="39" t="s">
        <v>351</v>
      </c>
      <c r="F1" s="84" t="s">
        <v>352</v>
      </c>
      <c r="G1" s="84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6" customFormat="1" ht="24" x14ac:dyDescent="0.2">
      <c r="A2" s="117" t="s">
        <v>368</v>
      </c>
      <c r="B2" s="117"/>
      <c r="C2" s="117"/>
      <c r="D2" s="117"/>
      <c r="E2" s="84" t="s">
        <v>39</v>
      </c>
      <c r="F2" s="73">
        <v>10</v>
      </c>
      <c r="G2" s="43"/>
      <c r="I2" s="65" t="s">
        <v>369</v>
      </c>
      <c r="J2" s="66" t="s">
        <v>370</v>
      </c>
      <c r="K2" s="66" t="s">
        <v>17</v>
      </c>
      <c r="L2" s="67" t="s">
        <v>373</v>
      </c>
      <c r="M2" s="65" t="s">
        <v>118</v>
      </c>
      <c r="N2" s="65" t="s">
        <v>119</v>
      </c>
      <c r="O2" s="65" t="s">
        <v>371</v>
      </c>
      <c r="P2" s="65" t="s">
        <v>372</v>
      </c>
      <c r="Q2" s="66" t="s">
        <v>296</v>
      </c>
      <c r="R2" s="65" t="s">
        <v>297</v>
      </c>
      <c r="S2" s="65" t="s">
        <v>298</v>
      </c>
      <c r="T2" s="65" t="s">
        <v>299</v>
      </c>
      <c r="U2" s="66" t="s">
        <v>22</v>
      </c>
      <c r="V2" s="66" t="s">
        <v>173</v>
      </c>
      <c r="W2" s="68" t="s">
        <v>296</v>
      </c>
      <c r="X2" s="66" t="s">
        <v>171</v>
      </c>
      <c r="Y2" s="66" t="s">
        <v>172</v>
      </c>
      <c r="Z2" s="66" t="s">
        <v>271</v>
      </c>
      <c r="AA2" s="66" t="s">
        <v>174</v>
      </c>
      <c r="AB2" s="68" t="s">
        <v>296</v>
      </c>
      <c r="AC2" s="66" t="s">
        <v>175</v>
      </c>
      <c r="AD2" s="66" t="s">
        <v>176</v>
      </c>
    </row>
    <row r="3" spans="1:30" s="86" customFormat="1" ht="13.5" thickBot="1" x14ac:dyDescent="0.3">
      <c r="A3" s="118" t="str">
        <f>_xlfn.CONCAT(F3," servings")</f>
        <v>15 servings</v>
      </c>
      <c r="B3" s="118"/>
      <c r="C3" s="118"/>
      <c r="D3" s="118"/>
      <c r="E3" s="84" t="s">
        <v>291</v>
      </c>
      <c r="F3" s="73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6" customFormat="1" ht="15.75" thickBot="1" x14ac:dyDescent="0.3">
      <c r="A4" s="116"/>
      <c r="B4" s="116"/>
      <c r="C4" s="116"/>
      <c r="D4" s="116"/>
      <c r="E4" s="84" t="s">
        <v>294</v>
      </c>
      <c r="F4" s="46">
        <f>F3/F2</f>
        <v>1.5</v>
      </c>
      <c r="G4" s="47" t="s">
        <v>353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6" customFormat="1" x14ac:dyDescent="0.25">
      <c r="A5" s="116" t="s">
        <v>355</v>
      </c>
      <c r="B5" s="116"/>
      <c r="C5" s="116"/>
      <c r="D5" s="116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6" customFormat="1" ht="15.75" thickBot="1" x14ac:dyDescent="0.3">
      <c r="A6" s="83" t="s">
        <v>21</v>
      </c>
      <c r="B6" s="48">
        <f t="shared" ref="B6" si="0">Q6</f>
        <v>3.75</v>
      </c>
      <c r="C6" s="35" t="str">
        <f t="shared" ref="C6" si="1">IF(L6="","",L6)</f>
        <v/>
      </c>
      <c r="D6" s="83" t="str">
        <f t="shared" ref="D6" si="2">_xlfn.CONCAT(K6, U6)</f>
        <v>tinned fruit salad</v>
      </c>
      <c r="E6" s="84" t="s">
        <v>283</v>
      </c>
      <c r="F6" s="86">
        <f>totFruitSalad</f>
        <v>90</v>
      </c>
      <c r="I6" s="50">
        <v>2.5</v>
      </c>
      <c r="J6" s="51"/>
      <c r="K6" s="51" t="s">
        <v>542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22.5</v>
      </c>
      <c r="V6" s="86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6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6" customFormat="1" ht="15.75" thickBot="1" x14ac:dyDescent="0.3">
      <c r="A7" s="83" t="s">
        <v>21</v>
      </c>
      <c r="B7" s="48">
        <f t="shared" ref="B7:B8" si="15">Q7</f>
        <v>3</v>
      </c>
      <c r="C7" s="35" t="str">
        <f t="shared" ref="C7:C8" si="16">IF(L7="","",L7)</f>
        <v/>
      </c>
      <c r="D7" s="83" t="str">
        <f t="shared" ref="D7:D8" si="17">_xlfn.CONCAT(K7, U7)</f>
        <v>chopped apples</v>
      </c>
      <c r="E7" s="84" t="s">
        <v>295</v>
      </c>
      <c r="F7" s="46">
        <f>F6/F3</f>
        <v>6</v>
      </c>
      <c r="G7" s="47" t="s">
        <v>354</v>
      </c>
      <c r="I7" s="50">
        <v>2</v>
      </c>
      <c r="J7" s="51"/>
      <c r="K7" s="51" t="s">
        <v>360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6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6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6" customFormat="1" x14ac:dyDescent="0.25">
      <c r="A8" s="83" t="s">
        <v>21</v>
      </c>
      <c r="B8" s="48">
        <f t="shared" si="15"/>
        <v>3</v>
      </c>
      <c r="C8" s="35" t="str">
        <f t="shared" si="16"/>
        <v/>
      </c>
      <c r="D8" s="83" t="str">
        <f t="shared" si="17"/>
        <v>sliced bananas</v>
      </c>
      <c r="I8" s="50">
        <v>2</v>
      </c>
      <c r="J8" s="51"/>
      <c r="K8" s="51" t="s">
        <v>361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6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6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6" customFormat="1" x14ac:dyDescent="0.25">
      <c r="A9" s="83" t="s">
        <v>21</v>
      </c>
      <c r="B9" s="48">
        <f t="shared" ref="B9:B10" si="30">Q9</f>
        <v>3</v>
      </c>
      <c r="C9" s="35" t="str">
        <f t="shared" ref="C9:C11" si="31">IF(L9="","",L9)</f>
        <v/>
      </c>
      <c r="D9" s="83" t="str">
        <f t="shared" ref="D9:D11" si="32">_xlfn.CONCAT(K9, U9)</f>
        <v>chopped pears</v>
      </c>
      <c r="I9" s="50">
        <v>2</v>
      </c>
      <c r="J9" s="51"/>
      <c r="K9" s="51" t="s">
        <v>362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6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6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6" customFormat="1" x14ac:dyDescent="0.25">
      <c r="A10" s="83" t="s">
        <v>21</v>
      </c>
      <c r="B10" s="48">
        <f t="shared" si="30"/>
        <v>3</v>
      </c>
      <c r="C10" s="35" t="str">
        <f t="shared" si="31"/>
        <v/>
      </c>
      <c r="D10" s="83" t="str">
        <f t="shared" si="32"/>
        <v>chopped peeled oranges</v>
      </c>
      <c r="I10" s="50">
        <v>2</v>
      </c>
      <c r="J10" s="51"/>
      <c r="K10" s="51" t="s">
        <v>363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MROUND(IF(L10 = "", IF(J10 = "", I10, IF(M10 &lt;&gt; 0, O10 / M10, P10 / N10))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6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6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6" customFormat="1" x14ac:dyDescent="0.25">
      <c r="A11" s="83" t="s">
        <v>21</v>
      </c>
      <c r="B11" s="48"/>
      <c r="C11" s="35" t="str">
        <f t="shared" si="31"/>
        <v/>
      </c>
      <c r="D11" s="83" t="str">
        <f t="shared" si="32"/>
        <v>grapes, if available</v>
      </c>
      <c r="K11" s="51" t="s">
        <v>365</v>
      </c>
      <c r="R11" s="43"/>
      <c r="S11" s="43"/>
      <c r="U11" s="86" t="s">
        <v>199</v>
      </c>
      <c r="V11" s="86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6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6" customFormat="1" x14ac:dyDescent="0.25">
      <c r="A12" s="116"/>
      <c r="B12" s="116"/>
      <c r="C12" s="116"/>
      <c r="D12" s="116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6" customFormat="1" x14ac:dyDescent="0.25">
      <c r="A13" s="116" t="s">
        <v>366</v>
      </c>
      <c r="B13" s="116"/>
      <c r="C13" s="116"/>
      <c r="D13" s="116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7" t="s">
        <v>528</v>
      </c>
      <c r="B14" s="117"/>
      <c r="C14" s="117"/>
      <c r="D14" s="117"/>
      <c r="E14" s="39" t="s">
        <v>272</v>
      </c>
      <c r="F14" s="84" t="s">
        <v>375</v>
      </c>
      <c r="G14" s="84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7" t="s">
        <v>367</v>
      </c>
      <c r="B15" s="117"/>
      <c r="C15" s="117"/>
      <c r="D15" s="117"/>
      <c r="E15" s="61" t="s">
        <v>39</v>
      </c>
      <c r="F15" s="100">
        <v>10</v>
      </c>
      <c r="G15" s="43"/>
      <c r="I15" s="65" t="s">
        <v>369</v>
      </c>
      <c r="J15" s="66" t="s">
        <v>370</v>
      </c>
      <c r="K15" s="66" t="s">
        <v>17</v>
      </c>
      <c r="L15" s="67" t="s">
        <v>373</v>
      </c>
      <c r="M15" s="65" t="s">
        <v>118</v>
      </c>
      <c r="N15" s="65" t="s">
        <v>119</v>
      </c>
      <c r="O15" s="65" t="s">
        <v>371</v>
      </c>
      <c r="P15" s="65" t="s">
        <v>372</v>
      </c>
      <c r="Q15" s="66" t="s">
        <v>296</v>
      </c>
      <c r="R15" s="65" t="s">
        <v>297</v>
      </c>
      <c r="S15" s="65" t="s">
        <v>298</v>
      </c>
      <c r="T15" s="65" t="s">
        <v>299</v>
      </c>
      <c r="U15" s="66" t="s">
        <v>22</v>
      </c>
      <c r="V15" s="66" t="s">
        <v>173</v>
      </c>
      <c r="W15" s="68" t="s">
        <v>296</v>
      </c>
      <c r="X15" s="66" t="s">
        <v>171</v>
      </c>
      <c r="Y15" s="66" t="s">
        <v>172</v>
      </c>
      <c r="Z15" s="66" t="s">
        <v>271</v>
      </c>
      <c r="AA15" s="66" t="s">
        <v>174</v>
      </c>
      <c r="AB15" s="68" t="s">
        <v>296</v>
      </c>
      <c r="AC15" s="66" t="s">
        <v>175</v>
      </c>
      <c r="AD15" s="66" t="s">
        <v>176</v>
      </c>
    </row>
    <row r="16" spans="1:30" s="62" customFormat="1" ht="13.5" thickBot="1" x14ac:dyDescent="0.3">
      <c r="A16" s="118" t="str">
        <f>_xlfn.CONCAT(F16," servings")</f>
        <v>15 servings</v>
      </c>
      <c r="B16" s="118"/>
      <c r="C16" s="118"/>
      <c r="D16" s="118"/>
      <c r="E16" s="61" t="s">
        <v>291</v>
      </c>
      <c r="F16" s="73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6" customFormat="1" ht="15.75" thickBot="1" x14ac:dyDescent="0.3">
      <c r="A17" s="116"/>
      <c r="B17" s="116"/>
      <c r="C17" s="116"/>
      <c r="D17" s="116"/>
      <c r="E17" s="61" t="s">
        <v>294</v>
      </c>
      <c r="F17" s="46">
        <f>F16/F15</f>
        <v>1.5</v>
      </c>
      <c r="G17" s="47" t="s">
        <v>292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16" t="s">
        <v>281</v>
      </c>
      <c r="B18" s="116"/>
      <c r="C18" s="116"/>
      <c r="D18" s="116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283</v>
      </c>
      <c r="F19" s="62">
        <f>totSalad</f>
        <v>78</v>
      </c>
      <c r="H19" s="49"/>
      <c r="I19" s="50">
        <v>0.5</v>
      </c>
      <c r="J19" s="51"/>
      <c r="K19" s="51" t="s">
        <v>275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>MROUND(IF(L19 = "", IF(J19 = "", I19, IF(M19 &lt;&gt; 0, O19 / M19, P19 / N19)) * recipe14DayScale, IF(ISNA(CONVERT(O19, "kg", L19)), CONVERT(P19 * recipe14DayScale, "l", L19), CONVERT(O19 * recipe14DayScale, "kg", L19))), roundTo)</f>
        <v>0.75</v>
      </c>
      <c r="R19" s="43">
        <f t="shared" ref="R19:R23" si="52">recipe14TotScale * IF(L19 = "", Q19 * M19, IF(ISNA(CONVERT(Q19, L19, "kg")), CONVERT(Q19, L19, "l") * IF(N19 &lt;&gt; 0, M19 / N19, 0), CONVERT(Q19, L19, "kg")))</f>
        <v>1.1934</v>
      </c>
      <c r="S19" s="43">
        <f t="shared" ref="S19:S23" si="53">recipe14TotScale * IF(R19 = 0, IF(L19 = "", Q19 * N19, IF(ISNA(CONVERT(Q19, L19, "l")), CONVERT(Q19, L19, "kg") * IF(M19 &lt;&gt; 0, N19 / M19, 0), CONVERT(Q19, L19, "l"))), 0)</f>
        <v>0</v>
      </c>
      <c r="T19" s="43">
        <f t="shared" ref="T19:T23" si="54">recipe14TotScale * IF(AND(R19 = 0, S19 = 0, J19 = "", L19 = ""), Q19, 0)</f>
        <v>0</v>
      </c>
      <c r="V19" s="62" t="b">
        <f t="shared" ref="V19:V26" si="55">INDEX(itemPrepMethods, MATCH(K19, itemNames, 0))="chop"</f>
        <v>1</v>
      </c>
      <c r="W19" s="53">
        <f t="shared" ref="W19:W26" si="56">IF(V19, Q19, "")</f>
        <v>0.75</v>
      </c>
      <c r="X19" s="54" t="str">
        <f t="shared" ref="X19:X26" si="57">IF(V19, IF(L19 = "", "", L19), "")</f>
        <v/>
      </c>
      <c r="Y19" s="54" t="str">
        <f t="shared" ref="Y19:Y26" si="58">IF(V19, K19, "")</f>
        <v>sliced cucumbers</v>
      </c>
      <c r="Z19" s="55"/>
      <c r="AA19" s="62" t="b">
        <f t="shared" ref="AA19:AA26" si="59">INDEX(itemPrepMethods, MATCH(K19, itemNames, 0))="soak"</f>
        <v>0</v>
      </c>
      <c r="AB19" s="54" t="str">
        <f t="shared" ref="AB19:AB26" si="60">IF(AA19, Q19, "")</f>
        <v/>
      </c>
      <c r="AC19" s="54" t="str">
        <f t="shared" ref="AC19:AC26" si="61">IF(AA19, IF(L19 = "", "", L19), "")</f>
        <v/>
      </c>
      <c r="AD19" s="54" t="str">
        <f t="shared" ref="AD19:AD26" si="62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295</v>
      </c>
      <c r="F20" s="46">
        <f>F19/F16</f>
        <v>5.2</v>
      </c>
      <c r="G20" s="47" t="s">
        <v>293</v>
      </c>
      <c r="H20" s="49"/>
      <c r="I20" s="50">
        <v>0.5</v>
      </c>
      <c r="J20" s="51"/>
      <c r="K20" s="51" t="s">
        <v>276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>MROUND(IF(L20 = "", IF(J20 = "", I20, IF(M20 &lt;&gt; 0, O20 / M20, P20 / N20)) * recipe14DayScale, IF(ISNA(CONVERT(O20, "kg", L20)), CONVERT(P20 * recipe14DayScale, "l", L20), CONVERT(O20 * recipe14DayScale, "kg", L20))), roundTo)</f>
        <v>1</v>
      </c>
      <c r="R20" s="43">
        <f t="shared" si="52"/>
        <v>0.6531199903379814</v>
      </c>
      <c r="S20" s="43">
        <f t="shared" si="53"/>
        <v>0</v>
      </c>
      <c r="T20" s="43">
        <f t="shared" si="54"/>
        <v>0</v>
      </c>
      <c r="V20" s="62" t="b">
        <f t="shared" si="55"/>
        <v>1</v>
      </c>
      <c r="W20" s="53">
        <f t="shared" si="56"/>
        <v>1</v>
      </c>
      <c r="X20" s="54" t="str">
        <f t="shared" si="57"/>
        <v>cup</v>
      </c>
      <c r="Y20" s="54" t="str">
        <f t="shared" si="58"/>
        <v>grated carrots</v>
      </c>
      <c r="Z20" s="55"/>
      <c r="AA20" s="62" t="b">
        <f t="shared" si="59"/>
        <v>0</v>
      </c>
      <c r="AB20" s="54" t="str">
        <f t="shared" si="60"/>
        <v/>
      </c>
      <c r="AC20" s="54" t="str">
        <f t="shared" si="61"/>
        <v/>
      </c>
      <c r="AD20" s="54" t="str">
        <f t="shared" si="62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146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>MROUND(IF(L21 = "", IF(J21 = "", I21, IF(M21 &lt;&gt; 0, O21 / M21, P21 / N21)) * recipe14DayScale, IF(ISNA(CONVERT(O21, "kg", L21)), CONVERT(P21 * recipe14DayScale, "l", L21), CONVERT(O21 * recipe14DayScale, "kg", L21))), roundTo)</f>
        <v>2.25</v>
      </c>
      <c r="R21" s="43">
        <f t="shared" si="52"/>
        <v>1.1700000000000002</v>
      </c>
      <c r="S21" s="43">
        <f t="shared" si="53"/>
        <v>0</v>
      </c>
      <c r="T21" s="43">
        <f t="shared" si="54"/>
        <v>0</v>
      </c>
      <c r="V21" s="62" t="b">
        <f t="shared" si="55"/>
        <v>1</v>
      </c>
      <c r="W21" s="53">
        <f t="shared" si="56"/>
        <v>2.25</v>
      </c>
      <c r="X21" s="54" t="str">
        <f t="shared" si="57"/>
        <v/>
      </c>
      <c r="Y21" s="54" t="str">
        <f t="shared" si="58"/>
        <v>sliced celery stalks</v>
      </c>
      <c r="Z21" s="55"/>
      <c r="AA21" s="62" t="b">
        <f t="shared" si="59"/>
        <v>0</v>
      </c>
      <c r="AB21" s="54" t="str">
        <f t="shared" si="60"/>
        <v/>
      </c>
      <c r="AC21" s="54" t="str">
        <f t="shared" si="61"/>
        <v/>
      </c>
      <c r="AD21" s="54" t="str">
        <f t="shared" si="62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277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>MROUND(IF(L22 = "", IF(J22 = "", I22, IF(M22 &lt;&gt; 0, O22 / M22, P22 / N22)) * recipe14DayScale, IF(ISNA(CONVERT(O22, "kg", L22)), CONVERT(P22 * recipe14DayScale, "l", L22), CONVERT(O22 * recipe14DayScale, "kg", L22))), roundTo)</f>
        <v>0.75</v>
      </c>
      <c r="R22" s="43">
        <f t="shared" si="52"/>
        <v>0.77610000000000001</v>
      </c>
      <c r="S22" s="43">
        <f t="shared" si="53"/>
        <v>0</v>
      </c>
      <c r="T22" s="43">
        <f t="shared" si="54"/>
        <v>0</v>
      </c>
      <c r="V22" s="62" t="b">
        <f t="shared" si="55"/>
        <v>1</v>
      </c>
      <c r="W22" s="53">
        <f t="shared" si="56"/>
        <v>0.75</v>
      </c>
      <c r="X22" s="54" t="str">
        <f t="shared" si="57"/>
        <v/>
      </c>
      <c r="Y22" s="54" t="str">
        <f t="shared" si="58"/>
        <v>sliced green capsicums</v>
      </c>
      <c r="Z22" s="55"/>
      <c r="AA22" s="62" t="b">
        <f t="shared" si="59"/>
        <v>0</v>
      </c>
      <c r="AB22" s="54" t="str">
        <f t="shared" si="60"/>
        <v/>
      </c>
      <c r="AC22" s="54" t="str">
        <f t="shared" si="61"/>
        <v/>
      </c>
      <c r="AD22" s="54" t="str">
        <f t="shared" si="62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340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>MROUND(IF(L23 = "", IF(J23 = "", I23, IF(M23 &lt;&gt; 0, O23 / M23, P23 / N23)) * recipe14DayScale, IF(ISNA(CONVERT(O23, "kg", L23)), CONVERT(P23 * recipe14DayScale, "l", L23), CONVERT(O23 * recipe14DayScale, "kg", L23))), roundTo)</f>
        <v>1.5</v>
      </c>
      <c r="R23" s="43">
        <f t="shared" si="52"/>
        <v>6.5832000000000006</v>
      </c>
      <c r="S23" s="43">
        <f t="shared" si="53"/>
        <v>0</v>
      </c>
      <c r="T23" s="43">
        <f t="shared" si="54"/>
        <v>0</v>
      </c>
      <c r="V23" s="62" t="b">
        <f t="shared" si="55"/>
        <v>1</v>
      </c>
      <c r="W23" s="53">
        <f t="shared" si="56"/>
        <v>1.5</v>
      </c>
      <c r="X23" s="54" t="str">
        <f t="shared" si="57"/>
        <v/>
      </c>
      <c r="Y23" s="54" t="str">
        <f t="shared" si="58"/>
        <v>coarsely chopped lettuces</v>
      </c>
      <c r="Z23" s="55" t="s">
        <v>374</v>
      </c>
      <c r="AA23" s="62" t="b">
        <f t="shared" si="59"/>
        <v>0</v>
      </c>
      <c r="AB23" s="54" t="str">
        <f t="shared" si="60"/>
        <v/>
      </c>
      <c r="AC23" s="54" t="str">
        <f t="shared" si="61"/>
        <v/>
      </c>
      <c r="AD23" s="54" t="str">
        <f t="shared" si="62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278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376</v>
      </c>
      <c r="V24" s="62" t="b">
        <f t="shared" si="55"/>
        <v>0</v>
      </c>
      <c r="W24" s="53" t="str">
        <f t="shared" si="56"/>
        <v/>
      </c>
      <c r="X24" s="54" t="str">
        <f t="shared" si="57"/>
        <v/>
      </c>
      <c r="Y24" s="54" t="str">
        <f t="shared" si="58"/>
        <v/>
      </c>
      <c r="Z24" s="55"/>
      <c r="AA24" s="62" t="b">
        <f t="shared" si="59"/>
        <v>0</v>
      </c>
      <c r="AB24" s="54" t="str">
        <f t="shared" si="60"/>
        <v/>
      </c>
      <c r="AC24" s="54" t="str">
        <f t="shared" si="61"/>
        <v/>
      </c>
      <c r="AD24" s="54" t="str">
        <f t="shared" si="62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279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199</v>
      </c>
      <c r="V25" s="62" t="b">
        <f t="shared" si="55"/>
        <v>0</v>
      </c>
      <c r="W25" s="53" t="str">
        <f t="shared" si="56"/>
        <v/>
      </c>
      <c r="X25" s="54" t="str">
        <f t="shared" si="57"/>
        <v/>
      </c>
      <c r="Y25" s="54" t="str">
        <f t="shared" si="58"/>
        <v/>
      </c>
      <c r="Z25" s="55"/>
      <c r="AA25" s="62" t="b">
        <f t="shared" si="59"/>
        <v>0</v>
      </c>
      <c r="AB25" s="54" t="str">
        <f t="shared" si="60"/>
        <v/>
      </c>
      <c r="AC25" s="54" t="str">
        <f t="shared" si="61"/>
        <v/>
      </c>
      <c r="AD25" s="54" t="str">
        <f t="shared" si="62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280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5"/>
        <v>0</v>
      </c>
      <c r="W26" s="53" t="str">
        <f t="shared" si="56"/>
        <v/>
      </c>
      <c r="X26" s="54" t="str">
        <f t="shared" si="57"/>
        <v/>
      </c>
      <c r="Y26" s="54" t="str">
        <f t="shared" si="58"/>
        <v/>
      </c>
      <c r="Z26" s="55"/>
      <c r="AA26" s="62" t="b">
        <f t="shared" si="59"/>
        <v>0</v>
      </c>
      <c r="AB26" s="54" t="str">
        <f t="shared" si="60"/>
        <v/>
      </c>
      <c r="AC26" s="54" t="str">
        <f t="shared" si="61"/>
        <v/>
      </c>
      <c r="AD26" s="54" t="str">
        <f t="shared" si="62"/>
        <v/>
      </c>
    </row>
    <row r="27" spans="1:30" s="64" customFormat="1" x14ac:dyDescent="0.25">
      <c r="A27" s="116"/>
      <c r="B27" s="116"/>
      <c r="C27" s="116"/>
      <c r="D27" s="116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16" t="s">
        <v>339</v>
      </c>
      <c r="B28" s="116"/>
      <c r="C28" s="116"/>
      <c r="D28" s="116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273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MROUND(IF(L29 = "", IF(J29 = "", I29, IF(M29 &lt;&gt; 0, O29 / M29, P29 / N29))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16"/>
      <c r="B30" s="116"/>
      <c r="C30" s="116"/>
      <c r="D30" s="116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16" t="s">
        <v>338</v>
      </c>
      <c r="B31" s="116"/>
      <c r="C31" s="116"/>
      <c r="D31" s="116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7" t="s">
        <v>530</v>
      </c>
      <c r="B32" s="117"/>
      <c r="C32" s="117"/>
      <c r="D32" s="117"/>
      <c r="E32" s="39" t="s">
        <v>158</v>
      </c>
      <c r="F32" s="84"/>
      <c r="G32" s="84"/>
    </row>
    <row r="33" spans="1:30" ht="24" x14ac:dyDescent="0.2">
      <c r="A33" s="117" t="s">
        <v>327</v>
      </c>
      <c r="B33" s="117"/>
      <c r="C33" s="117"/>
      <c r="D33" s="117"/>
      <c r="E33" s="38" t="s">
        <v>39</v>
      </c>
      <c r="F33" s="73">
        <v>4</v>
      </c>
      <c r="G33" s="43"/>
      <c r="I33" s="65" t="s">
        <v>369</v>
      </c>
      <c r="J33" s="66" t="s">
        <v>370</v>
      </c>
      <c r="K33" s="66" t="s">
        <v>17</v>
      </c>
      <c r="L33" s="67" t="s">
        <v>373</v>
      </c>
      <c r="M33" s="65" t="s">
        <v>118</v>
      </c>
      <c r="N33" s="65" t="s">
        <v>119</v>
      </c>
      <c r="O33" s="65" t="s">
        <v>371</v>
      </c>
      <c r="P33" s="65" t="s">
        <v>372</v>
      </c>
      <c r="Q33" s="66" t="s">
        <v>296</v>
      </c>
      <c r="R33" s="65" t="s">
        <v>297</v>
      </c>
      <c r="S33" s="65" t="s">
        <v>298</v>
      </c>
      <c r="T33" s="65" t="s">
        <v>299</v>
      </c>
      <c r="U33" s="66" t="s">
        <v>22</v>
      </c>
      <c r="V33" s="66" t="s">
        <v>173</v>
      </c>
      <c r="W33" s="68" t="s">
        <v>296</v>
      </c>
      <c r="X33" s="66" t="s">
        <v>171</v>
      </c>
      <c r="Y33" s="66" t="s">
        <v>172</v>
      </c>
      <c r="Z33" s="66" t="s">
        <v>271</v>
      </c>
      <c r="AA33" s="66" t="s">
        <v>174</v>
      </c>
      <c r="AB33" s="68" t="s">
        <v>296</v>
      </c>
      <c r="AC33" s="66" t="s">
        <v>175</v>
      </c>
      <c r="AD33" s="66" t="s">
        <v>176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8" t="s">
        <v>291</v>
      </c>
      <c r="F34" s="73">
        <v>4</v>
      </c>
      <c r="G34" s="43"/>
      <c r="I34" s="43"/>
    </row>
    <row r="35" spans="1:30" s="86" customFormat="1" ht="15.75" thickBot="1" x14ac:dyDescent="0.3">
      <c r="A35" s="116"/>
      <c r="B35" s="116"/>
      <c r="C35" s="116"/>
      <c r="D35" s="116"/>
      <c r="E35" s="38" t="s">
        <v>294</v>
      </c>
      <c r="F35" s="46">
        <f>F34/F33</f>
        <v>1</v>
      </c>
      <c r="G35" s="47" t="s">
        <v>300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16" t="s">
        <v>328</v>
      </c>
      <c r="B36" s="116"/>
      <c r="C36" s="116"/>
      <c r="D36" s="116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3">_xlfn.CONCAT(K37, U37)</f>
        <v>minced fresh ginger</v>
      </c>
      <c r="E37" s="61" t="s">
        <v>283</v>
      </c>
      <c r="F37" s="62">
        <f>totSafeLunch + totSafeDinner</f>
        <v>26</v>
      </c>
      <c r="G37" s="62"/>
      <c r="H37" s="49"/>
      <c r="I37" s="50">
        <v>2</v>
      </c>
      <c r="J37" s="51" t="s">
        <v>15</v>
      </c>
      <c r="K37" s="51" t="s">
        <v>192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MROUND(IF(L37 = "", IF(J37 = "", I37, IF(M37 &lt;&gt; 0, O37 / M37, P37 / N37))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0.19222794215625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3"/>
        <v>finely chopped fresh corriander</v>
      </c>
      <c r="E38" s="61" t="s">
        <v>295</v>
      </c>
      <c r="F38" s="46">
        <f>F37/F34</f>
        <v>6.5</v>
      </c>
      <c r="G38" s="47" t="s">
        <v>301</v>
      </c>
      <c r="H38" s="49"/>
      <c r="I38" s="50">
        <v>1</v>
      </c>
      <c r="J38" s="51" t="s">
        <v>15</v>
      </c>
      <c r="K38" s="51" t="s">
        <v>329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MROUND(IF(L38 = "", IF(J38 = "", I38, IF(M38 &lt;&gt; 0, O38 / M38, P38 / N38))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9.6113971078124999E-2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1.5</v>
      </c>
      <c r="C39" s="35" t="str">
        <f>IF(L39="","",L39)</f>
        <v/>
      </c>
      <c r="D39" s="60" t="str">
        <f t="shared" si="63"/>
        <v>blocks tofu, cut into cubes</v>
      </c>
      <c r="H39" s="49"/>
      <c r="I39" s="50">
        <v>3</v>
      </c>
      <c r="J39" s="51" t="s">
        <v>16</v>
      </c>
      <c r="K39" s="51" t="s">
        <v>231</v>
      </c>
      <c r="L39" s="52"/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MROUND(IF(L39 = "", IF(J39 = "", I39, IF(M39 &lt;&gt; 0, O39 / M39, P39 / N39)) * recipe13DayScale, IF(ISNA(CONVERT(O39, "kg", L39)), CONVERT(P39 * recipe13DayScale, "l", L39), CONVERT(O39 * recipe13DayScale, "kg", L39))), roundTo)</f>
        <v>1.5</v>
      </c>
      <c r="R39" s="43">
        <f>recipe13TotScale * IF(L39 = "", Q39 * M39, IF(ISNA(CONVERT(Q39, L39, "kg")), CONVERT(Q39, L39, "l") * IF(N39 &lt;&gt; 0, M39 / N39, 0), CONVERT(Q39, L39, "kg")))</f>
        <v>3.0322500000000003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1.5</v>
      </c>
      <c r="X39" s="54" t="str">
        <f>IF(V39, IF(L39 = "", "", L39), "")</f>
        <v/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16"/>
      <c r="B40" s="116"/>
      <c r="C40" s="116"/>
      <c r="D40" s="116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16" t="s">
        <v>94</v>
      </c>
      <c r="B41" s="116"/>
      <c r="C41" s="116"/>
      <c r="D41" s="116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4">Q42</f>
        <v>1</v>
      </c>
      <c r="C42" s="35" t="str">
        <f t="shared" ref="C42:C53" si="65">IF(L42="","",L42)</f>
        <v>cup</v>
      </c>
      <c r="D42" s="60" t="str">
        <f t="shared" ref="D42:D53" si="66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7">INDEX(itemGPerQty, MATCH(K42, itemNames, 0))</f>
        <v>0.14833333333333334</v>
      </c>
      <c r="N42" s="43">
        <f t="shared" ref="N42:N53" si="68">INDEX(itemMlPerQty, MATCH(K42, itemNames, 0))</f>
        <v>0.19999999999999998</v>
      </c>
      <c r="O42" s="43">
        <f t="shared" ref="O42:O53" si="69">IF(J42 = "", I42 * M42, IF(ISNA(CONVERT(I42, J42, "kg")), CONVERT(I42, J42, "l") * IF(N42 &lt;&gt; 0, M42 / N42, 0), CONVERT(I42, J42, "kg")))</f>
        <v>0.17546960873750003</v>
      </c>
      <c r="P42" s="43">
        <f t="shared" ref="P42:P53" si="70">IF(J42 = "", I42 * N42, IF(ISNA(CONVERT(I42, J42, "l")), CONVERT(I42, J42, "kg") * IF(M42 &lt;&gt; 0, N42 / M42, 0), CONVERT(I42, J42, "l")))</f>
        <v>0.23658823649999999</v>
      </c>
      <c r="Q42" s="43">
        <f>MROUND(IF(L42 = "", IF(J42 = "", I42, IF(M42 &lt;&gt; 0, O42 / M42, P42 / N42)) * recipe13DayScale, IF(ISNA(CONVERT(O42, "kg", L42)), CONVERT(P42 * recipe13DayScale, "l", L42), CONVERT(O42 * recipe13DayScale, "kg", L42))), roundTo)</f>
        <v>1</v>
      </c>
      <c r="R42" s="43">
        <f t="shared" ref="R42:R53" si="71">recipe13TotScale * IF(L42 = "", Q42 * M42, IF(ISNA(CONVERT(Q42, L42, "kg")), CONVERT(Q42, L42, "l") * IF(N42 &lt;&gt; 0, M42 / N42, 0), CONVERT(Q42, L42, "kg")))</f>
        <v>1.1405524567937502</v>
      </c>
      <c r="S42" s="43">
        <f t="shared" ref="S42:S53" si="72">recipe13TotScale * IF(R42 = 0, IF(L42 = "", Q42 * N42, IF(ISNA(CONVERT(Q42, L42, "l")), CONVERT(Q42, L42, "kg") * IF(M42 &lt;&gt; 0, N42 / M42, 0), CONVERT(Q42, L42, "l"))), 0)</f>
        <v>0</v>
      </c>
      <c r="T42" s="43">
        <f t="shared" ref="T42:T53" si="73">recipe13TotScale * IF(AND(R42 = 0, S42 = 0, J42 = "", L42 = ""), Q42, 0)</f>
        <v>0</v>
      </c>
      <c r="V42" s="40" t="b">
        <f t="shared" ref="V42:V53" si="74">INDEX(itemPrepMethods, MATCH(K42, itemNames, 0))="chop"</f>
        <v>1</v>
      </c>
      <c r="W42" s="53">
        <f t="shared" ref="W42:W53" si="75">IF(V42, Q42, "")</f>
        <v>1</v>
      </c>
      <c r="X42" s="54" t="str">
        <f t="shared" ref="X42:X53" si="76">IF(V42, IF(L42 = "", "", L42), "")</f>
        <v>cup</v>
      </c>
      <c r="Y42" s="54" t="str">
        <f t="shared" ref="Y42:Y53" si="77">IF(V42, K42, "")</f>
        <v>chopped carrots</v>
      </c>
      <c r="Z42" s="55"/>
      <c r="AA42" s="40" t="b">
        <f t="shared" ref="AA42:AA53" si="78">INDEX(itemPrepMethods, MATCH(K42, itemNames, 0))="soak"</f>
        <v>0</v>
      </c>
      <c r="AB42" s="54" t="str">
        <f t="shared" ref="AB42:AB53" si="79">IF(AA42, Q42, "")</f>
        <v/>
      </c>
      <c r="AC42" s="54" t="str">
        <f t="shared" ref="AC42:AC53" si="80">IF(AA42, IF(L42 = "", "", L42), "")</f>
        <v/>
      </c>
      <c r="AD42" s="54" t="str">
        <f t="shared" ref="AD42:AD53" si="81">IF(AA42, K42, "")</f>
        <v/>
      </c>
    </row>
    <row r="43" spans="1:30" x14ac:dyDescent="0.25">
      <c r="A43" s="36" t="s">
        <v>21</v>
      </c>
      <c r="B43" s="48">
        <f t="shared" si="64"/>
        <v>2</v>
      </c>
      <c r="C43" s="35" t="str">
        <f t="shared" si="65"/>
        <v>cup</v>
      </c>
      <c r="D43" s="60" t="str">
        <f t="shared" si="66"/>
        <v>chopped kumara</v>
      </c>
      <c r="H43" s="49"/>
      <c r="I43" s="50">
        <v>2</v>
      </c>
      <c r="J43" s="51" t="s">
        <v>16</v>
      </c>
      <c r="K43" s="51" t="s">
        <v>128</v>
      </c>
      <c r="L43" s="52" t="s">
        <v>16</v>
      </c>
      <c r="M43" s="43">
        <f t="shared" si="67"/>
        <v>0.30149999999999999</v>
      </c>
      <c r="N43" s="43">
        <f t="shared" si="68"/>
        <v>0.57499999999999996</v>
      </c>
      <c r="O43" s="43">
        <f t="shared" si="69"/>
        <v>0.24810905497304347</v>
      </c>
      <c r="P43" s="43">
        <f t="shared" si="70"/>
        <v>0.47317647299999999</v>
      </c>
      <c r="Q43" s="43">
        <f>MROUND(IF(L43 = "", IF(J43 = "", I43, IF(M43 &lt;&gt; 0, O43 / M43, P43 / N43)) * recipe13DayScale, IF(ISNA(CONVERT(O43, "kg", L43)), CONVERT(P43 * recipe13DayScale, "l", L43), CONVERT(O43 * recipe13DayScale, "kg", L43))), roundTo)</f>
        <v>2</v>
      </c>
      <c r="R43" s="43">
        <f t="shared" si="71"/>
        <v>1.6127088573247825</v>
      </c>
      <c r="S43" s="43">
        <f t="shared" si="72"/>
        <v>0</v>
      </c>
      <c r="T43" s="43">
        <f t="shared" si="73"/>
        <v>0</v>
      </c>
      <c r="V43" s="40" t="b">
        <f t="shared" si="74"/>
        <v>1</v>
      </c>
      <c r="W43" s="53">
        <f t="shared" si="75"/>
        <v>2</v>
      </c>
      <c r="X43" s="54" t="str">
        <f t="shared" si="76"/>
        <v>cup</v>
      </c>
      <c r="Y43" s="54" t="str">
        <f t="shared" si="77"/>
        <v>chopped kumara</v>
      </c>
      <c r="Z43" s="55"/>
      <c r="AA43" s="40" t="b">
        <f t="shared" si="78"/>
        <v>0</v>
      </c>
      <c r="AB43" s="54" t="str">
        <f t="shared" si="79"/>
        <v/>
      </c>
      <c r="AC43" s="54" t="str">
        <f t="shared" si="80"/>
        <v/>
      </c>
      <c r="AD43" s="54" t="str">
        <f t="shared" si="81"/>
        <v/>
      </c>
    </row>
    <row r="44" spans="1:30" x14ac:dyDescent="0.25">
      <c r="A44" s="36" t="s">
        <v>21</v>
      </c>
      <c r="B44" s="48">
        <f t="shared" si="64"/>
        <v>1.5</v>
      </c>
      <c r="C44" s="35" t="str">
        <f t="shared" si="65"/>
        <v>cup</v>
      </c>
      <c r="D44" s="60" t="str">
        <f t="shared" si="66"/>
        <v>chopped broccoli florets</v>
      </c>
      <c r="H44" s="49"/>
      <c r="I44" s="50">
        <v>1.5</v>
      </c>
      <c r="J44" s="51" t="s">
        <v>16</v>
      </c>
      <c r="K44" s="51" t="s">
        <v>447</v>
      </c>
      <c r="L44" s="52" t="s">
        <v>16</v>
      </c>
      <c r="M44" s="43">
        <f t="shared" si="67"/>
        <v>0.27300000000000002</v>
      </c>
      <c r="N44" s="43">
        <f t="shared" si="68"/>
        <v>1.1000000000000001</v>
      </c>
      <c r="O44" s="43">
        <f t="shared" si="69"/>
        <v>8.8075348042499987E-2</v>
      </c>
      <c r="P44" s="43">
        <f t="shared" si="70"/>
        <v>0.35488235474999996</v>
      </c>
      <c r="Q44" s="43">
        <f>MROUND(IF(L44 = "", IF(J44 = "", I44, IF(M44 &lt;&gt; 0, O44 / M44, P44 / N44)) * recipe13DayScale, IF(ISNA(CONVERT(O44, "kg", L44)), CONVERT(P44 * recipe13DayScale, "l", L44), CONVERT(O44 * recipe13DayScale, "kg", L44))), roundTo)</f>
        <v>1.5</v>
      </c>
      <c r="R44" s="43">
        <f t="shared" si="71"/>
        <v>0.57248976227624992</v>
      </c>
      <c r="S44" s="43">
        <f t="shared" si="72"/>
        <v>0</v>
      </c>
      <c r="T44" s="43">
        <f t="shared" si="73"/>
        <v>0</v>
      </c>
      <c r="V44" s="40" t="b">
        <f t="shared" si="74"/>
        <v>1</v>
      </c>
      <c r="W44" s="53">
        <f t="shared" si="75"/>
        <v>1.5</v>
      </c>
      <c r="X44" s="54" t="str">
        <f t="shared" si="76"/>
        <v>cup</v>
      </c>
      <c r="Y44" s="54" t="str">
        <f t="shared" si="77"/>
        <v>chopped broccoli florets</v>
      </c>
      <c r="Z44" s="55"/>
      <c r="AA44" s="40" t="b">
        <f t="shared" si="78"/>
        <v>0</v>
      </c>
      <c r="AB44" s="54" t="str">
        <f t="shared" si="79"/>
        <v/>
      </c>
      <c r="AC44" s="54" t="str">
        <f t="shared" si="80"/>
        <v/>
      </c>
      <c r="AD44" s="54" t="str">
        <f t="shared" si="81"/>
        <v/>
      </c>
    </row>
    <row r="45" spans="1:30" x14ac:dyDescent="0.25">
      <c r="A45" s="36" t="s">
        <v>21</v>
      </c>
      <c r="B45" s="48">
        <f t="shared" si="64"/>
        <v>1</v>
      </c>
      <c r="C45" s="35" t="str">
        <f t="shared" si="65"/>
        <v>cup</v>
      </c>
      <c r="D45" s="60" t="str">
        <f t="shared" si="66"/>
        <v>chopped red capsicums</v>
      </c>
      <c r="H45" s="49"/>
      <c r="I45" s="50">
        <v>1</v>
      </c>
      <c r="J45" s="51" t="s">
        <v>16</v>
      </c>
      <c r="K45" s="51" t="s">
        <v>330</v>
      </c>
      <c r="L45" s="52" t="s">
        <v>16</v>
      </c>
      <c r="M45" s="43">
        <f t="shared" si="67"/>
        <v>0.1885</v>
      </c>
      <c r="N45" s="43">
        <f t="shared" si="68"/>
        <v>0.25</v>
      </c>
      <c r="O45" s="43">
        <f t="shared" si="69"/>
        <v>0.17838753032099999</v>
      </c>
      <c r="P45" s="43">
        <f t="shared" si="70"/>
        <v>0.23658823649999999</v>
      </c>
      <c r="Q45" s="43">
        <f>MROUND(IF(L45 = "", IF(J45 = "", I45, IF(M45 &lt;&gt; 0, O45 / M45, P45 / N45)) * recipe13DayScale, IF(ISNA(CONVERT(O45, "kg", L45)), CONVERT(P45 * recipe13DayScale, "l", L45), CONVERT(O45 * recipe13DayScale, "kg", L45))), roundTo)</f>
        <v>1</v>
      </c>
      <c r="R45" s="43">
        <f t="shared" si="71"/>
        <v>1.1595189470864999</v>
      </c>
      <c r="S45" s="43">
        <f t="shared" si="72"/>
        <v>0</v>
      </c>
      <c r="T45" s="43">
        <f t="shared" si="73"/>
        <v>0</v>
      </c>
      <c r="V45" s="40" t="b">
        <f t="shared" si="74"/>
        <v>1</v>
      </c>
      <c r="W45" s="53">
        <f t="shared" si="75"/>
        <v>1</v>
      </c>
      <c r="X45" s="54" t="str">
        <f t="shared" si="76"/>
        <v>cup</v>
      </c>
      <c r="Y45" s="54" t="str">
        <f t="shared" si="77"/>
        <v>chopped red capsicums</v>
      </c>
      <c r="Z45" s="55"/>
      <c r="AA45" s="40" t="b">
        <f t="shared" si="78"/>
        <v>0</v>
      </c>
      <c r="AB45" s="54" t="str">
        <f t="shared" si="79"/>
        <v/>
      </c>
      <c r="AC45" s="54" t="str">
        <f t="shared" si="80"/>
        <v/>
      </c>
      <c r="AD45" s="54" t="str">
        <f t="shared" si="81"/>
        <v/>
      </c>
    </row>
    <row r="46" spans="1:30" s="64" customFormat="1" x14ac:dyDescent="0.25">
      <c r="A46" s="116"/>
      <c r="B46" s="116"/>
      <c r="C46" s="116"/>
      <c r="D46" s="116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16" t="s">
        <v>332</v>
      </c>
      <c r="B47" s="116"/>
      <c r="C47" s="116"/>
      <c r="D47" s="116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4"/>
        <v>1</v>
      </c>
      <c r="C48" s="35" t="str">
        <f t="shared" si="65"/>
        <v>cup</v>
      </c>
      <c r="D48" s="60" t="str">
        <f t="shared" si="66"/>
        <v>tinned coconut milk</v>
      </c>
      <c r="H48" s="49"/>
      <c r="I48" s="50">
        <v>1</v>
      </c>
      <c r="J48" s="51" t="s">
        <v>16</v>
      </c>
      <c r="K48" s="51" t="s">
        <v>382</v>
      </c>
      <c r="L48" s="52" t="s">
        <v>16</v>
      </c>
      <c r="M48" s="43">
        <f t="shared" si="67"/>
        <v>0</v>
      </c>
      <c r="N48" s="43">
        <f t="shared" si="68"/>
        <v>0</v>
      </c>
      <c r="O48" s="43">
        <f t="shared" si="69"/>
        <v>0</v>
      </c>
      <c r="P48" s="43">
        <f t="shared" si="70"/>
        <v>0.23658823649999999</v>
      </c>
      <c r="Q48" s="43">
        <f>MROUND(IF(L48 = "", IF(J48 = "", I48, IF(M48 &lt;&gt; 0, O48 / M48, P48 / N48)) * recipe13DayScale, IF(ISNA(CONVERT(O48, "kg", L48)), CONVERT(P48 * recipe13DayScale, "l", L48), CONVERT(O48 * recipe13DayScale, "kg", L48))), roundTo)</f>
        <v>1</v>
      </c>
      <c r="R48" s="43">
        <f t="shared" si="71"/>
        <v>0</v>
      </c>
      <c r="S48" s="43">
        <f t="shared" si="72"/>
        <v>1.53782353725</v>
      </c>
      <c r="T48" s="43">
        <f t="shared" si="73"/>
        <v>0</v>
      </c>
      <c r="V48" s="40" t="b">
        <f t="shared" si="74"/>
        <v>0</v>
      </c>
      <c r="W48" s="53" t="str">
        <f t="shared" si="75"/>
        <v/>
      </c>
      <c r="X48" s="54" t="str">
        <f t="shared" si="76"/>
        <v/>
      </c>
      <c r="Y48" s="54" t="str">
        <f t="shared" si="77"/>
        <v/>
      </c>
      <c r="Z48" s="55"/>
      <c r="AA48" s="40" t="b">
        <f t="shared" si="78"/>
        <v>0</v>
      </c>
      <c r="AB48" s="54" t="str">
        <f t="shared" si="79"/>
        <v/>
      </c>
      <c r="AC48" s="54" t="str">
        <f t="shared" si="80"/>
        <v/>
      </c>
      <c r="AD48" s="54" t="str">
        <f t="shared" si="81"/>
        <v/>
      </c>
    </row>
    <row r="49" spans="1:30" s="64" customFormat="1" x14ac:dyDescent="0.25">
      <c r="A49" s="116"/>
      <c r="B49" s="116"/>
      <c r="C49" s="116"/>
      <c r="D49" s="116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16" t="s">
        <v>333</v>
      </c>
      <c r="B50" s="116"/>
      <c r="C50" s="116"/>
      <c r="D50" s="116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2">Q51</f>
        <v>8</v>
      </c>
      <c r="C51" s="35" t="str">
        <f t="shared" ref="C51" si="83">IF(L51="","",L51)</f>
        <v>tbs</v>
      </c>
      <c r="D51" s="63" t="str">
        <f t="shared" ref="D51" si="84">_xlfn.CONCAT(K51, U51)</f>
        <v>gluten free soy sauce</v>
      </c>
      <c r="H51" s="49"/>
      <c r="I51" s="50">
        <v>8</v>
      </c>
      <c r="J51" s="51" t="s">
        <v>15</v>
      </c>
      <c r="K51" s="51" t="s">
        <v>160</v>
      </c>
      <c r="L51" s="52" t="s">
        <v>15</v>
      </c>
      <c r="M51" s="43">
        <f t="shared" ref="M51" si="85">INDEX(itemGPerQty, MATCH(K51, itemNames, 0))</f>
        <v>0</v>
      </c>
      <c r="N51" s="43">
        <f t="shared" ref="N51" si="86">INDEX(itemMlPerQty, MATCH(K51, itemNames, 0))</f>
        <v>0</v>
      </c>
      <c r="O51" s="43">
        <f t="shared" ref="O51" si="87">IF(J51 = "", I51 * M51, IF(ISNA(CONVERT(I51, J51, "kg")), CONVERT(I51, J51, "l") * IF(N51 &lt;&gt; 0, M51 / N51, 0), CONVERT(I51, J51, "kg")))</f>
        <v>0</v>
      </c>
      <c r="P51" s="43">
        <f t="shared" ref="P51" si="88">IF(J51 = "", I51 * N51, IF(ISNA(CONVERT(I51, J51, "l")), CONVERT(I51, J51, "kg") * IF(M51 &lt;&gt; 0, N51 / M51, 0), CONVERT(I51, J51, "l")))</f>
        <v>0.11829411825</v>
      </c>
      <c r="Q51" s="43">
        <f>MROUND(IF(L51 = "", IF(J51 = "", I51, IF(M51 &lt;&gt; 0, O51 / M51, P51 / N51)) * recipe13DayScale, IF(ISNA(CONVERT(O51, "kg", L51)), CONVERT(P51 * recipe13DayScale, "l", L51), CONVERT(O51 * recipe13DayScale, "kg", L51))), roundTo)</f>
        <v>8</v>
      </c>
      <c r="R51" s="43">
        <f t="shared" ref="R51" si="89">recipe13TotScale * IF(L51 = "", Q51 * M51, IF(ISNA(CONVERT(Q51, L51, "kg")), CONVERT(Q51, L51, "l") * IF(N51 &lt;&gt; 0, M51 / N51, 0), CONVERT(Q51, L51, "kg")))</f>
        <v>0</v>
      </c>
      <c r="S51" s="43">
        <f t="shared" ref="S51" si="90">recipe13TotScale * IF(R51 = 0, IF(L51 = "", Q51 * N51, IF(ISNA(CONVERT(Q51, L51, "l")), CONVERT(Q51, L51, "kg") * IF(M51 &lt;&gt; 0, N51 / M51, 0), CONVERT(Q51, L51, "l"))), 0)</f>
        <v>0.76891176862499999</v>
      </c>
      <c r="T51" s="43">
        <f t="shared" ref="T51" si="91">recipe13TotScale * IF(AND(R51 = 0, S51 = 0, J51 = "", L51 = ""), Q51, 0)</f>
        <v>0</v>
      </c>
      <c r="V51" s="64" t="b">
        <f t="shared" ref="V51" si="92">INDEX(itemPrepMethods, MATCH(K51, itemNames, 0))="chop"</f>
        <v>0</v>
      </c>
      <c r="W51" s="53" t="str">
        <f t="shared" ref="W51" si="93">IF(V51, Q51, "")</f>
        <v/>
      </c>
      <c r="X51" s="54" t="str">
        <f t="shared" ref="X51" si="94">IF(V51, IF(L51 = "", "", L51), "")</f>
        <v/>
      </c>
      <c r="Y51" s="54" t="str">
        <f t="shared" ref="Y51" si="95">IF(V51, K51, "")</f>
        <v/>
      </c>
      <c r="Z51" s="55"/>
      <c r="AA51" s="64" t="b">
        <f t="shared" ref="AA51" si="96">INDEX(itemPrepMethods, MATCH(K51, itemNames, 0))="soak"</f>
        <v>0</v>
      </c>
      <c r="AB51" s="54" t="str">
        <f t="shared" ref="AB51" si="97">IF(AA51, Q51, "")</f>
        <v/>
      </c>
      <c r="AC51" s="54" t="str">
        <f t="shared" ref="AC51" si="98">IF(AA51, IF(L51 = "", "", L51), "")</f>
        <v/>
      </c>
      <c r="AD51" s="54" t="str">
        <f t="shared" ref="AD51" si="99">IF(AA51, K51, "")</f>
        <v/>
      </c>
    </row>
    <row r="52" spans="1:30" s="64" customFormat="1" x14ac:dyDescent="0.25">
      <c r="A52" s="63" t="s">
        <v>21</v>
      </c>
      <c r="B52" s="48">
        <f t="shared" ref="B52" si="100">Q52</f>
        <v>1</v>
      </c>
      <c r="C52" s="35" t="str">
        <f t="shared" ref="C52" si="101">IF(L52="","",L52)</f>
        <v>cup</v>
      </c>
      <c r="D52" s="63" t="str">
        <f t="shared" ref="D52" si="102">_xlfn.CONCAT(K52, U52)</f>
        <v>finely chopped spinach</v>
      </c>
      <c r="H52" s="49"/>
      <c r="I52" s="50">
        <v>1</v>
      </c>
      <c r="J52" s="51" t="s">
        <v>16</v>
      </c>
      <c r="K52" s="51" t="s">
        <v>335</v>
      </c>
      <c r="L52" s="52" t="s">
        <v>16</v>
      </c>
      <c r="M52" s="43">
        <f t="shared" ref="M52" si="103">INDEX(itemGPerQty, MATCH(K52, itemNames, 0))</f>
        <v>0</v>
      </c>
      <c r="N52" s="43">
        <f t="shared" ref="N52" si="104">INDEX(itemMlPerQty, MATCH(K52, itemNames, 0))</f>
        <v>0</v>
      </c>
      <c r="O52" s="43">
        <f t="shared" ref="O52" si="105">IF(J52 = "", I52 * M52, IF(ISNA(CONVERT(I52, J52, "kg")), CONVERT(I52, J52, "l") * IF(N52 &lt;&gt; 0, M52 / N52, 0), CONVERT(I52, J52, "kg")))</f>
        <v>0</v>
      </c>
      <c r="P52" s="43">
        <f t="shared" ref="P52" si="106">IF(J52 = "", I52 * N52, IF(ISNA(CONVERT(I52, J52, "l")), CONVERT(I52, J52, "kg") * IF(M52 &lt;&gt; 0, N52 / M52, 0), CONVERT(I52, J52, "l")))</f>
        <v>0.23658823649999999</v>
      </c>
      <c r="Q52" s="43">
        <f>MROUND(IF(L52 = "", IF(J52 = "", I52, IF(M52 &lt;&gt; 0, O52 / M52, P52 / N52)) * recipe13DayScale, IF(ISNA(CONVERT(O52, "kg", L52)), CONVERT(P52 * recipe13DayScale, "l", L52), CONVERT(O52 * recipe13DayScale, "kg", L52))), roundTo)</f>
        <v>1</v>
      </c>
      <c r="R52" s="43">
        <f t="shared" ref="R52" si="107">recipe13TotScale * IF(L52 = "", Q52 * M52, IF(ISNA(CONVERT(Q52, L52, "kg")), CONVERT(Q52, L52, "l") * IF(N52 &lt;&gt; 0, M52 / N52, 0), CONVERT(Q52, L52, "kg")))</f>
        <v>0</v>
      </c>
      <c r="S52" s="43">
        <f t="shared" ref="S52" si="108">recipe13TotScale * IF(R52 = 0, IF(L52 = "", Q52 * N52, IF(ISNA(CONVERT(Q52, L52, "l")), CONVERT(Q52, L52, "kg") * IF(M52 &lt;&gt; 0, N52 / M52, 0), CONVERT(Q52, L52, "l"))), 0)</f>
        <v>1.53782353725</v>
      </c>
      <c r="T52" s="43">
        <f t="shared" ref="T52" si="109">recipe13TotScale * IF(AND(R52 = 0, S52 = 0, J52 = "", L52 = ""), Q52, 0)</f>
        <v>0</v>
      </c>
      <c r="V52" s="64" t="b">
        <f t="shared" ref="V52" si="110">INDEX(itemPrepMethods, MATCH(K52, itemNames, 0))="chop"</f>
        <v>1</v>
      </c>
      <c r="W52" s="53">
        <f t="shared" ref="W52" si="111">IF(V52, Q52, "")</f>
        <v>1</v>
      </c>
      <c r="X52" s="54" t="str">
        <f t="shared" ref="X52" si="112">IF(V52, IF(L52 = "", "", L52), "")</f>
        <v>cup</v>
      </c>
      <c r="Y52" s="54" t="str">
        <f t="shared" ref="Y52" si="113">IF(V52, K52, "")</f>
        <v>finely chopped spinach</v>
      </c>
      <c r="Z52" s="55"/>
      <c r="AA52" s="64" t="b">
        <f t="shared" ref="AA52" si="114">INDEX(itemPrepMethods, MATCH(K52, itemNames, 0))="soak"</f>
        <v>0</v>
      </c>
      <c r="AB52" s="54" t="str">
        <f t="shared" ref="AB52" si="115">IF(AA52, Q52, "")</f>
        <v/>
      </c>
      <c r="AC52" s="54" t="str">
        <f t="shared" ref="AC52" si="116">IF(AA52, IF(L52 = "", "", L52), "")</f>
        <v/>
      </c>
      <c r="AD52" s="54" t="str">
        <f t="shared" ref="AD52" si="117">IF(AA52, K52, "")</f>
        <v/>
      </c>
    </row>
    <row r="53" spans="1:30" x14ac:dyDescent="0.25">
      <c r="A53" s="36" t="s">
        <v>21</v>
      </c>
      <c r="B53" s="48">
        <f t="shared" si="64"/>
        <v>2</v>
      </c>
      <c r="C53" s="35" t="str">
        <f t="shared" si="65"/>
        <v>tsp</v>
      </c>
      <c r="D53" s="60" t="str">
        <f t="shared" si="66"/>
        <v>ground corriander</v>
      </c>
      <c r="H53" s="49"/>
      <c r="I53" s="50">
        <v>2</v>
      </c>
      <c r="J53" s="51" t="s">
        <v>13</v>
      </c>
      <c r="K53" s="51" t="s">
        <v>126</v>
      </c>
      <c r="L53" s="52" t="s">
        <v>13</v>
      </c>
      <c r="M53" s="43">
        <f t="shared" si="67"/>
        <v>1.0999999999999999E-2</v>
      </c>
      <c r="N53" s="43">
        <f t="shared" si="68"/>
        <v>2.2180100000000001E-2</v>
      </c>
      <c r="O53" s="43">
        <f t="shared" si="69"/>
        <v>4.8888992864098892E-3</v>
      </c>
      <c r="P53" s="43">
        <f t="shared" si="70"/>
        <v>9.8578431874999997E-3</v>
      </c>
      <c r="Q53" s="43">
        <f>MROUND(IF(L53 = "", IF(J53 = "", I53, IF(M53 &lt;&gt; 0, O53 / M53, P53 / N53)) * recipe13DayScale, IF(ISNA(CONVERT(O53, "kg", L53)), CONVERT(P53 * recipe13DayScale, "l", L53), CONVERT(O53 * recipe13DayScale, "kg", L53))), roundTo)</f>
        <v>2</v>
      </c>
      <c r="R53" s="43">
        <f t="shared" si="71"/>
        <v>3.1777845361664281E-2</v>
      </c>
      <c r="S53" s="43">
        <f t="shared" si="72"/>
        <v>0</v>
      </c>
      <c r="T53" s="43">
        <f t="shared" si="73"/>
        <v>0</v>
      </c>
      <c r="V53" s="40" t="b">
        <f t="shared" si="74"/>
        <v>0</v>
      </c>
      <c r="W53" s="53" t="str">
        <f t="shared" si="75"/>
        <v/>
      </c>
      <c r="X53" s="54" t="str">
        <f t="shared" si="76"/>
        <v/>
      </c>
      <c r="Y53" s="54" t="str">
        <f t="shared" si="77"/>
        <v/>
      </c>
      <c r="Z53" s="55"/>
      <c r="AA53" s="40" t="b">
        <f t="shared" si="78"/>
        <v>0</v>
      </c>
      <c r="AB53" s="54" t="str">
        <f t="shared" si="79"/>
        <v/>
      </c>
      <c r="AC53" s="54" t="str">
        <f t="shared" si="80"/>
        <v/>
      </c>
      <c r="AD53" s="54" t="str">
        <f t="shared" si="81"/>
        <v/>
      </c>
    </row>
    <row r="54" spans="1:30" ht="15.75" x14ac:dyDescent="0.25">
      <c r="A54" s="117" t="s">
        <v>529</v>
      </c>
      <c r="B54" s="117"/>
      <c r="C54" s="117"/>
      <c r="D54" s="117"/>
      <c r="E54" s="38" t="s">
        <v>102</v>
      </c>
      <c r="F54" s="84" t="s">
        <v>68</v>
      </c>
      <c r="G54" s="84"/>
    </row>
    <row r="55" spans="1:30" ht="24" x14ac:dyDescent="0.2">
      <c r="A55" s="119" t="s">
        <v>20</v>
      </c>
      <c r="B55" s="119"/>
      <c r="C55" s="119"/>
      <c r="D55" s="119"/>
      <c r="E55" s="38" t="s">
        <v>39</v>
      </c>
      <c r="F55" s="73">
        <v>11</v>
      </c>
      <c r="G55" s="43"/>
      <c r="H55" s="43"/>
      <c r="I55" s="65" t="s">
        <v>369</v>
      </c>
      <c r="J55" s="66" t="s">
        <v>370</v>
      </c>
      <c r="K55" s="66" t="s">
        <v>17</v>
      </c>
      <c r="L55" s="67" t="s">
        <v>373</v>
      </c>
      <c r="M55" s="65" t="s">
        <v>118</v>
      </c>
      <c r="N55" s="65" t="s">
        <v>119</v>
      </c>
      <c r="O55" s="65" t="s">
        <v>371</v>
      </c>
      <c r="P55" s="65" t="s">
        <v>372</v>
      </c>
      <c r="Q55" s="66" t="s">
        <v>296</v>
      </c>
      <c r="R55" s="65" t="s">
        <v>297</v>
      </c>
      <c r="S55" s="65" t="s">
        <v>298</v>
      </c>
      <c r="T55" s="65" t="s">
        <v>299</v>
      </c>
      <c r="U55" s="66" t="s">
        <v>22</v>
      </c>
      <c r="V55" s="66" t="s">
        <v>173</v>
      </c>
      <c r="W55" s="68" t="s">
        <v>296</v>
      </c>
      <c r="X55" s="66" t="s">
        <v>171</v>
      </c>
      <c r="Y55" s="66" t="s">
        <v>172</v>
      </c>
      <c r="Z55" s="66" t="s">
        <v>271</v>
      </c>
      <c r="AA55" s="66" t="s">
        <v>174</v>
      </c>
      <c r="AB55" s="68" t="s">
        <v>296</v>
      </c>
      <c r="AC55" s="66" t="s">
        <v>175</v>
      </c>
      <c r="AD55" s="66" t="s">
        <v>176</v>
      </c>
    </row>
    <row r="56" spans="1:30" ht="13.5" thickBot="1" x14ac:dyDescent="0.3">
      <c r="A56" s="118" t="str">
        <f>_xlfn.CONCAT(F56," servings")</f>
        <v>12 servings</v>
      </c>
      <c r="B56" s="118"/>
      <c r="C56" s="118"/>
      <c r="D56" s="118"/>
      <c r="E56" s="61" t="s">
        <v>291</v>
      </c>
      <c r="F56" s="73">
        <f>wkndRegLunch</f>
        <v>12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6" customFormat="1" ht="15.75" thickBot="1" x14ac:dyDescent="0.3">
      <c r="A57" s="116"/>
      <c r="B57" s="116"/>
      <c r="C57" s="116"/>
      <c r="D57" s="116"/>
      <c r="E57" s="61" t="s">
        <v>294</v>
      </c>
      <c r="F57" s="46">
        <f>F56/F55</f>
        <v>1.0909090909090908</v>
      </c>
      <c r="G57" s="47" t="s">
        <v>302</v>
      </c>
      <c r="H57" s="43"/>
      <c r="I57" s="58"/>
      <c r="J57" s="84"/>
      <c r="K57" s="84"/>
      <c r="L57" s="59"/>
      <c r="M57" s="58"/>
      <c r="N57" s="58"/>
      <c r="O57" s="58"/>
      <c r="P57" s="58"/>
      <c r="Q57" s="84"/>
      <c r="R57" s="58"/>
      <c r="S57" s="58"/>
      <c r="T57" s="58"/>
      <c r="U57" s="84"/>
      <c r="W57" s="44"/>
      <c r="Z57" s="45"/>
    </row>
    <row r="58" spans="1:30" x14ac:dyDescent="0.25">
      <c r="A58" s="116" t="s">
        <v>337</v>
      </c>
      <c r="B58" s="116"/>
      <c r="C58" s="116"/>
      <c r="D58" s="116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13.75</v>
      </c>
      <c r="C59" s="35" t="str">
        <f>IF(L59="","",L59)</f>
        <v>cup</v>
      </c>
      <c r="D59" s="36" t="str">
        <f>_xlfn.CONCAT(K59, U59)</f>
        <v>chopped potatoes</v>
      </c>
      <c r="E59" s="61" t="s">
        <v>283</v>
      </c>
      <c r="F59" s="62">
        <f>wkndRegLunch</f>
        <v>12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16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18">IF(J59 = "", I59 * M59, IF(ISNA(CONVERT(I59, J59, "kg")), CONVERT(I59, J59, "l") * IF(N59 &lt;&gt; 0, M59 / N59, 0), CONVERT(I59, J59, "kg")))</f>
        <v>2</v>
      </c>
      <c r="P59" s="43">
        <f t="shared" ref="P59:P60" si="119">IF(J59 = "", I59 * N59, IF(ISNA(CONVERT(I59, J59, "l")), CONVERT(I59, J59, "kg") * IF(M59 &lt;&gt; 0, N59 / M59, 0), CONVERT(I59, J59, "l")))</f>
        <v>3</v>
      </c>
      <c r="Q59" s="43">
        <f>MROUND(IF(L59 = "", IF(J59 = "", I59, IF(M59 &lt;&gt; 0, O59 / M59, P59 / N59)) * recipe01DayScale, IF(ISNA(CONVERT(O59, "kg", L59)), CONVERT(P59 * recipe01DayScale, "l", L59), CONVERT(O59 * recipe01DayScale, "kg", L59))), roundTo)</f>
        <v>13.75</v>
      </c>
      <c r="R59" s="43">
        <f>recipe01TotScale * IF(L59 = "", Q59 * M59, IF(ISNA(CONVERT(Q59, L59, "kg")), CONVERT(Q59, L59, "l") * IF(N59 &lt;&gt; 0, M59 / N59, 0), CONVERT(Q59, L59, "kg")))</f>
        <v>2.16872550125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13.75</v>
      </c>
      <c r="X59" s="54" t="str">
        <f>IF(V59, IF(L59 = "", "", L59), "")</f>
        <v>cup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4.25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295</v>
      </c>
      <c r="F60" s="46">
        <f>F59/F56</f>
        <v>1</v>
      </c>
      <c r="G60" s="47" t="s">
        <v>303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18"/>
        <v>0.84699995166919739</v>
      </c>
      <c r="P60" s="43">
        <f t="shared" si="119"/>
        <v>0.94635294599999997</v>
      </c>
      <c r="Q60" s="43">
        <f>MROUND(IF(L60 = "", IF(J60 = "", I60, IF(M60 &lt;&gt; 0, O60 / M60, P60 / N60)) * recipe01DayScale, IF(ISNA(CONVERT(O60, "kg", L60)), CONVERT(P60 * recipe01DayScale, "l", L60), CONVERT(O60 * recipe01DayScale, "kg", L60))), roundTo)</f>
        <v>4.25</v>
      </c>
      <c r="R60" s="43">
        <f>recipe01TotScale * IF(L60 = "", Q60 * M60, IF(ISNA(CONVERT(Q60, L60, "kg")), CONVERT(Q60, L60, "l") * IF(N60 &lt;&gt; 0, M60 / N60, 0), CONVERT(Q60, L60, "kg")))</f>
        <v>0.89993744864852221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205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4.25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16"/>
      <c r="B61" s="116"/>
      <c r="C61" s="116"/>
      <c r="D61" s="116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16" t="s">
        <v>19</v>
      </c>
      <c r="B62" s="116"/>
      <c r="C62" s="116"/>
      <c r="D62" s="116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7.75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0">IF(J63 = "", I63 * M63, IF(ISNA(CONVERT(I63, J63, "kg")), CONVERT(I63, J63, "l") * IF(N63 &lt;&gt; 0, M63 / N63, 0), CONVERT(I63, J63, "kg")))</f>
        <v>0</v>
      </c>
      <c r="P63" s="43">
        <f t="shared" ref="P63" si="121">IF(J63 = "", I63 * N63, IF(ISNA(CONVERT(I63, J63, "l")), CONVERT(I63, J63, "kg") * IF(M63 &lt;&gt; 0, N63 / M63, 0), CONVERT(I63, J63, "l")))</f>
        <v>0</v>
      </c>
      <c r="Q63" s="43">
        <f>MROUND(IF(L63 = "", IF(J63 = "", I63, IF(M63 &lt;&gt; 0, O63 / M63, P63 / N63)) * recipe01DayScale, IF(ISNA(CONVERT(O63, "kg", L63)), CONVERT(P63 * recipe01DayScale, "l", L63), CONVERT(O63 * recipe01DayScale, "kg", L63))), roundTo)</f>
        <v>7.75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7.75</v>
      </c>
      <c r="U63" s="40" t="s">
        <v>204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MROUND(IF(L64 = "", IF(J64 = "", I64, IF(M64 &lt;&gt; 0, O64 / M64, P64 / N64)) * recipe01DayScale, IF(ISNA(CONVERT(O64, "kg", L64)), CONVERT(P64 * recipe01DayScale, "l", L64), CONVERT(O64 * recipe01DayScale, "kg", L64))), roundTo)</f>
        <v>2.5</v>
      </c>
      <c r="R64" s="43">
        <f>recipe01TotScale * IF(L64 = "", Q64 * M64, IF(ISNA(CONVERT(Q64, L64, "kg")), CONVERT(Q64, L64, "l") * IF(N64 &lt;&gt; 0, M64 / N64, 0), CONVERT(Q64, L64, "kg")))</f>
        <v>0.46250000000000002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16"/>
      <c r="B65" s="116"/>
      <c r="C65" s="116"/>
      <c r="D65" s="116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16" t="s">
        <v>180</v>
      </c>
      <c r="B66" s="116"/>
      <c r="C66" s="116"/>
      <c r="D66" s="116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5.5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2">IF(J67 = "", I67 * M67, IF(ISNA(CONVERT(I67, J67, "kg")), CONVERT(I67, J67, "l") * IF(N67 &lt;&gt; 0, M67 / N67, 0), CONVERT(I67, J67, "kg")))</f>
        <v>4.0000085070626371E-2</v>
      </c>
      <c r="P67" s="43">
        <f t="shared" ref="P67:P71" si="123">IF(J67 = "", I67 * N67, IF(ISNA(CONVERT(I67, J67, "l")), CONVERT(I67, J67, "kg") * IF(M67 &lt;&gt; 0, N67 / M67, 0), CONVERT(I67, J67, "l")))</f>
        <v>7.3933823906250001E-2</v>
      </c>
      <c r="Q67" s="43">
        <f>MROUND(IF(L67 = "", IF(J67 = "", I67, IF(M67 &lt;&gt; 0, O67 / M67, P67 / N67)) * recipe01DayScale, IF(ISNA(CONVERT(O67, "kg", L67)), CONVERT(P67 * recipe01DayScale, "l", L67), CONVERT(O67 * recipe01DayScale, "kg", L67))), roundTo)</f>
        <v>5.5</v>
      </c>
      <c r="R67" s="43">
        <f>recipe01TotScale * IF(L67 = "", Q67 * M67, IF(ISNA(CONVERT(Q67, L67, "kg")), CONVERT(Q67, L67, "l") * IF(N67 &lt;&gt; 0, M67 / N67, 0), CONVERT(Q67, L67, "kg")))</f>
        <v>4.4000093577689012E-2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4.25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2"/>
        <v>2.6666723380417583E-2</v>
      </c>
      <c r="P68" s="43">
        <f t="shared" si="123"/>
        <v>5.9147059124999998E-2</v>
      </c>
      <c r="Q68" s="43">
        <f>MROUND(IF(L68 = "", IF(J68 = "", I68, IF(M68 &lt;&gt; 0, O68 / M68, P68 / N68)) * recipe01DayScale, IF(ISNA(CONVERT(O68, "kg", L68)), CONVERT(P68 * recipe01DayScale, "l", L68), CONVERT(O68 * recipe01DayScale, "kg", L68))), roundTo)</f>
        <v>4.25</v>
      </c>
      <c r="R68" s="43">
        <f>recipe01TotScale * IF(L68 = "", Q68 * M68, IF(ISNA(CONVERT(Q68, L68, "kg")), CONVERT(Q68, L68, "l") * IF(N68 &lt;&gt; 0, M68 / N68, 0), CONVERT(Q68, L68, "kg")))</f>
        <v>2.8333393591693682E-2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3.25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274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2"/>
        <v>9.3333531831461536E-3</v>
      </c>
      <c r="P69" s="43">
        <f t="shared" si="123"/>
        <v>1.478676478125E-2</v>
      </c>
      <c r="Q69" s="43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43">
        <f>recipe01TotScale * IF(L69 = "", Q69 * M69, IF(ISNA(CONVERT(Q69, L69, "kg")), CONVERT(Q69, L69, "l") * IF(N69 &lt;&gt; 0, M69 / N69, 0), CONVERT(Q69, L69, "kg")))</f>
        <v>1.0111132615075E-2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3.25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2"/>
        <v>7.3333489296148338E-3</v>
      </c>
      <c r="P70" s="43">
        <f t="shared" si="123"/>
        <v>1.478676478125E-2</v>
      </c>
      <c r="Q70" s="43">
        <f>MROUND(IF(L70 = "", IF(J70 = "", I70, IF(M70 &lt;&gt; 0, O70 / M70, P70 / N70)) * recipe01DayScale, IF(ISNA(CONVERT(O70, "kg", L70)), CONVERT(P70 * recipe01DayScale, "l", L70), CONVERT(O70 * recipe01DayScale, "kg", L70))), roundTo)</f>
        <v>3.25</v>
      </c>
      <c r="R70" s="43">
        <f>recipe01TotScale * IF(L70 = "", Q70 * M70, IF(ISNA(CONVERT(Q70, L70, "kg")), CONVERT(Q70, L70, "l") * IF(N70 &lt;&gt; 0, M70 / N70, 0), CONVERT(Q70, L70, "kg")))</f>
        <v>7.9444613404160702E-3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2"/>
        <v>1.111113474184066E-2</v>
      </c>
      <c r="P71" s="43">
        <f t="shared" si="123"/>
        <v>9.8578431874999997E-3</v>
      </c>
      <c r="Q71" s="43">
        <f>MROUND(IF(L71 = "", IF(J71 = "", I71, IF(M71 &lt;&gt; 0, O71 / M71, P71 / N71))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16" t="s">
        <v>201</v>
      </c>
      <c r="B73" s="116"/>
      <c r="C73" s="116"/>
      <c r="D73" s="116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202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203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181</v>
      </c>
    </row>
    <row r="77" spans="1:30" ht="15.75" x14ac:dyDescent="0.25">
      <c r="A77" s="117" t="s">
        <v>531</v>
      </c>
      <c r="B77" s="117"/>
      <c r="C77" s="117"/>
      <c r="D77" s="117"/>
      <c r="E77" s="56" t="s">
        <v>103</v>
      </c>
      <c r="F77" s="84" t="s">
        <v>69</v>
      </c>
      <c r="G77" s="84"/>
    </row>
    <row r="78" spans="1:30" ht="24" x14ac:dyDescent="0.2">
      <c r="A78" s="117" t="s">
        <v>23</v>
      </c>
      <c r="B78" s="117"/>
      <c r="C78" s="117"/>
      <c r="D78" s="117"/>
      <c r="E78" s="38" t="s">
        <v>39</v>
      </c>
      <c r="F78" s="73">
        <v>11</v>
      </c>
      <c r="I78" s="65" t="s">
        <v>369</v>
      </c>
      <c r="J78" s="66" t="s">
        <v>370</v>
      </c>
      <c r="K78" s="66" t="s">
        <v>17</v>
      </c>
      <c r="L78" s="67" t="s">
        <v>373</v>
      </c>
      <c r="M78" s="65" t="s">
        <v>118</v>
      </c>
      <c r="N78" s="65" t="s">
        <v>119</v>
      </c>
      <c r="O78" s="65" t="s">
        <v>371</v>
      </c>
      <c r="P78" s="65" t="s">
        <v>372</v>
      </c>
      <c r="Q78" s="66" t="s">
        <v>296</v>
      </c>
      <c r="R78" s="65" t="s">
        <v>297</v>
      </c>
      <c r="S78" s="65" t="s">
        <v>298</v>
      </c>
      <c r="T78" s="65" t="s">
        <v>299</v>
      </c>
      <c r="U78" s="66" t="s">
        <v>22</v>
      </c>
      <c r="V78" s="66" t="s">
        <v>173</v>
      </c>
      <c r="W78" s="68" t="s">
        <v>296</v>
      </c>
      <c r="X78" s="66" t="s">
        <v>171</v>
      </c>
      <c r="Y78" s="66" t="s">
        <v>172</v>
      </c>
      <c r="Z78" s="66" t="s">
        <v>271</v>
      </c>
      <c r="AA78" s="66" t="s">
        <v>174</v>
      </c>
      <c r="AB78" s="68" t="s">
        <v>296</v>
      </c>
      <c r="AC78" s="66" t="s">
        <v>175</v>
      </c>
      <c r="AD78" s="66" t="s">
        <v>176</v>
      </c>
    </row>
    <row r="79" spans="1:30" ht="13.5" thickBot="1" x14ac:dyDescent="0.3">
      <c r="A79" s="118" t="str">
        <f>_xlfn.CONCAT(F79," servings")</f>
        <v>12 servings</v>
      </c>
      <c r="B79" s="118"/>
      <c r="C79" s="118"/>
      <c r="D79" s="118"/>
      <c r="E79" s="61" t="s">
        <v>291</v>
      </c>
      <c r="F79" s="73">
        <f>wkndRegDinner</f>
        <v>12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6" customFormat="1" ht="15.75" thickBot="1" x14ac:dyDescent="0.3">
      <c r="A80" s="116"/>
      <c r="B80" s="116"/>
      <c r="C80" s="116"/>
      <c r="D80" s="116"/>
      <c r="E80" s="61" t="s">
        <v>294</v>
      </c>
      <c r="F80" s="46">
        <f>F79/F78</f>
        <v>1.0909090909090908</v>
      </c>
      <c r="G80" s="47" t="s">
        <v>304</v>
      </c>
      <c r="I80" s="58"/>
      <c r="J80" s="84"/>
      <c r="K80" s="84"/>
      <c r="L80" s="59"/>
      <c r="M80" s="58"/>
      <c r="N80" s="58"/>
      <c r="O80" s="58"/>
      <c r="P80" s="58"/>
      <c r="Q80" s="84"/>
      <c r="R80" s="58"/>
      <c r="S80" s="58"/>
      <c r="T80" s="58"/>
      <c r="U80" s="84"/>
      <c r="W80" s="44"/>
      <c r="Z80" s="45"/>
    </row>
    <row r="81" spans="1:30" x14ac:dyDescent="0.25">
      <c r="A81" s="116" t="s">
        <v>18</v>
      </c>
      <c r="B81" s="116"/>
      <c r="C81" s="116"/>
      <c r="D81" s="116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283</v>
      </c>
      <c r="F82" s="62">
        <f>wkndRegDinner</f>
        <v>12</v>
      </c>
      <c r="G82" s="62"/>
      <c r="H82" s="49"/>
      <c r="I82" s="50">
        <v>1.75</v>
      </c>
      <c r="J82" s="51" t="s">
        <v>16</v>
      </c>
      <c r="K82" s="51" t="s">
        <v>71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MROUND(IF(L82 = "", IF(J82 = "", I82, IF(M82 &lt;&gt; 0, O82 / M82, P82 / N82))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205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16"/>
      <c r="B83" s="116"/>
      <c r="C83" s="116"/>
      <c r="D83" s="116"/>
      <c r="E83" s="61" t="s">
        <v>295</v>
      </c>
      <c r="F83" s="46">
        <f>F82/F79</f>
        <v>1</v>
      </c>
      <c r="G83" s="47" t="s">
        <v>305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16" t="s">
        <v>182</v>
      </c>
      <c r="B84" s="116"/>
      <c r="C84" s="116"/>
      <c r="D84" s="116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4">Q85</f>
        <v>3.25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75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5">IF(J85 = "", I85 * M85, IF(ISNA(CONVERT(I85, J85, "kg")), CONVERT(I85, J85, "l") * IF(N85 &lt;&gt; 0, M85 / N85, 0), CONVERT(I85, J85, "kg")))</f>
        <v>0.16400000000000001</v>
      </c>
      <c r="P85" s="43">
        <f t="shared" ref="P85:P87" si="126">IF(J85 = "", I85 * N85, IF(ISNA(CONVERT(I85, J85, "l")), CONVERT(I85, J85, "kg") * IF(M85 &lt;&gt; 0, N85 / M85, 0), CONVERT(I85, J85, "l")))</f>
        <v>0.33</v>
      </c>
      <c r="Q85" s="43">
        <f>MROUND(IF(L85 = "", IF(J85 = "", I85, IF(M85 &lt;&gt; 0, O85 / M85, P85 / N85)) * recipe02DayScale, IF(ISNA(CONVERT(O85, "kg", L85)), CONVERT(P85 * recipe02DayScale, "l", L85), CONVERT(O85 * recipe02DayScale, "kg", L85))), roundTo)</f>
        <v>3.25</v>
      </c>
      <c r="R85" s="43">
        <f>recipe02TotScale * IF(L85 = "", Q85 * M85, IF(ISNA(CONVERT(Q85, L85, "kg")), CONVERT(Q85, L85, "l") * IF(N85 &lt;&gt; 0, M85 / N85, 0), CONVERT(Q85, L85, "kg")))</f>
        <v>0.17766666666666667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3.25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4"/>
        <v>7.5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74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5"/>
        <v>1.012</v>
      </c>
      <c r="P86" s="43">
        <f t="shared" si="126"/>
        <v>1.6</v>
      </c>
      <c r="Q86" s="43">
        <f>MROUND(IF(L86 = "", IF(J86 = "", I86, IF(M86 &lt;&gt; 0, O86 / M86, P86 / N86)) * recipe02DayScale, IF(ISNA(CONVERT(O86, "kg", L86)), CONVERT(P86 * recipe02DayScale, "l", L86), CONVERT(O86 * recipe02DayScale, "kg", L86))), roundTo)</f>
        <v>7.5</v>
      </c>
      <c r="R86" s="43">
        <f>recipe02TotScale * IF(L86 = "", Q86 * M86, IF(ISNA(CONVERT(Q86, L86, "kg")), CONVERT(Q86, L86, "l") * IF(N86 &lt;&gt; 0, M86 / N86, 0), CONVERT(Q86, L86, "kg")))</f>
        <v>1.122315446896875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7.5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4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5"/>
        <v>1.111113474184066E-2</v>
      </c>
      <c r="P87" s="43">
        <f t="shared" si="126"/>
        <v>9.8578431874999997E-3</v>
      </c>
      <c r="Q87" s="43">
        <f>MROUND(IF(L87 = "", IF(J87 = "", I87, IF(M87 &lt;&gt; 0, O87 / M87, P87 / N87))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16"/>
      <c r="B88" s="116"/>
      <c r="C88" s="116"/>
      <c r="D88" s="116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16" t="s">
        <v>183</v>
      </c>
      <c r="B89" s="116"/>
      <c r="C89" s="116"/>
      <c r="D89" s="116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27">Q90</f>
        <v>3.25</v>
      </c>
      <c r="C90" s="35" t="str">
        <f t="shared" ref="C90:C95" si="128">IF(L90="","",L90)</f>
        <v>tsp</v>
      </c>
      <c r="D90" s="36" t="str">
        <f t="shared" ref="D90:D95" si="129">_xlfn.CONCAT(K90, U90)</f>
        <v>paprika</v>
      </c>
      <c r="I90" s="50">
        <v>3</v>
      </c>
      <c r="J90" s="51" t="s">
        <v>13</v>
      </c>
      <c r="K90" s="51" t="s">
        <v>77</v>
      </c>
      <c r="L90" s="52" t="s">
        <v>13</v>
      </c>
      <c r="M90" s="43">
        <f t="shared" ref="M90:M95" si="130">INDEX(itemGPerQty, MATCH(K90, itemNames, 0))</f>
        <v>1.2E-2</v>
      </c>
      <c r="N90" s="43">
        <f t="shared" ref="N90:N95" si="131">INDEX(itemMlPerQty, MATCH(K90, itemNames, 0))</f>
        <v>2.2180100000000001E-2</v>
      </c>
      <c r="O90" s="43">
        <f t="shared" ref="O90:O95" si="132">IF(J90 = "", I90 * M90, IF(ISNA(CONVERT(I90, J90, "kg")), CONVERT(I90, J90, "l") * IF(N90 &lt;&gt; 0, M90 / N90, 0), CONVERT(I90, J90, "kg")))</f>
        <v>8.0000170141252738E-3</v>
      </c>
      <c r="P90" s="43">
        <f t="shared" ref="P90:P95" si="133">IF(J90 = "", I90 * N90, IF(ISNA(CONVERT(I90, J90, "l")), CONVERT(I90, J90, "kg") * IF(M90 &lt;&gt; 0, N90 / M90, 0), CONVERT(I90, J90, "l")))</f>
        <v>1.478676478125E-2</v>
      </c>
      <c r="Q90" s="43">
        <f>MROUND(IF(L90 = "", IF(J90 = "", I90, IF(M90 &lt;&gt; 0, O90 / M90, P90 / N90)) * recipe02DayScale, IF(ISNA(CONVERT(O90, "kg", L90)), CONVERT(P90 * recipe02DayScale, "l", L90), CONVERT(O90 * recipe02DayScale, "kg", L90))), roundTo)</f>
        <v>3.25</v>
      </c>
      <c r="R90" s="43">
        <f t="shared" ref="R90:R95" si="134">recipe02TotScale * IF(L90 = "", Q90 * M90, IF(ISNA(CONVERT(Q90, L90, "kg")), CONVERT(Q90, L90, "l") * IF(N90 &lt;&gt; 0, M90 / N90, 0), CONVERT(Q90, L90, "kg")))</f>
        <v>8.6666850986357128E-3</v>
      </c>
      <c r="S90" s="43">
        <f t="shared" ref="S90:S95" si="135">recipe02TotScale * IF(R90 = 0, IF(L90 = "", Q90 * N90, IF(ISNA(CONVERT(Q90, L90, "l")), CONVERT(Q90, L90, "kg") * IF(M90 &lt;&gt; 0, N90 / M90, 0), CONVERT(Q90, L90, "l"))), 0)</f>
        <v>0</v>
      </c>
      <c r="T90" s="43">
        <f t="shared" ref="T90:T95" si="136">recipe02TotScale * IF(AND(R90 = 0, S90 = 0, J90 = "", L90 = ""), Q90, 0)</f>
        <v>0</v>
      </c>
      <c r="V90" s="40" t="b">
        <f t="shared" ref="V90:V95" si="137">INDEX(itemPrepMethods, MATCH(K90, itemNames, 0))="chop"</f>
        <v>0</v>
      </c>
      <c r="W90" s="53" t="str">
        <f t="shared" ref="W90:W95" si="138">IF(V90, Q90, "")</f>
        <v/>
      </c>
      <c r="X90" s="54" t="str">
        <f t="shared" ref="X90:X95" si="139">IF(V90, IF(L90 = "", "", L90), "")</f>
        <v/>
      </c>
      <c r="Y90" s="54" t="str">
        <f t="shared" ref="Y90:Y95" si="140">IF(V90, K90, "")</f>
        <v/>
      </c>
      <c r="Z90" s="55"/>
      <c r="AA90" s="40" t="b">
        <f t="shared" ref="AA90:AA95" si="141">INDEX(itemPrepMethods, MATCH(K90, itemNames, 0))="soak"</f>
        <v>0</v>
      </c>
      <c r="AB90" s="54" t="str">
        <f t="shared" ref="AB90:AB95" si="142">IF(AA90, Q90, "")</f>
        <v/>
      </c>
      <c r="AC90" s="54" t="str">
        <f t="shared" ref="AC90:AC95" si="143">IF(AA90, IF(L90 = "", "", L90), "")</f>
        <v/>
      </c>
      <c r="AD90" s="54" t="str">
        <f t="shared" ref="AD90:AD95" si="144">IF(AA90, K90, "")</f>
        <v/>
      </c>
    </row>
    <row r="91" spans="1:30" x14ac:dyDescent="0.25">
      <c r="A91" s="36" t="s">
        <v>21</v>
      </c>
      <c r="B91" s="48">
        <f t="shared" si="127"/>
        <v>2.25</v>
      </c>
      <c r="C91" s="35" t="str">
        <f t="shared" si="128"/>
        <v>tsp</v>
      </c>
      <c r="D91" s="36" t="str">
        <f t="shared" si="129"/>
        <v>ground turmeric</v>
      </c>
      <c r="I91" s="50">
        <v>2</v>
      </c>
      <c r="J91" s="51" t="s">
        <v>13</v>
      </c>
      <c r="K91" s="51" t="s">
        <v>274</v>
      </c>
      <c r="L91" s="52" t="s">
        <v>13</v>
      </c>
      <c r="M91" s="43">
        <f t="shared" si="130"/>
        <v>1.4E-2</v>
      </c>
      <c r="N91" s="43">
        <f t="shared" si="131"/>
        <v>2.2180100000000001E-2</v>
      </c>
      <c r="O91" s="43">
        <f t="shared" si="132"/>
        <v>6.2222354554307691E-3</v>
      </c>
      <c r="P91" s="43">
        <f t="shared" si="133"/>
        <v>9.8578431874999997E-3</v>
      </c>
      <c r="Q91" s="43">
        <f>MROUND(IF(L91 = "", IF(J91 = "", I91, IF(M91 &lt;&gt; 0, O91 / M91, P91 / N91)) * recipe02DayScale, IF(ISNA(CONVERT(O91, "kg", L91)), CONVERT(P91 * recipe02DayScale, "l", L91), CONVERT(O91 * recipe02DayScale, "kg", L91))), roundTo)</f>
        <v>2.25</v>
      </c>
      <c r="R91" s="43">
        <f t="shared" si="134"/>
        <v>7.0000148873596143E-3</v>
      </c>
      <c r="S91" s="43">
        <f t="shared" si="135"/>
        <v>0</v>
      </c>
      <c r="T91" s="43">
        <f t="shared" si="136"/>
        <v>0</v>
      </c>
      <c r="V91" s="40" t="b">
        <f t="shared" si="137"/>
        <v>0</v>
      </c>
      <c r="W91" s="53" t="str">
        <f t="shared" si="138"/>
        <v/>
      </c>
      <c r="X91" s="54" t="str">
        <f t="shared" si="139"/>
        <v/>
      </c>
      <c r="Y91" s="54" t="str">
        <f t="shared" si="140"/>
        <v/>
      </c>
      <c r="Z91" s="55"/>
      <c r="AA91" s="40" t="b">
        <f t="shared" si="141"/>
        <v>0</v>
      </c>
      <c r="AB91" s="54" t="str">
        <f t="shared" si="142"/>
        <v/>
      </c>
      <c r="AC91" s="54" t="str">
        <f t="shared" si="143"/>
        <v/>
      </c>
      <c r="AD91" s="54" t="str">
        <f t="shared" si="144"/>
        <v/>
      </c>
    </row>
    <row r="92" spans="1:30" x14ac:dyDescent="0.25">
      <c r="A92" s="36" t="s">
        <v>21</v>
      </c>
      <c r="B92" s="48">
        <f t="shared" si="127"/>
        <v>2.25</v>
      </c>
      <c r="C92" s="35" t="str">
        <f t="shared" si="128"/>
        <v>tsp</v>
      </c>
      <c r="D92" s="36" t="str">
        <f t="shared" si="129"/>
        <v>dried basil</v>
      </c>
      <c r="I92" s="50">
        <v>2</v>
      </c>
      <c r="J92" s="51" t="s">
        <v>13</v>
      </c>
      <c r="K92" s="51" t="s">
        <v>78</v>
      </c>
      <c r="L92" s="52" t="s">
        <v>13</v>
      </c>
      <c r="M92" s="43">
        <f t="shared" si="130"/>
        <v>3.0000000000000001E-3</v>
      </c>
      <c r="N92" s="43">
        <f t="shared" si="131"/>
        <v>2.2180100000000001E-2</v>
      </c>
      <c r="O92" s="43">
        <f t="shared" si="132"/>
        <v>1.333336169020879E-3</v>
      </c>
      <c r="P92" s="43">
        <f t="shared" si="133"/>
        <v>9.8578431874999997E-3</v>
      </c>
      <c r="Q92" s="43">
        <f>MROUND(IF(L92 = "", IF(J92 = "", I92, IF(M92 &lt;&gt; 0, O92 / M92, P92 / N92)) * recipe02DayScale, IF(ISNA(CONVERT(O92, "kg", L92)), CONVERT(P92 * recipe02DayScale, "l", L92), CONVERT(O92 * recipe02DayScale, "kg", L92))), roundTo)</f>
        <v>2.25</v>
      </c>
      <c r="R92" s="43">
        <f t="shared" si="134"/>
        <v>1.5000031901484889E-3</v>
      </c>
      <c r="S92" s="43">
        <f t="shared" si="135"/>
        <v>0</v>
      </c>
      <c r="T92" s="43">
        <f t="shared" si="136"/>
        <v>0</v>
      </c>
      <c r="V92" s="40" t="b">
        <f t="shared" si="137"/>
        <v>0</v>
      </c>
      <c r="W92" s="53" t="str">
        <f t="shared" si="138"/>
        <v/>
      </c>
      <c r="X92" s="54" t="str">
        <f t="shared" si="139"/>
        <v/>
      </c>
      <c r="Y92" s="54" t="str">
        <f t="shared" si="140"/>
        <v/>
      </c>
      <c r="Z92" s="55"/>
      <c r="AA92" s="40" t="b">
        <f t="shared" si="141"/>
        <v>0</v>
      </c>
      <c r="AB92" s="54" t="str">
        <f t="shared" si="142"/>
        <v/>
      </c>
      <c r="AC92" s="54" t="str">
        <f t="shared" si="143"/>
        <v/>
      </c>
      <c r="AD92" s="54" t="str">
        <f t="shared" si="144"/>
        <v/>
      </c>
    </row>
    <row r="93" spans="1:30" x14ac:dyDescent="0.25">
      <c r="A93" s="36" t="s">
        <v>21</v>
      </c>
      <c r="B93" s="48">
        <f t="shared" si="127"/>
        <v>0.5</v>
      </c>
      <c r="C93" s="35" t="str">
        <f t="shared" si="128"/>
        <v>tsp</v>
      </c>
      <c r="D93" s="36" t="str">
        <f t="shared" si="129"/>
        <v>cinnamon</v>
      </c>
      <c r="I93" s="50">
        <v>0.5</v>
      </c>
      <c r="J93" s="51" t="s">
        <v>13</v>
      </c>
      <c r="K93" s="51" t="s">
        <v>79</v>
      </c>
      <c r="L93" s="52" t="s">
        <v>13</v>
      </c>
      <c r="M93" s="43">
        <f t="shared" si="130"/>
        <v>1.0999999999999999E-2</v>
      </c>
      <c r="N93" s="43">
        <f t="shared" si="131"/>
        <v>2.2180100000000001E-2</v>
      </c>
      <c r="O93" s="43">
        <f t="shared" si="132"/>
        <v>1.2222248216024723E-3</v>
      </c>
      <c r="P93" s="43">
        <f t="shared" si="133"/>
        <v>2.4644607968749999E-3</v>
      </c>
      <c r="Q93" s="43">
        <f>MROUND(IF(L93 = "", IF(J93 = "", I93, IF(M93 &lt;&gt; 0, O93 / M93, P93 / N93)) * recipe02DayScale, IF(ISNA(CONVERT(O93, "kg", L93)), CONVERT(P93 * recipe02DayScale, "l", L93), CONVERT(O93 * recipe02DayScale, "kg", L93))), roundTo)</f>
        <v>0.5</v>
      </c>
      <c r="R93" s="43">
        <f t="shared" si="134"/>
        <v>1.2222248216024723E-3</v>
      </c>
      <c r="S93" s="43">
        <f t="shared" si="135"/>
        <v>0</v>
      </c>
      <c r="T93" s="43">
        <f t="shared" si="136"/>
        <v>0</v>
      </c>
      <c r="V93" s="40" t="b">
        <f t="shared" si="137"/>
        <v>0</v>
      </c>
      <c r="W93" s="53" t="str">
        <f t="shared" si="138"/>
        <v/>
      </c>
      <c r="X93" s="54" t="str">
        <f t="shared" si="139"/>
        <v/>
      </c>
      <c r="Y93" s="54" t="str">
        <f t="shared" si="140"/>
        <v/>
      </c>
      <c r="Z93" s="55"/>
      <c r="AA93" s="40" t="b">
        <f t="shared" si="141"/>
        <v>0</v>
      </c>
      <c r="AB93" s="54" t="str">
        <f t="shared" si="142"/>
        <v/>
      </c>
      <c r="AC93" s="54" t="str">
        <f t="shared" si="143"/>
        <v/>
      </c>
      <c r="AD93" s="54" t="str">
        <f t="shared" si="144"/>
        <v/>
      </c>
    </row>
    <row r="94" spans="1:30" x14ac:dyDescent="0.25">
      <c r="A94" s="36" t="s">
        <v>21</v>
      </c>
      <c r="B94" s="48">
        <f t="shared" si="127"/>
        <v>2.25</v>
      </c>
      <c r="C94" s="35" t="str">
        <f t="shared" si="128"/>
        <v/>
      </c>
      <c r="D94" s="36" t="str">
        <f t="shared" si="129"/>
        <v>bay leaves</v>
      </c>
      <c r="I94" s="50">
        <v>2</v>
      </c>
      <c r="J94" s="51"/>
      <c r="K94" s="51" t="s">
        <v>65</v>
      </c>
      <c r="L94" s="52"/>
      <c r="M94" s="43">
        <f t="shared" si="130"/>
        <v>0</v>
      </c>
      <c r="N94" s="43">
        <f t="shared" si="131"/>
        <v>0</v>
      </c>
      <c r="O94" s="43">
        <f t="shared" si="132"/>
        <v>0</v>
      </c>
      <c r="P94" s="43">
        <f t="shared" si="133"/>
        <v>0</v>
      </c>
      <c r="Q94" s="43">
        <f>MROUND(IF(L94 = "", IF(J94 = "", I94, IF(M94 &lt;&gt; 0, O94 / M94, P94 / N94)) * recipe02DayScale, IF(ISNA(CONVERT(O94, "kg", L94)), CONVERT(P94 * recipe02DayScale, "l", L94), CONVERT(O94 * recipe02DayScale, "kg", L94))), roundTo)</f>
        <v>2.25</v>
      </c>
      <c r="R94" s="43">
        <f t="shared" si="134"/>
        <v>0</v>
      </c>
      <c r="S94" s="43">
        <f t="shared" si="135"/>
        <v>0</v>
      </c>
      <c r="T94" s="43">
        <f t="shared" si="136"/>
        <v>2.25</v>
      </c>
      <c r="V94" s="40" t="b">
        <f t="shared" si="137"/>
        <v>0</v>
      </c>
      <c r="W94" s="53" t="str">
        <f t="shared" si="138"/>
        <v/>
      </c>
      <c r="X94" s="54" t="str">
        <f t="shared" si="139"/>
        <v/>
      </c>
      <c r="Y94" s="54" t="str">
        <f t="shared" si="140"/>
        <v/>
      </c>
      <c r="Z94" s="55"/>
      <c r="AA94" s="40" t="b">
        <f t="shared" si="141"/>
        <v>0</v>
      </c>
      <c r="AB94" s="54" t="str">
        <f t="shared" si="142"/>
        <v/>
      </c>
      <c r="AC94" s="54" t="str">
        <f t="shared" si="143"/>
        <v/>
      </c>
      <c r="AD94" s="54" t="str">
        <f t="shared" si="144"/>
        <v/>
      </c>
    </row>
    <row r="95" spans="1:30" x14ac:dyDescent="0.25">
      <c r="A95" s="36" t="s">
        <v>21</v>
      </c>
      <c r="B95" s="48">
        <f t="shared" si="127"/>
        <v>8.75</v>
      </c>
      <c r="C95" s="35" t="str">
        <f t="shared" si="128"/>
        <v>cup</v>
      </c>
      <c r="D95" s="36" t="str">
        <f t="shared" si="129"/>
        <v>water, approximately</v>
      </c>
      <c r="I95" s="50">
        <v>8</v>
      </c>
      <c r="J95" s="51" t="s">
        <v>16</v>
      </c>
      <c r="K95" s="51" t="s">
        <v>33</v>
      </c>
      <c r="L95" s="52" t="s">
        <v>16</v>
      </c>
      <c r="M95" s="43">
        <f t="shared" si="130"/>
        <v>1</v>
      </c>
      <c r="N95" s="43">
        <f t="shared" si="131"/>
        <v>1</v>
      </c>
      <c r="O95" s="43">
        <f t="shared" si="132"/>
        <v>1.8927058919999999</v>
      </c>
      <c r="P95" s="43">
        <f t="shared" si="133"/>
        <v>1.8927058919999999</v>
      </c>
      <c r="Q95" s="43">
        <f>MROUND(IF(L95 = "", IF(J95 = "", I95, IF(M95 &lt;&gt; 0, O95 / M95, P95 / N95)) * recipe02DayScale, IF(ISNA(CONVERT(O95, "kg", L95)), CONVERT(P95 * recipe02DayScale, "l", L95), CONVERT(O95 * recipe02DayScale, "kg", L95))), roundTo)</f>
        <v>8.75</v>
      </c>
      <c r="R95" s="43">
        <f t="shared" si="134"/>
        <v>2.0701470693749999</v>
      </c>
      <c r="S95" s="43">
        <f t="shared" si="135"/>
        <v>0</v>
      </c>
      <c r="T95" s="43">
        <f t="shared" si="136"/>
        <v>0</v>
      </c>
      <c r="U95" s="40" t="s">
        <v>187</v>
      </c>
      <c r="V95" s="40" t="b">
        <f t="shared" si="137"/>
        <v>0</v>
      </c>
      <c r="W95" s="53" t="str">
        <f t="shared" si="138"/>
        <v/>
      </c>
      <c r="X95" s="54" t="str">
        <f t="shared" si="139"/>
        <v/>
      </c>
      <c r="Y95" s="54" t="str">
        <f t="shared" si="140"/>
        <v/>
      </c>
      <c r="Z95" s="55"/>
      <c r="AA95" s="40" t="b">
        <f t="shared" si="141"/>
        <v>0</v>
      </c>
      <c r="AB95" s="54" t="str">
        <f t="shared" si="142"/>
        <v/>
      </c>
      <c r="AC95" s="54" t="str">
        <f t="shared" si="143"/>
        <v/>
      </c>
      <c r="AD95" s="54" t="str">
        <f t="shared" si="144"/>
        <v/>
      </c>
    </row>
    <row r="96" spans="1:30" x14ac:dyDescent="0.25">
      <c r="A96" s="116"/>
      <c r="B96" s="116"/>
      <c r="C96" s="116"/>
      <c r="D96" s="116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16" t="s">
        <v>184</v>
      </c>
      <c r="B97" s="116"/>
      <c r="C97" s="116"/>
      <c r="D97" s="116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16"/>
      <c r="B98" s="116"/>
      <c r="C98" s="116"/>
      <c r="D98" s="116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16" t="s">
        <v>185</v>
      </c>
      <c r="B99" s="116"/>
      <c r="C99" s="116"/>
      <c r="D99" s="116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45">Q100</f>
        <v>2.75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186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46">IF(J100 = "", I100 * M100, IF(ISNA(CONVERT(I100, J100, "kg")), CONVERT(I100, J100, "l") * IF(N100 &lt;&gt; 0, M100 / N100, 0), CONVERT(I100, J100, "kg")))</f>
        <v>0.44600000000000001</v>
      </c>
      <c r="P100" s="43">
        <f t="shared" ref="P100" si="147">IF(J100 = "", I100 * N100, IF(ISNA(CONVERT(I100, J100, "l")), CONVERT(I100, J100, "kg") * IF(M100 &lt;&gt; 0, N100 / M100, 0), CONVERT(I100, J100, "l")))</f>
        <v>0.59147059999999996</v>
      </c>
      <c r="Q100" s="43">
        <f>MROUND(IF(L100 = "", IF(J100 = "", I100, IF(M100 &lt;&gt; 0, O100 / M100, P100 / N100)) * recipe02DayScale, IF(ISNA(CONVERT(O100, "kg", L100)), CONVERT(P100 * recipe02DayScale, "l", L100), CONVERT(O100 * recipe02DayScale, "kg", L100))), roundTo)</f>
        <v>2.75</v>
      </c>
      <c r="R100" s="43">
        <f>recipe02TotScale * IF(L100 = "", Q100 * M100, IF(ISNA(CONVERT(Q100, L100, "kg")), CONVERT(Q100, L100, "l") * IF(N100 &lt;&gt; 0, M100 / N100, 0), CONVERT(Q100, L100, "kg")))</f>
        <v>0.49059999274224286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2.75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16"/>
      <c r="B101" s="116"/>
      <c r="C101" s="116"/>
      <c r="D101" s="116"/>
      <c r="I101" s="43"/>
      <c r="M101" s="40"/>
      <c r="N101" s="40"/>
      <c r="O101" s="40"/>
      <c r="P101" s="40"/>
    </row>
    <row r="102" spans="1:30" x14ac:dyDescent="0.25">
      <c r="A102" s="116" t="s">
        <v>188</v>
      </c>
      <c r="B102" s="116"/>
      <c r="C102" s="116"/>
      <c r="D102" s="116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81</v>
      </c>
      <c r="I103" s="43"/>
      <c r="M103" s="40"/>
      <c r="N103" s="40"/>
      <c r="O103" s="40"/>
      <c r="P103" s="40"/>
    </row>
    <row r="104" spans="1:30" ht="15.75" x14ac:dyDescent="0.25">
      <c r="A104" s="117" t="s">
        <v>532</v>
      </c>
      <c r="B104" s="117"/>
      <c r="C104" s="117"/>
      <c r="D104" s="117"/>
      <c r="E104" s="39" t="s">
        <v>109</v>
      </c>
      <c r="F104" s="85" t="s">
        <v>54</v>
      </c>
      <c r="G104" s="85"/>
      <c r="I104" s="43"/>
    </row>
    <row r="105" spans="1:30" ht="24" x14ac:dyDescent="0.2">
      <c r="A105" s="117" t="s">
        <v>234</v>
      </c>
      <c r="B105" s="117"/>
      <c r="C105" s="117"/>
      <c r="D105" s="117"/>
      <c r="E105" s="38" t="s">
        <v>39</v>
      </c>
      <c r="F105" s="73">
        <v>21</v>
      </c>
      <c r="G105" s="43"/>
      <c r="H105" s="43"/>
      <c r="I105" s="65" t="s">
        <v>369</v>
      </c>
      <c r="J105" s="66" t="s">
        <v>370</v>
      </c>
      <c r="K105" s="66" t="s">
        <v>17</v>
      </c>
      <c r="L105" s="67" t="s">
        <v>373</v>
      </c>
      <c r="M105" s="65" t="s">
        <v>118</v>
      </c>
      <c r="N105" s="65" t="s">
        <v>119</v>
      </c>
      <c r="O105" s="65" t="s">
        <v>371</v>
      </c>
      <c r="P105" s="65" t="s">
        <v>372</v>
      </c>
      <c r="Q105" s="66" t="s">
        <v>296</v>
      </c>
      <c r="R105" s="65" t="s">
        <v>297</v>
      </c>
      <c r="S105" s="65" t="s">
        <v>298</v>
      </c>
      <c r="T105" s="65" t="s">
        <v>299</v>
      </c>
      <c r="U105" s="66" t="s">
        <v>22</v>
      </c>
      <c r="V105" s="66" t="s">
        <v>173</v>
      </c>
      <c r="W105" s="68" t="s">
        <v>296</v>
      </c>
      <c r="X105" s="66" t="s">
        <v>171</v>
      </c>
      <c r="Y105" s="66" t="s">
        <v>172</v>
      </c>
      <c r="Z105" s="66" t="s">
        <v>271</v>
      </c>
      <c r="AA105" s="66" t="s">
        <v>174</v>
      </c>
      <c r="AB105" s="68" t="s">
        <v>296</v>
      </c>
      <c r="AC105" s="66" t="s">
        <v>175</v>
      </c>
      <c r="AD105" s="66" t="s">
        <v>176</v>
      </c>
    </row>
    <row r="106" spans="1:30" ht="13.5" thickBot="1" x14ac:dyDescent="0.3">
      <c r="A106" s="118" t="str">
        <f>_xlfn.CONCAT(F106," servings")</f>
        <v>12 servings</v>
      </c>
      <c r="B106" s="118"/>
      <c r="C106" s="118"/>
      <c r="D106" s="118"/>
      <c r="E106" s="61" t="s">
        <v>291</v>
      </c>
      <c r="F106" s="73">
        <f>wkndRegLunch</f>
        <v>12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6" customFormat="1" ht="15.75" thickBot="1" x14ac:dyDescent="0.3">
      <c r="A107" s="116"/>
      <c r="B107" s="116"/>
      <c r="C107" s="116"/>
      <c r="D107" s="116"/>
      <c r="E107" s="61" t="s">
        <v>294</v>
      </c>
      <c r="F107" s="46">
        <f>F106/F105</f>
        <v>0.5714285714285714</v>
      </c>
      <c r="G107" s="47" t="s">
        <v>306</v>
      </c>
      <c r="H107" s="49"/>
      <c r="I107" s="58"/>
      <c r="J107" s="84"/>
      <c r="K107" s="84"/>
      <c r="L107" s="59"/>
      <c r="M107" s="58"/>
      <c r="N107" s="58"/>
      <c r="O107" s="58"/>
      <c r="P107" s="58"/>
      <c r="Q107" s="43"/>
      <c r="R107" s="43"/>
      <c r="S107" s="43"/>
      <c r="T107" s="43"/>
      <c r="U107" s="84"/>
      <c r="W107" s="44"/>
      <c r="Z107" s="45"/>
    </row>
    <row r="108" spans="1:30" x14ac:dyDescent="0.25">
      <c r="A108" s="116" t="s">
        <v>213</v>
      </c>
      <c r="B108" s="116"/>
      <c r="C108" s="116"/>
      <c r="D108" s="116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48">Q109</f>
        <v>4.25</v>
      </c>
      <c r="C109" s="35" t="str">
        <f t="shared" ref="C109:C140" si="149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283</v>
      </c>
      <c r="F109" s="73">
        <f>wkndRegLunch</f>
        <v>12</v>
      </c>
      <c r="G109" s="62"/>
      <c r="I109" s="57">
        <v>7.5</v>
      </c>
      <c r="J109" s="51" t="s">
        <v>16</v>
      </c>
      <c r="K109" s="51" t="s">
        <v>31</v>
      </c>
      <c r="L109" s="52" t="s">
        <v>16</v>
      </c>
      <c r="M109" s="43">
        <f t="shared" ref="M109:M135" si="150">INDEX(itemGPerQty, MATCH(K109, itemNames, 0))</f>
        <v>0.80800000000000005</v>
      </c>
      <c r="N109" s="43">
        <f t="shared" ref="N109:N135" si="151">INDEX(itemMlPerQty, MATCH(K109, itemNames, 0))</f>
        <v>0.946353</v>
      </c>
      <c r="O109" s="43">
        <f t="shared" ref="O109:O135" si="152">IF(J109 = "", I109 * M109, IF(ISNA(CONVERT(I109, J109, "kg")), CONVERT(I109, J109, "l") * IF(N109 &lt;&gt; 0, M109 / N109, 0), CONVERT(I109, J109, "kg")))</f>
        <v>1.5149999135523426</v>
      </c>
      <c r="P109" s="43">
        <f t="shared" ref="P109:P135" si="153">IF(J109 = "", I109 * N109, IF(ISNA(CONVERT(I109, J109, "l")), CONVERT(I109, J109, "kg") * IF(M109 &lt;&gt; 0, N109 / M109, 0), CONVERT(I109, J109, "l")))</f>
        <v>1.77441177375</v>
      </c>
      <c r="Q109" s="43">
        <f>MROUND(IF(L109 = "", IF(J109 = "", I109, IF(M109 &lt;&gt; 0, O109 / M109, P109 / N109)) * recipe08DayScale, IF(ISNA(CONVERT(O109, "kg", L109)), CONVERT(P109 * recipe08DayScale, "l", L109), CONVERT(O109 * recipe08DayScale, "kg", L109))), roundTo)</f>
        <v>4.25</v>
      </c>
      <c r="R109" s="43">
        <f>recipe08TotScale * IF(L109 = "", Q109 * M109, IF(ISNA(CONVERT(Q109, L109, "kg")), CONVERT(Q109, L109, "l") * IF(N109 &lt;&gt; 0, M109 / N109, 0), CONVERT(Q109, L109, "kg")))</f>
        <v>0.85849995101299414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189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4.25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16"/>
      <c r="B110" s="116"/>
      <c r="C110" s="116"/>
      <c r="D110" s="116"/>
      <c r="E110" s="61" t="s">
        <v>295</v>
      </c>
      <c r="F110" s="46">
        <f>F109/F106</f>
        <v>1</v>
      </c>
      <c r="G110" s="47" t="s">
        <v>307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16" t="s">
        <v>209</v>
      </c>
      <c r="B111" s="116"/>
      <c r="C111" s="116"/>
      <c r="D111" s="116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206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48"/>
        <v>1.5</v>
      </c>
      <c r="C113" s="35" t="str">
        <f t="shared" si="149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274</v>
      </c>
      <c r="L113" s="52" t="s">
        <v>15</v>
      </c>
      <c r="M113" s="43">
        <f t="shared" si="150"/>
        <v>1.4E-2</v>
      </c>
      <c r="N113" s="43">
        <f t="shared" si="151"/>
        <v>2.2180100000000001E-2</v>
      </c>
      <c r="O113" s="43">
        <f t="shared" si="152"/>
        <v>2.3333382957865384E-2</v>
      </c>
      <c r="P113" s="43">
        <f t="shared" si="153"/>
        <v>3.6966911953125001E-2</v>
      </c>
      <c r="Q113" s="43">
        <f>MROUND(IF(L113 = "", IF(J113 = "", I113, IF(M113 &lt;&gt; 0, O113 / M113, P113 / N113))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48"/>
        <v>0.5</v>
      </c>
      <c r="C114" s="35" t="str">
        <f t="shared" si="149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32</v>
      </c>
      <c r="L114" s="52" t="s">
        <v>16</v>
      </c>
      <c r="M114" s="43">
        <f t="shared" si="150"/>
        <v>0</v>
      </c>
      <c r="N114" s="43">
        <f t="shared" si="151"/>
        <v>0</v>
      </c>
      <c r="O114" s="43">
        <f t="shared" si="152"/>
        <v>0</v>
      </c>
      <c r="P114" s="43">
        <f t="shared" si="153"/>
        <v>0.17744117737499998</v>
      </c>
      <c r="Q114" s="43">
        <f>MROUND(IF(L114 = "", IF(J114 = "", I114, IF(M114 &lt;&gt; 0, O114 / M114, P114 / N114))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16"/>
      <c r="B115" s="116"/>
      <c r="C115" s="116"/>
      <c r="D115" s="116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16" t="s">
        <v>208</v>
      </c>
      <c r="B116" s="116"/>
      <c r="C116" s="116"/>
      <c r="D116" s="116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48"/>
        <v>1.75</v>
      </c>
      <c r="C117" s="35" t="str">
        <f t="shared" si="149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380</v>
      </c>
      <c r="L117" s="52"/>
      <c r="M117" s="43">
        <f t="shared" si="150"/>
        <v>0</v>
      </c>
      <c r="N117" s="43">
        <f t="shared" si="151"/>
        <v>0</v>
      </c>
      <c r="O117" s="43">
        <f t="shared" si="152"/>
        <v>0</v>
      </c>
      <c r="P117" s="43">
        <f t="shared" si="153"/>
        <v>0</v>
      </c>
      <c r="Q117" s="43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191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48"/>
        <v>5.75</v>
      </c>
      <c r="C118" s="35" t="str">
        <f t="shared" si="149"/>
        <v/>
      </c>
      <c r="D118" s="36" t="str">
        <f>_xlfn.CONCAT(K118, U118)</f>
        <v>chopped zucchini</v>
      </c>
      <c r="I118" s="57">
        <v>10</v>
      </c>
      <c r="J118" s="51"/>
      <c r="K118" s="51" t="s">
        <v>161</v>
      </c>
      <c r="L118" s="52"/>
      <c r="M118" s="43">
        <f t="shared" si="150"/>
        <v>0</v>
      </c>
      <c r="N118" s="43">
        <f t="shared" si="151"/>
        <v>0</v>
      </c>
      <c r="O118" s="43">
        <f t="shared" si="152"/>
        <v>0</v>
      </c>
      <c r="P118" s="43">
        <f t="shared" si="153"/>
        <v>0</v>
      </c>
      <c r="Q118" s="43">
        <f>MROUND(IF(L118 = "", IF(J118 = "", I118, IF(M118 &lt;&gt; 0, O118 / M118, P118 / N118)) * recipe08DayScale, IF(ISNA(CONVERT(O118, "kg", L118)), CONVERT(P118 * recipe08DayScale, "l", L118), CONVERT(O118 * recipe08DayScale, "kg", L118))), roundTo)</f>
        <v>5.75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5.75</v>
      </c>
      <c r="V118" s="40" t="b">
        <f>INDEX(itemPrepMethods, MATCH(K118, itemNames, 0))="chop"</f>
        <v>1</v>
      </c>
      <c r="W118" s="53">
        <f>IF(V118, Q118, "")</f>
        <v>5.75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16"/>
      <c r="B119" s="116"/>
      <c r="C119" s="116"/>
      <c r="D119" s="116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16" t="s">
        <v>190</v>
      </c>
      <c r="B120" s="116"/>
      <c r="C120" s="116"/>
      <c r="D120" s="116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48"/>
        <v>12</v>
      </c>
      <c r="C121" s="35" t="str">
        <f t="shared" si="149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33</v>
      </c>
      <c r="L121" s="52" t="s">
        <v>16</v>
      </c>
      <c r="M121" s="43">
        <f t="shared" si="150"/>
        <v>1</v>
      </c>
      <c r="N121" s="43">
        <f t="shared" si="151"/>
        <v>1</v>
      </c>
      <c r="O121" s="43">
        <f t="shared" si="152"/>
        <v>4.9683529664999995</v>
      </c>
      <c r="P121" s="43">
        <f t="shared" si="153"/>
        <v>4.9683529664999995</v>
      </c>
      <c r="Q121" s="43">
        <f>MROUND(IF(L121 = "", IF(J121 = "", I121, IF(M121 &lt;&gt; 0, O121 / M121, P121 / N121)) * recipe08DayScale, IF(ISNA(CONVERT(O121, "kg", L121)), CONVERT(P121 * recipe08DayScale, "l", L121), CONVERT(O121 * recipe08DayScale, "kg", L121))), roundTo)</f>
        <v>12</v>
      </c>
      <c r="R121" s="43">
        <f>recipe08TotScale * IF(L121 = "", Q121 * M121, IF(ISNA(CONVERT(Q121, L121, "kg")), CONVERT(Q121, L121, "l") * IF(N121 &lt;&gt; 0, M121 / N121, 0), CONVERT(Q121, L121, "kg")))</f>
        <v>2.8390588379999997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48"/>
        <v>2.75</v>
      </c>
      <c r="C122" s="35" t="str">
        <f t="shared" si="149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0"/>
        <v>2.5000000000000001E-2</v>
      </c>
      <c r="N122" s="43">
        <f t="shared" si="151"/>
        <v>2.2180100000000001E-2</v>
      </c>
      <c r="O122" s="43">
        <f t="shared" si="152"/>
        <v>2.777783685460165E-2</v>
      </c>
      <c r="P122" s="43">
        <f t="shared" si="153"/>
        <v>2.4644607968749999E-2</v>
      </c>
      <c r="Q122" s="43">
        <f>MROUND(IF(L122 = "", IF(J122 = "", I122, IF(M122 &lt;&gt; 0, O122 / M122, P122 / N122)) * recipe08DayScale, IF(ISNA(CONVERT(O122, "kg", L122)), CONVERT(P122 * recipe08DayScale, "l", L122), CONVERT(O122 * recipe08DayScale, "kg", L122))), roundTo)</f>
        <v>2.75</v>
      </c>
      <c r="R122" s="43">
        <f>recipe08TotScale * IF(L122 = "", Q122 * M122, IF(ISNA(CONVERT(Q122, L122, "kg")), CONVERT(Q122, L122, "l") * IF(N122 &lt;&gt; 0, M122 / N122, 0), CONVERT(Q122, L122, "kg")))</f>
        <v>1.5277810270030908E-2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48"/>
        <v>1.75</v>
      </c>
      <c r="C123" s="35" t="str">
        <f t="shared" si="149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192</v>
      </c>
      <c r="L123" s="52" t="s">
        <v>15</v>
      </c>
      <c r="M123" s="43">
        <f t="shared" si="150"/>
        <v>0</v>
      </c>
      <c r="N123" s="43">
        <f t="shared" si="151"/>
        <v>0</v>
      </c>
      <c r="O123" s="43">
        <f t="shared" si="152"/>
        <v>0</v>
      </c>
      <c r="P123" s="43">
        <f t="shared" si="153"/>
        <v>4.4360294343749995E-2</v>
      </c>
      <c r="Q123" s="43">
        <f>MROUND(IF(L123 = "", IF(J123 = "", I123, IF(M123 &lt;&gt; 0, O123 / M123, P123 / N123))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16"/>
      <c r="B124" s="116"/>
      <c r="C124" s="116"/>
      <c r="D124" s="116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16" t="s">
        <v>193</v>
      </c>
      <c r="B125" s="116"/>
      <c r="C125" s="116"/>
      <c r="D125" s="116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194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195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196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16"/>
      <c r="B129" s="116"/>
      <c r="C129" s="116"/>
      <c r="D129" s="116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16" t="s">
        <v>207</v>
      </c>
      <c r="B130" s="116"/>
      <c r="C130" s="116"/>
      <c r="D130" s="116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48"/>
        <v>0.25</v>
      </c>
      <c r="C131" s="35" t="str">
        <f t="shared" si="149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32</v>
      </c>
      <c r="L131" s="52" t="s">
        <v>16</v>
      </c>
      <c r="M131" s="43">
        <f t="shared" si="150"/>
        <v>0</v>
      </c>
      <c r="N131" s="43">
        <f t="shared" si="151"/>
        <v>0</v>
      </c>
      <c r="O131" s="43">
        <f t="shared" si="152"/>
        <v>0</v>
      </c>
      <c r="P131" s="43">
        <f t="shared" si="153"/>
        <v>0.11829411825</v>
      </c>
      <c r="Q131" s="43">
        <f>MROUND(IF(L131 = "", IF(J131 = "", I131, IF(M131 &lt;&gt; 0, O131 / M131, P131 / N131))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16"/>
      <c r="B132" s="116"/>
      <c r="C132" s="116"/>
      <c r="D132" s="116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16" t="s">
        <v>245</v>
      </c>
      <c r="B133" s="116"/>
      <c r="C133" s="116"/>
      <c r="D133" s="116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48"/>
        <v>4.25</v>
      </c>
      <c r="C134" s="35" t="str">
        <f t="shared" si="149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35</v>
      </c>
      <c r="L134" s="52" t="s">
        <v>15</v>
      </c>
      <c r="M134" s="43">
        <f t="shared" si="150"/>
        <v>1.0999999999999999E-2</v>
      </c>
      <c r="N134" s="43">
        <f t="shared" si="151"/>
        <v>2.2180100000000001E-2</v>
      </c>
      <c r="O134" s="43">
        <f t="shared" si="152"/>
        <v>5.5000116972111261E-2</v>
      </c>
      <c r="P134" s="43">
        <f t="shared" si="153"/>
        <v>0.110900735859375</v>
      </c>
      <c r="Q134" s="43">
        <f>MROUND(IF(L134 = "", IF(J134 = "", I134, IF(M134 &lt;&gt; 0, O134 / M134, P134 / N134)) * recipe08DayScale, IF(ISNA(CONVERT(O134, "kg", L134)), CONVERT(P134 * recipe08DayScale, "l", L134), CONVERT(O134 * recipe08DayScale, "kg", L134))), roundTo)</f>
        <v>4.25</v>
      </c>
      <c r="R134" s="43">
        <f>recipe08TotScale * IF(L134 = "", Q134 * M134, IF(ISNA(CONVERT(Q134, L134, "kg")), CONVERT(Q134, L134, "l") * IF(N134 &lt;&gt; 0, M134 / N134, 0), CONVERT(Q134, L134, "kg")))</f>
        <v>3.1166732950863047E-2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48"/>
        <v>2</v>
      </c>
      <c r="C135" s="35" t="str">
        <f t="shared" si="149"/>
        <v>tbs</v>
      </c>
      <c r="D135" s="36" t="str">
        <f>_xlfn.CONCAT(K135, U135)</f>
        <v>black mustard seeds</v>
      </c>
      <c r="I135" s="57">
        <v>3.5</v>
      </c>
      <c r="J135" s="51" t="s">
        <v>15</v>
      </c>
      <c r="K135" s="51" t="s">
        <v>34</v>
      </c>
      <c r="L135" s="52" t="s">
        <v>15</v>
      </c>
      <c r="M135" s="43">
        <f t="shared" si="150"/>
        <v>1.6E-2</v>
      </c>
      <c r="N135" s="43">
        <f t="shared" si="151"/>
        <v>2.2180100000000001E-2</v>
      </c>
      <c r="O135" s="43">
        <f t="shared" si="152"/>
        <v>3.7333412732584614E-2</v>
      </c>
      <c r="P135" s="43">
        <f t="shared" si="153"/>
        <v>5.1753676734374997E-2</v>
      </c>
      <c r="Q135" s="43">
        <f>MROUND(IF(L135 = "", IF(J135 = "", I135, IF(M135 &lt;&gt; 0, O135 / M135, P135 / N135)) * recipe08DayScale, IF(ISNA(CONVERT(O135, "kg", L135)), CONVERT(P135 * recipe08DayScale, "l", L135), CONVERT(O135 * recipe08DayScale, "kg", L135))), roundTo)</f>
        <v>2</v>
      </c>
      <c r="R135" s="43">
        <f>recipe08TotScale * IF(L135 = "", Q135 * M135, IF(ISNA(CONVERT(Q135, L135, "kg")), CONVERT(Q135, L135, "l") * IF(N135 &lt;&gt; 0, M135 / N135, 0), CONVERT(Q135, L135, "kg")))</f>
        <v>2.1333378704334063E-2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16"/>
      <c r="B136" s="116"/>
      <c r="C136" s="116"/>
      <c r="D136" s="116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16" t="s">
        <v>197</v>
      </c>
      <c r="B137" s="116"/>
      <c r="C137" s="116"/>
      <c r="D137" s="116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16" t="s">
        <v>198</v>
      </c>
      <c r="B139" s="116"/>
      <c r="C139" s="116"/>
      <c r="D139" s="116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49"/>
        <v/>
      </c>
      <c r="D140" s="36" t="str">
        <f>_xlfn.CONCAT(K140, U140)</f>
        <v>sprigs fresh corriander, if available</v>
      </c>
      <c r="I140" s="58"/>
      <c r="J140" s="56"/>
      <c r="K140" s="51" t="s">
        <v>62</v>
      </c>
      <c r="L140" s="56"/>
      <c r="M140" s="56"/>
      <c r="N140" s="56"/>
      <c r="O140" s="56"/>
      <c r="P140" s="56"/>
      <c r="U140" s="40" t="s">
        <v>199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7" t="s">
        <v>533</v>
      </c>
      <c r="B141" s="117"/>
      <c r="C141" s="117"/>
      <c r="D141" s="117"/>
      <c r="E141" s="39" t="s">
        <v>104</v>
      </c>
      <c r="F141" s="84" t="s">
        <v>61</v>
      </c>
      <c r="G141" s="84"/>
      <c r="H141" s="43"/>
    </row>
    <row r="142" spans="1:30" ht="24" x14ac:dyDescent="0.2">
      <c r="A142" s="117" t="s">
        <v>24</v>
      </c>
      <c r="B142" s="117"/>
      <c r="C142" s="117"/>
      <c r="D142" s="117"/>
      <c r="E142" s="38" t="s">
        <v>39</v>
      </c>
      <c r="F142" s="73">
        <v>21</v>
      </c>
      <c r="G142" s="43"/>
      <c r="H142" s="43"/>
      <c r="I142" s="65" t="s">
        <v>369</v>
      </c>
      <c r="J142" s="66" t="s">
        <v>370</v>
      </c>
      <c r="K142" s="66" t="s">
        <v>17</v>
      </c>
      <c r="L142" s="67" t="s">
        <v>373</v>
      </c>
      <c r="M142" s="65" t="s">
        <v>118</v>
      </c>
      <c r="N142" s="65" t="s">
        <v>119</v>
      </c>
      <c r="O142" s="65" t="s">
        <v>371</v>
      </c>
      <c r="P142" s="65" t="s">
        <v>372</v>
      </c>
      <c r="Q142" s="66" t="s">
        <v>296</v>
      </c>
      <c r="R142" s="65" t="s">
        <v>297</v>
      </c>
      <c r="S142" s="65" t="s">
        <v>298</v>
      </c>
      <c r="T142" s="65" t="s">
        <v>299</v>
      </c>
      <c r="U142" s="66" t="s">
        <v>22</v>
      </c>
      <c r="V142" s="66" t="s">
        <v>173</v>
      </c>
      <c r="W142" s="68" t="s">
        <v>296</v>
      </c>
      <c r="X142" s="66" t="s">
        <v>171</v>
      </c>
      <c r="Y142" s="66" t="s">
        <v>172</v>
      </c>
      <c r="Z142" s="66" t="s">
        <v>271</v>
      </c>
      <c r="AA142" s="66" t="s">
        <v>174</v>
      </c>
      <c r="AB142" s="68" t="s">
        <v>296</v>
      </c>
      <c r="AC142" s="66" t="s">
        <v>175</v>
      </c>
      <c r="AD142" s="66" t="s">
        <v>176</v>
      </c>
    </row>
    <row r="143" spans="1:30" ht="13.5" thickBot="1" x14ac:dyDescent="0.3">
      <c r="A143" s="118" t="str">
        <f>_xlfn.CONCAT(F143," servings")</f>
        <v>12 servings</v>
      </c>
      <c r="B143" s="118"/>
      <c r="C143" s="118"/>
      <c r="D143" s="118"/>
      <c r="E143" s="61" t="s">
        <v>291</v>
      </c>
      <c r="F143" s="73">
        <f>wkndRegDinner</f>
        <v>12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6" customFormat="1" ht="15.75" thickBot="1" x14ac:dyDescent="0.3">
      <c r="A144" s="116"/>
      <c r="B144" s="116"/>
      <c r="C144" s="116"/>
      <c r="D144" s="116"/>
      <c r="E144" s="61" t="s">
        <v>294</v>
      </c>
      <c r="F144" s="46">
        <f>F143/F142</f>
        <v>0.5714285714285714</v>
      </c>
      <c r="G144" s="47" t="s">
        <v>308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16" t="s">
        <v>200</v>
      </c>
      <c r="B145" s="116"/>
      <c r="C145" s="116"/>
      <c r="D145" s="116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4">Q146</f>
        <v>0.75</v>
      </c>
      <c r="C146" s="35" t="str">
        <f t="shared" ref="C146:C158" si="155">IF(L146="","",L146)</f>
        <v>cup</v>
      </c>
      <c r="D146" s="36" t="str">
        <f>_xlfn.CONCAT(K146, U146)</f>
        <v>oil</v>
      </c>
      <c r="E146" s="61" t="s">
        <v>283</v>
      </c>
      <c r="F146" s="73">
        <f>wkndRegDinner</f>
        <v>12</v>
      </c>
      <c r="G146" s="62"/>
      <c r="I146" s="50">
        <v>1.25</v>
      </c>
      <c r="J146" s="51" t="s">
        <v>16</v>
      </c>
      <c r="K146" s="51" t="s">
        <v>32</v>
      </c>
      <c r="L146" s="52" t="s">
        <v>16</v>
      </c>
      <c r="M146" s="43">
        <f t="shared" ref="M146:M155" si="156">INDEX(itemGPerQty, MATCH(K146, itemNames, 0))</f>
        <v>0</v>
      </c>
      <c r="N146" s="43">
        <f t="shared" ref="N146:N155" si="157">INDEX(itemMlPerQty, MATCH(K146, itemNames, 0))</f>
        <v>0</v>
      </c>
      <c r="O146" s="43">
        <f t="shared" ref="O146:O155" si="158">IF(J146 = "", I146 * M146, IF(ISNA(CONVERT(I146, J146, "kg")), CONVERT(I146, J146, "l") * IF(N146 &lt;&gt; 0, M146 / N146, 0), CONVERT(I146, J146, "kg")))</f>
        <v>0</v>
      </c>
      <c r="P146" s="43">
        <f t="shared" ref="P146:P155" si="159">IF(J146 = "", I146 * N146, IF(ISNA(CONVERT(I146, J146, "l")), CONVERT(I146, J146, "kg") * IF(M146 &lt;&gt; 0, N146 / M146, 0), CONVERT(I146, J146, "l")))</f>
        <v>0.29573529562500001</v>
      </c>
      <c r="Q146" s="43">
        <f>MROUND(IF(L146 = "", IF(J146 = "", I146, IF(M146 &lt;&gt; 0, O146 / M146, P146 / N146))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4"/>
        <v>7.25</v>
      </c>
      <c r="C147" s="35" t="str">
        <f t="shared" si="155"/>
        <v>cup</v>
      </c>
      <c r="D147" s="36" t="str">
        <f>_xlfn.CONCAT(K147, U147)</f>
        <v>diced carrots</v>
      </c>
      <c r="E147" s="61" t="s">
        <v>295</v>
      </c>
      <c r="F147" s="46">
        <f>F146/F143</f>
        <v>1</v>
      </c>
      <c r="G147" s="47" t="s">
        <v>309</v>
      </c>
      <c r="I147" s="50">
        <v>15</v>
      </c>
      <c r="J147" s="51"/>
      <c r="K147" s="51" t="s">
        <v>74</v>
      </c>
      <c r="L147" s="52" t="s">
        <v>16</v>
      </c>
      <c r="M147" s="43">
        <f t="shared" si="156"/>
        <v>0.1265</v>
      </c>
      <c r="N147" s="43">
        <f t="shared" si="157"/>
        <v>0.2</v>
      </c>
      <c r="O147" s="43">
        <f t="shared" si="158"/>
        <v>1.8975</v>
      </c>
      <c r="P147" s="43">
        <f t="shared" si="159"/>
        <v>3</v>
      </c>
      <c r="Q147" s="43">
        <f>MROUND(IF(L147 = "", IF(J147 = "", I147, IF(M147 &lt;&gt; 0, O147 / M147, P147 / N147)) * recipe03DayScale, IF(ISNA(CONVERT(O147, "kg", L147)), CONVERT(P147 * recipe03DayScale, "l", L147), CONVERT(O147 * recipe03DayScale, "kg", L147))), roundTo)</f>
        <v>7.25</v>
      </c>
      <c r="R147" s="43">
        <f>recipe03TotScale * IF(L147 = "", Q147 * M147, IF(ISNA(CONVERT(Q147, L147, "kg")), CONVERT(Q147, L147, "l") * IF(N147 &lt;&gt; 0, M147 / N147, 0), CONVERT(Q147, L147, "kg")))</f>
        <v>1.0849049320003123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7.25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4"/>
        <v>3.5</v>
      </c>
      <c r="C148" s="35" t="str">
        <f t="shared" si="155"/>
        <v/>
      </c>
      <c r="D148" s="36" t="str">
        <f>_xlfn.CONCAT(K148, U148)</f>
        <v>diced celery stalks</v>
      </c>
      <c r="I148" s="50">
        <v>6</v>
      </c>
      <c r="J148" s="51"/>
      <c r="K148" s="51" t="s">
        <v>75</v>
      </c>
      <c r="L148" s="52"/>
      <c r="M148" s="43">
        <f t="shared" si="156"/>
        <v>5.4666666666666669E-2</v>
      </c>
      <c r="N148" s="43">
        <f t="shared" si="157"/>
        <v>0.11</v>
      </c>
      <c r="O148" s="43">
        <f t="shared" si="158"/>
        <v>0.32800000000000001</v>
      </c>
      <c r="P148" s="43">
        <f t="shared" si="159"/>
        <v>0.66</v>
      </c>
      <c r="Q148" s="43">
        <f>MROUND(IF(L148 = "", IF(J148 = "", I148, IF(M148 &lt;&gt; 0, O148 / M148, P148 / N148)) * recipe03DayScale, IF(ISNA(CONVERT(O148, "kg", L148)), CONVERT(P148 * recipe03DayScale, "l", L148), CONVERT(O148 * recipe03DayScale, "kg", L148))), roundTo)</f>
        <v>3.5</v>
      </c>
      <c r="R148" s="43">
        <f>recipe03TotScale * IF(L148 = "", Q148 * M148, IF(ISNA(CONVERT(Q148, L148, "kg")), CONVERT(Q148, L148, "l") * IF(N148 &lt;&gt; 0, M148 / N148, 0), CONVERT(Q148, L148, "kg")))</f>
        <v>0.19133333333333336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16"/>
      <c r="B149" s="116"/>
      <c r="C149" s="116"/>
      <c r="D149" s="116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16" t="s">
        <v>94</v>
      </c>
      <c r="B150" s="116"/>
      <c r="C150" s="116"/>
      <c r="D150" s="116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2.75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380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2.75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12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40</v>
      </c>
      <c r="K152" s="51" t="s">
        <v>41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MROUND(IF(L152 = "", IF(J152 = "", I152, IF(M152 &lt;&gt; 0, O152 / M152, P152 / N152)) * recipe03DayScale, IF(ISNA(CONVERT(O152, "kg", L152)), CONVERT(P152 * recipe03DayScale, "l", L152), CONVERT(O152 * recipe03DayScale, "kg", L152))), roundTo)</f>
        <v>12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2.8390588379999997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4"/>
        <v>2.75</v>
      </c>
      <c r="C153" s="35" t="str">
        <f t="shared" si="155"/>
        <v/>
      </c>
      <c r="D153" s="36" t="str">
        <f>_xlfn.CONCAT(K153, U153)</f>
        <v>sprigs fresh rosemary</v>
      </c>
      <c r="I153" s="50">
        <v>5</v>
      </c>
      <c r="J153" s="51"/>
      <c r="K153" s="51" t="s">
        <v>63</v>
      </c>
      <c r="L153" s="52"/>
      <c r="M153" s="43">
        <f t="shared" si="156"/>
        <v>0</v>
      </c>
      <c r="N153" s="43">
        <f t="shared" si="157"/>
        <v>0</v>
      </c>
      <c r="O153" s="43">
        <f t="shared" si="158"/>
        <v>0</v>
      </c>
      <c r="P153" s="43">
        <f t="shared" si="159"/>
        <v>0</v>
      </c>
      <c r="Q153" s="43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2.75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4"/>
        <v>2.75</v>
      </c>
      <c r="C154" s="35" t="str">
        <f t="shared" si="155"/>
        <v/>
      </c>
      <c r="D154" s="36" t="str">
        <f>_xlfn.CONCAT(K154, U154)</f>
        <v>sprigs fresh thyme</v>
      </c>
      <c r="I154" s="50">
        <v>5</v>
      </c>
      <c r="J154" s="51"/>
      <c r="K154" s="51" t="s">
        <v>64</v>
      </c>
      <c r="L154" s="52"/>
      <c r="M154" s="43">
        <f t="shared" si="156"/>
        <v>0</v>
      </c>
      <c r="N154" s="43">
        <f t="shared" si="157"/>
        <v>0</v>
      </c>
      <c r="O154" s="43">
        <f t="shared" si="158"/>
        <v>0</v>
      </c>
      <c r="P154" s="43">
        <f t="shared" si="159"/>
        <v>0</v>
      </c>
      <c r="Q154" s="43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2.75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4"/>
        <v>2.75</v>
      </c>
      <c r="C155" s="35" t="str">
        <f t="shared" si="155"/>
        <v/>
      </c>
      <c r="D155" s="36" t="str">
        <f>_xlfn.CONCAT(K155, U155)</f>
        <v>bay leaves</v>
      </c>
      <c r="I155" s="50">
        <v>5</v>
      </c>
      <c r="J155" s="51"/>
      <c r="K155" s="51" t="s">
        <v>65</v>
      </c>
      <c r="L155" s="52"/>
      <c r="M155" s="43">
        <f t="shared" si="156"/>
        <v>0</v>
      </c>
      <c r="N155" s="43">
        <f t="shared" si="157"/>
        <v>0</v>
      </c>
      <c r="O155" s="43">
        <f t="shared" si="158"/>
        <v>0</v>
      </c>
      <c r="P155" s="43">
        <f t="shared" si="159"/>
        <v>0</v>
      </c>
      <c r="Q155" s="43">
        <f>MROUND(IF(L155 = "", IF(J155 = "", I155, IF(M155 &lt;&gt; 0, O155 / M155, P155 / N155)) * recipe03DayScale, IF(ISNA(CONVERT(O155, "kg", L155)), CONVERT(P155 * recipe03DayScale, "l", L155), CONVERT(O155 * recipe03DayScale, "kg", L155))), roundTo)</f>
        <v>2.75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2.75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16"/>
      <c r="B156" s="116"/>
      <c r="C156" s="116"/>
      <c r="D156" s="116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16" t="s">
        <v>210</v>
      </c>
      <c r="B157" s="116"/>
      <c r="C157" s="116"/>
      <c r="D157" s="116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27.75</v>
      </c>
      <c r="C158" s="35" t="str">
        <f t="shared" si="155"/>
        <v/>
      </c>
      <c r="D158" s="83" t="str">
        <f>_xlfn.CONCAT(K158, U158)</f>
        <v>sliced silverbeet leaves</v>
      </c>
      <c r="I158" s="50">
        <v>1.5</v>
      </c>
      <c r="J158" s="51" t="s">
        <v>12</v>
      </c>
      <c r="K158" s="51" t="s">
        <v>84</v>
      </c>
      <c r="L158" s="52"/>
      <c r="M158" s="43">
        <f>INDEX(itemGPerQty, MATCH(K158, itemNames, 0))</f>
        <v>3.1E-2</v>
      </c>
      <c r="N158" s="43">
        <f>INDEX(itemMlPerQty, MATCH(K158, itemNames, 0))</f>
        <v>0.2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MROUND(IF(L158 = "", IF(J158 = "", I158, IF(M158 &lt;&gt; 0, O158 / M158, P158 / N158)) * recipe03DayScale, IF(ISNA(CONVERT(O158, "kg", L158)), CONVERT(P158 * recipe03DayScale, "l", L158), CONVERT(O158 * recipe03DayScale, "kg", L158))), roundTo)</f>
        <v>27.75</v>
      </c>
      <c r="R158" s="43">
        <f>recipe03TotScale * IF(L158 = "", Q158 * M158, IF(ISNA(CONVERT(Q158, L158, "kg")), CONVERT(Q158, L158, "l") * IF(N158 &lt;&gt; 0, M158 / N158, 0), CONVERT(Q158, L158, "kg")))</f>
        <v>0.86024999999999996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27.75</v>
      </c>
      <c r="X158" s="54" t="str">
        <f>IF(V158, IF(L158 = "", "", L158), "")</f>
        <v/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16"/>
      <c r="B159" s="116"/>
      <c r="C159" s="116"/>
      <c r="D159" s="116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16" t="s">
        <v>211</v>
      </c>
      <c r="B160" s="116"/>
      <c r="C160" s="116"/>
      <c r="D160" s="116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16"/>
      <c r="B161" s="116"/>
      <c r="C161" s="116"/>
      <c r="D161" s="116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16" t="s">
        <v>227</v>
      </c>
      <c r="B162" s="116"/>
      <c r="C162" s="116"/>
      <c r="D162" s="116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177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56</v>
      </c>
      <c r="L164" s="40"/>
      <c r="M164" s="40"/>
      <c r="N164" s="40"/>
      <c r="O164" s="40"/>
      <c r="P164" s="40"/>
      <c r="U164" s="40" t="s">
        <v>177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7" t="s">
        <v>534</v>
      </c>
      <c r="B165" s="117"/>
      <c r="C165" s="117"/>
      <c r="D165" s="117"/>
      <c r="E165" s="39" t="s">
        <v>111</v>
      </c>
      <c r="F165" s="84" t="s">
        <v>139</v>
      </c>
      <c r="G165" s="84"/>
    </row>
    <row r="166" spans="1:30" ht="24" x14ac:dyDescent="0.2">
      <c r="A166" s="117" t="s">
        <v>29</v>
      </c>
      <c r="B166" s="117"/>
      <c r="C166" s="117"/>
      <c r="D166" s="117"/>
      <c r="E166" s="38" t="s">
        <v>39</v>
      </c>
      <c r="F166" s="73">
        <v>16</v>
      </c>
      <c r="G166" s="43"/>
      <c r="I166" s="65" t="s">
        <v>369</v>
      </c>
      <c r="J166" s="66" t="s">
        <v>370</v>
      </c>
      <c r="K166" s="66" t="s">
        <v>17</v>
      </c>
      <c r="L166" s="67" t="s">
        <v>373</v>
      </c>
      <c r="M166" s="65" t="s">
        <v>118</v>
      </c>
      <c r="N166" s="65" t="s">
        <v>119</v>
      </c>
      <c r="O166" s="65" t="s">
        <v>371</v>
      </c>
      <c r="P166" s="65" t="s">
        <v>372</v>
      </c>
      <c r="Q166" s="66" t="s">
        <v>296</v>
      </c>
      <c r="R166" s="65" t="s">
        <v>297</v>
      </c>
      <c r="S166" s="65" t="s">
        <v>298</v>
      </c>
      <c r="T166" s="65" t="s">
        <v>299</v>
      </c>
      <c r="U166" s="66" t="s">
        <v>22</v>
      </c>
      <c r="V166" s="66" t="s">
        <v>173</v>
      </c>
      <c r="W166" s="68" t="s">
        <v>296</v>
      </c>
      <c r="X166" s="66" t="s">
        <v>171</v>
      </c>
      <c r="Y166" s="66" t="s">
        <v>172</v>
      </c>
      <c r="Z166" s="66" t="s">
        <v>271</v>
      </c>
      <c r="AA166" s="66" t="s">
        <v>174</v>
      </c>
      <c r="AB166" s="68" t="s">
        <v>296</v>
      </c>
      <c r="AC166" s="66" t="s">
        <v>175</v>
      </c>
      <c r="AD166" s="66" t="s">
        <v>176</v>
      </c>
    </row>
    <row r="167" spans="1:30" ht="13.5" thickBot="1" x14ac:dyDescent="0.3">
      <c r="A167" s="118" t="str">
        <f>_xlfn.CONCAT(F167," servings")</f>
        <v>10 servings</v>
      </c>
      <c r="B167" s="118"/>
      <c r="C167" s="118"/>
      <c r="D167" s="118"/>
      <c r="E167" s="61" t="s">
        <v>291</v>
      </c>
      <c r="F167" s="73">
        <f>wkdyRegLunch</f>
        <v>10</v>
      </c>
      <c r="G167" s="43"/>
      <c r="I167" s="43"/>
    </row>
    <row r="168" spans="1:30" s="86" customFormat="1" ht="15.75" thickBot="1" x14ac:dyDescent="0.3">
      <c r="A168" s="116"/>
      <c r="B168" s="116"/>
      <c r="C168" s="116"/>
      <c r="D168" s="116"/>
      <c r="E168" s="61" t="s">
        <v>294</v>
      </c>
      <c r="F168" s="46">
        <f>F167/F166</f>
        <v>0.625</v>
      </c>
      <c r="G168" s="47" t="s">
        <v>322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16" t="s">
        <v>141</v>
      </c>
      <c r="B169" s="116"/>
      <c r="C169" s="116"/>
      <c r="D169" s="116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0">IF(L170="","",L170)</f>
        <v/>
      </c>
      <c r="D170" s="36" t="str">
        <f>_xlfn.CONCAT(K170, U170)</f>
        <v>oil</v>
      </c>
      <c r="E170" s="61" t="s">
        <v>283</v>
      </c>
      <c r="F170" s="73">
        <f>wkdyRegLunch</f>
        <v>10</v>
      </c>
      <c r="G170" s="62"/>
      <c r="I170" s="43"/>
      <c r="K170" s="51" t="s">
        <v>32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1">Q171</f>
        <v>1.5</v>
      </c>
      <c r="C171" s="35" t="str">
        <f t="shared" ref="C171" si="162">IF(L171="","",L171)</f>
        <v/>
      </c>
      <c r="D171" s="36" t="str">
        <f>_xlfn.CONCAT(K171, U171)</f>
        <v>blocks tofu, cut into cubes</v>
      </c>
      <c r="E171" s="61" t="s">
        <v>295</v>
      </c>
      <c r="F171" s="46">
        <f>F170/F167</f>
        <v>1</v>
      </c>
      <c r="G171" s="47" t="s">
        <v>323</v>
      </c>
      <c r="I171" s="57">
        <v>800</v>
      </c>
      <c r="J171" s="51" t="s">
        <v>0</v>
      </c>
      <c r="K171" s="51" t="s">
        <v>231</v>
      </c>
      <c r="L171" s="52"/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3">IF(J171 = "", I171 * M171, IF(ISNA(CONVERT(I171, J171, "kg")), CONVERT(I171, J171, "l") * IF(N171 &lt;&gt; 0, M171 / N171, 0), CONVERT(I171, J171, "kg")))</f>
        <v>0.8</v>
      </c>
      <c r="P171" s="43">
        <f t="shared" ref="P171:P172" si="164">IF(J171 = "", I171 * N171, IF(ISNA(CONVERT(I171, J171, "l")), CONVERT(I171, J171, "kg") * IF(M171 &lt;&gt; 0, N171 / M171, 0), CONVERT(I171, J171, "l")))</f>
        <v>1.2861736334405145</v>
      </c>
      <c r="Q171" s="43">
        <f>MROUND(IF(L171 = "", IF(J171 = "", I171, IF(M171 &lt;&gt; 0, O171 / M171, P171 / N171)) * recipe10DayScale, IF(ISNA(CONVERT(O171, "kg", L171)), CONVERT(P171 * recipe10DayScale, "l", L171), CONVERT(O171 * recipe10DayScale, "kg", L171))), roundTo)</f>
        <v>1.5</v>
      </c>
      <c r="R171" s="43">
        <f>recipe10TotScale * IF(L171 = "", Q171 * M171, IF(ISNA(CONVERT(Q171, L171, "kg")), CONVERT(Q171, L171, "l") * IF(N171 &lt;&gt; 0, M171 / N171, 0), CONVERT(Q171, L171, "kg")))</f>
        <v>0.46650000000000003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1.5</v>
      </c>
      <c r="X171" s="54" t="str">
        <f>IF(V171, IF(L171 = "", "", L171), "")</f>
        <v/>
      </c>
      <c r="Y171" s="54" t="str">
        <f>IF(V171, K171, "")</f>
        <v>blocks tofu, cut into cubes</v>
      </c>
      <c r="Z171" s="55" t="s">
        <v>233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65">Q172</f>
        <v>3</v>
      </c>
      <c r="C172" s="35" t="str">
        <f t="shared" ref="C172" si="166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140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3"/>
        <v>0</v>
      </c>
      <c r="P172" s="43">
        <f t="shared" si="164"/>
        <v>7.0976470949999995E-2</v>
      </c>
      <c r="Q172" s="43">
        <f>MROUND(IF(L172 = "", IF(J172 = "", I172, IF(M172 &lt;&gt; 0, O172 / M172, P172 / N172)) * recipe10DayScale, IF(ISNA(CONVERT(O172, "kg", L172)), CONVERT(P172 * recipe10DayScale, "l", L172), CONVERT(O172 * recipe10DayScale, "kg", L172))), roundTo)</f>
        <v>3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4.4360294343749995E-2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16"/>
      <c r="B173" s="116"/>
      <c r="C173" s="116"/>
      <c r="D173" s="116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16" t="s">
        <v>149</v>
      </c>
      <c r="B174" s="116"/>
      <c r="C174" s="116"/>
      <c r="D174" s="116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67">Q175</f>
        <v>6.25</v>
      </c>
      <c r="C175" s="35" t="str">
        <f t="shared" ref="C175" si="168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142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69">IF(J175 = "", I175 * M175, IF(ISNA(CONVERT(I175, J175, "kg")), CONVERT(I175, J175, "l") * IF(N175 &lt;&gt; 0, M175 / N175, 0), CONVERT(I175, J175, "kg")))</f>
        <v>0</v>
      </c>
      <c r="P175" s="43">
        <f t="shared" ref="P175:P179" si="170">IF(J175 = "", I175 * N175, IF(ISNA(CONVERT(I175, J175, "l")), CONVERT(I175, J175, "kg") * IF(M175 &lt;&gt; 0, N175 / M175, 0), CONVERT(I175, J175, "l")))</f>
        <v>0.1478676478125</v>
      </c>
      <c r="Q175" s="43">
        <f>MROUND(IF(L175 = "", IF(J175 = "", I175, IF(M175 &lt;&gt; 0, O175 / M175, P175 / N175)) * recipe10DayScale, IF(ISNA(CONVERT(O175, "kg", L175)), CONVERT(P175 * recipe10DayScale, "l", L175), CONVERT(O175 * recipe10DayScale, "kg", L175))), roundTo)</f>
        <v>6.25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9.2417279882812495E-2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1">Q176</f>
        <v>2</v>
      </c>
      <c r="C176" s="35" t="str">
        <f t="shared" ref="C176:C177" si="172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143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69"/>
        <v>0</v>
      </c>
      <c r="P176" s="43">
        <f t="shared" si="170"/>
        <v>4.4360294343749995E-2</v>
      </c>
      <c r="Q176" s="43">
        <f>MROUND(IF(L176 = "", IF(J176 = "", I176, IF(M176 &lt;&gt; 0, O176 / M176, P176 / N176))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1"/>
        <v>2.5</v>
      </c>
      <c r="C177" s="35" t="str">
        <f t="shared" si="172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69"/>
        <v>0.74</v>
      </c>
      <c r="P177" s="43">
        <f t="shared" si="170"/>
        <v>1.2</v>
      </c>
      <c r="Q177" s="43">
        <f>MROUND(IF(L177 = "", IF(J177 = "", I177, IF(M177 &lt;&gt; 0, O177 / M177, P177 / N177)) * recipe10DayScale, IF(ISNA(CONVERT(O177, "kg", L177)), CONVERT(P177 * recipe10DayScale, "l", L177), CONVERT(O177 * recipe10DayScale, "kg", L177))), roundTo)</f>
        <v>2.5</v>
      </c>
      <c r="R177" s="43">
        <f>recipe10TotScale * IF(L177 = "", Q177 * M177, IF(ISNA(CONVERT(Q177, L177, "kg")), CONVERT(Q177, L177, "l") * IF(N177 &lt;&gt; 0, M177 / N177, 0), CONVERT(Q177, L177, "kg")))</f>
        <v>0.46250000000000002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3">Q178</f>
        <v>3.25</v>
      </c>
      <c r="C178" s="35" t="str">
        <f t="shared" ref="C178" si="174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192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69"/>
        <v>0</v>
      </c>
      <c r="P178" s="43">
        <f t="shared" si="170"/>
        <v>7.3933823906250001E-2</v>
      </c>
      <c r="Q178" s="43">
        <f>MROUND(IF(L178 = "", IF(J178 = "", I178, IF(M178 &lt;&gt; 0, O178 / M178, P178 / N178)) * recipe10DayScale, IF(ISNA(CONVERT(O178, "kg", L178)), CONVERT(P178 * recipe10DayScale, "l", L178), CONVERT(O178 * recipe10DayScale, "kg", L178))), roundTo)</f>
        <v>3.25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4.8056985539062499E-2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3.25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75">Q179</f>
        <v>0.75</v>
      </c>
      <c r="C179" s="35" t="str">
        <f t="shared" ref="C179" si="176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136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69"/>
        <v>0</v>
      </c>
      <c r="P179" s="43">
        <f t="shared" si="170"/>
        <v>0</v>
      </c>
      <c r="Q179" s="43">
        <f>MROUND(IF(L179 = "", IF(J179 = "", I179, IF(M179 &lt;&gt; 0, O179 / M179, P179 / N179))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16"/>
      <c r="B180" s="116"/>
      <c r="C180" s="116"/>
      <c r="D180" s="116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16" t="s">
        <v>150</v>
      </c>
      <c r="B181" s="116"/>
      <c r="C181" s="116"/>
      <c r="D181" s="116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77">Q182</f>
        <v>0.25</v>
      </c>
      <c r="C182" s="35" t="str">
        <f t="shared" ref="C182:C183" si="178">IF(L182="","",L182)</f>
        <v>l</v>
      </c>
      <c r="D182" s="36" t="str">
        <f>_xlfn.CONCAT(K182, U182)</f>
        <v>water</v>
      </c>
      <c r="I182" s="57">
        <v>0.5</v>
      </c>
      <c r="J182" s="51" t="s">
        <v>40</v>
      </c>
      <c r="K182" s="51" t="s">
        <v>33</v>
      </c>
      <c r="L182" s="52" t="s">
        <v>40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79">IF(J182 = "", I182 * M182, IF(ISNA(CONVERT(I182, J182, "kg")), CONVERT(I182, J182, "l") * IF(N182 &lt;&gt; 0, M182 / N182, 0), CONVERT(I182, J182, "kg")))</f>
        <v>0.5</v>
      </c>
      <c r="P182" s="43">
        <f t="shared" ref="P182:P186" si="180">IF(J182 = "", I182 * N182, IF(ISNA(CONVERT(I182, J182, "l")), CONVERT(I182, J182, "kg") * IF(M182 &lt;&gt; 0, N182 / M182, 0), CONVERT(I182, J182, "l")))</f>
        <v>0.5</v>
      </c>
      <c r="Q182" s="43">
        <f>MROUND(IF(L182 = "", IF(J182 = "", I182, IF(M182 &lt;&gt; 0, O182 / M182, P182 / N182))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77"/>
        <v>1.25</v>
      </c>
      <c r="C183" s="35" t="str">
        <f t="shared" si="178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447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79"/>
        <v>0.51870000000000005</v>
      </c>
      <c r="P183" s="43">
        <f t="shared" si="180"/>
        <v>2.09</v>
      </c>
      <c r="Q183" s="43">
        <f>MROUND(IF(L183 = "", IF(J183 = "", I183, IF(M183 &lt;&gt; 0, O183 / M183, P183 / N183))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1">Q184</f>
        <v>2.5</v>
      </c>
      <c r="C184" s="35" t="str">
        <f t="shared" ref="C184:C185" si="182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145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79"/>
        <v>0.754</v>
      </c>
      <c r="P184" s="43">
        <f t="shared" si="180"/>
        <v>1</v>
      </c>
      <c r="Q184" s="43">
        <f>MROUND(IF(L184 = "", IF(J184 = "", I184, IF(M184 &lt;&gt; 0, O184 / M184, P184 / N184)) * recipe10DayScale, IF(ISNA(CONVERT(O184, "kg", L184)), CONVERT(P184 * recipe10DayScale, "l", L184), CONVERT(O184 * recipe10DayScale, "kg", L184))), roundTo)</f>
        <v>2.5</v>
      </c>
      <c r="R184" s="43">
        <f>recipe10TotScale * IF(L184 = "", Q184 * M184, IF(ISNA(CONVERT(Q184, L184, "kg")), CONVERT(Q184, L184, "l") * IF(N184 &lt;&gt; 0, M184 / N184, 0), CONVERT(Q184, L184, "kg")))</f>
        <v>0.47125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1"/>
        <v>6.25</v>
      </c>
      <c r="C185" s="35" t="str">
        <f t="shared" si="182"/>
        <v/>
      </c>
      <c r="D185" s="36" t="str">
        <f>_xlfn.CONCAT(K185, U185)</f>
        <v>sliced celery stalks</v>
      </c>
      <c r="I185" s="57">
        <v>10</v>
      </c>
      <c r="J185" s="51"/>
      <c r="K185" s="51" t="s">
        <v>146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79"/>
        <v>1</v>
      </c>
      <c r="P185" s="43">
        <f t="shared" si="180"/>
        <v>2</v>
      </c>
      <c r="Q185" s="43">
        <f>MROUND(IF(L185 = "", IF(J185 = "", I185, IF(M185 &lt;&gt; 0, O185 / M185, P185 / N185)) * recipe10DayScale, IF(ISNA(CONVERT(O185, "kg", L185)), CONVERT(P185 * recipe10DayScale, "l", L185), CONVERT(O185 * recipe10DayScale, "kg", L185))), roundTo)</f>
        <v>6.25</v>
      </c>
      <c r="R185" s="43">
        <f>recipe10TotScale * IF(L185 = "", Q185 * M185, IF(ISNA(CONVERT(Q185, L185, "kg")), CONVERT(Q185, L185, "l") * IF(N185 &lt;&gt; 0, M185 / N185, 0), CONVERT(Q185, L185, "kg")))</f>
        <v>0.625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6.25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3">Q186</f>
        <v>3.75</v>
      </c>
      <c r="C186" s="35" t="str">
        <f t="shared" ref="C186" si="184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377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79"/>
        <v>0</v>
      </c>
      <c r="P186" s="43">
        <f t="shared" si="180"/>
        <v>0</v>
      </c>
      <c r="Q186" s="43">
        <f>MROUND(IF(L186 = "", IF(J186 = "", I186, IF(M186 &lt;&gt; 0, O186 / M186, P186 / N186)) * recipe10DayScale, IF(ISNA(CONVERT(O186, "kg", L186)), CONVERT(P186 * recipe10DayScale, "l", L186), CONVERT(O186 * recipe10DayScale, "kg", L186))), roundTo)</f>
        <v>3.75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3.75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16"/>
      <c r="B187" s="116"/>
      <c r="C187" s="116"/>
      <c r="D187" s="116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16" t="s">
        <v>130</v>
      </c>
      <c r="B188" s="116"/>
      <c r="C188" s="116"/>
      <c r="D188" s="116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85">Q189</f>
        <v>3</v>
      </c>
      <c r="C189" s="35" t="str">
        <f t="shared" ref="C189" si="186">IF(L189="","",L189)</f>
        <v/>
      </c>
      <c r="D189" s="98" t="str">
        <f>_xlfn.CONCAT(K189, U189)</f>
        <v>juiced lemons</v>
      </c>
      <c r="I189" s="57">
        <v>4.75</v>
      </c>
      <c r="J189" s="51"/>
      <c r="K189" s="51" t="s">
        <v>326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87">IF(J189 = "", I189 * M189, IF(ISNA(CONVERT(I189, J189, "kg")), CONVERT(I189, J189, "l") * IF(N189 &lt;&gt; 0, M189 / N189, 0), CONVERT(I189, J189, "kg")))</f>
        <v>0</v>
      </c>
      <c r="P189" s="43">
        <f t="shared" ref="P189:P191" si="188">IF(J189 = "", I189 * N189, IF(ISNA(CONVERT(I189, J189, "l")), CONVERT(I189, J189, "kg") * IF(M189 &lt;&gt; 0, N189 / M189, 0), CONVERT(I189, J189, "l")))</f>
        <v>0</v>
      </c>
      <c r="Q189" s="43">
        <f>MROUND(IF(L189 = "", IF(J189 = "", I189, IF(M189 &lt;&gt; 0, O189 / M189, P189 / N189)) * recipe10DayScale, IF(ISNA(CONVERT(O189, "kg", L189)), CONVERT(P189 * recipe10DayScale, "l", L189), CONVERT(O189 * recipe10DayScale, "kg", L189))), roundTo)</f>
        <v>3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</v>
      </c>
      <c r="V189" s="40" t="b">
        <f>INDEX(itemPrepMethods, MATCH(K189, itemNames, 0))="chop"</f>
        <v>1</v>
      </c>
      <c r="W189" s="53">
        <f>IF(V189, Q189, "")</f>
        <v>3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89">Q190</f>
        <v>750</v>
      </c>
      <c r="C190" s="35" t="str">
        <f t="shared" ref="C190" si="190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434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87"/>
        <v>1.2</v>
      </c>
      <c r="P190" s="43">
        <f t="shared" si="188"/>
        <v>0</v>
      </c>
      <c r="Q190" s="43">
        <f>MROUND(IF(L190 = "", IF(J190 = "", I190, IF(M190 &lt;&gt; 0, O190 / M190, P190 / N190)) * recipe10DayScale, IF(ISNA(CONVERT(O190, "kg", L190)), CONVERT(P190 * recipe10DayScale, "l", L190), CONVERT(O190 * recipe10DayScale, "kg", L190))), roundTo)</f>
        <v>750</v>
      </c>
      <c r="R190" s="43">
        <f>recipe10TotScale * IF(L190 = "", Q190 * M190, IF(ISNA(CONVERT(Q190, L190, "kg")), CONVERT(Q190, L190, "l") * IF(N190 &lt;&gt; 0, M190 / N190, 0), CONVERT(Q190, L190, "kg")))</f>
        <v>0.75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1">Q191</f>
        <v>1.25</v>
      </c>
      <c r="C191" s="35" t="str">
        <f t="shared" ref="C191" si="192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381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87"/>
        <v>0</v>
      </c>
      <c r="P191" s="43">
        <f t="shared" si="188"/>
        <v>0</v>
      </c>
      <c r="Q191" s="43">
        <f>MROUND(IF(L191 = "", IF(J191 = "", I191, IF(M191 &lt;&gt; 0, O191 / M191, P191 / N191))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16"/>
      <c r="B192" s="116"/>
      <c r="C192" s="116"/>
      <c r="D192" s="116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16" t="s">
        <v>263</v>
      </c>
      <c r="B193" s="116"/>
      <c r="C193" s="116"/>
      <c r="D193" s="116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16"/>
      <c r="B194" s="116"/>
      <c r="C194" s="116"/>
      <c r="D194" s="116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16" t="s">
        <v>151</v>
      </c>
      <c r="B195" s="116"/>
      <c r="C195" s="116"/>
      <c r="D195" s="116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3">Q196</f>
        <v>2</v>
      </c>
      <c r="C196" s="35" t="str">
        <f t="shared" ref="C196:C198" si="194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152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MROUND(IF(L196 = "", IF(J196 = "", I196, IF(M196 &lt;&gt; 0, O196 / M196, P196 / N196))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4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98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4"/>
        <v/>
      </c>
      <c r="D198" s="36" t="str">
        <f>_xlfn.CONCAT(K198, U198)</f>
        <v>sprigs fresh corriander, for garnish</v>
      </c>
      <c r="I198" s="58"/>
      <c r="J198" s="56"/>
      <c r="K198" s="51" t="s">
        <v>62</v>
      </c>
      <c r="L198" s="56"/>
      <c r="M198" s="56"/>
      <c r="N198" s="56"/>
      <c r="O198" s="56"/>
      <c r="P198" s="56"/>
      <c r="U198" s="40" t="s">
        <v>179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7" t="s">
        <v>535</v>
      </c>
      <c r="B199" s="117"/>
      <c r="C199" s="117"/>
      <c r="D199" s="117"/>
      <c r="E199" s="39" t="s">
        <v>106</v>
      </c>
      <c r="F199" s="84" t="s">
        <v>58</v>
      </c>
      <c r="G199" s="84"/>
      <c r="H199" s="43"/>
    </row>
    <row r="200" spans="1:30" ht="24" x14ac:dyDescent="0.2">
      <c r="A200" s="117" t="s">
        <v>220</v>
      </c>
      <c r="B200" s="117"/>
      <c r="C200" s="117"/>
      <c r="D200" s="117"/>
      <c r="E200" s="38" t="s">
        <v>39</v>
      </c>
      <c r="F200" s="73">
        <v>15</v>
      </c>
      <c r="G200" s="43"/>
      <c r="H200" s="43"/>
      <c r="I200" s="65" t="s">
        <v>369</v>
      </c>
      <c r="J200" s="66" t="s">
        <v>370</v>
      </c>
      <c r="K200" s="66" t="s">
        <v>17</v>
      </c>
      <c r="L200" s="67" t="s">
        <v>373</v>
      </c>
      <c r="M200" s="65" t="s">
        <v>118</v>
      </c>
      <c r="N200" s="65" t="s">
        <v>119</v>
      </c>
      <c r="O200" s="65" t="s">
        <v>371</v>
      </c>
      <c r="P200" s="65" t="s">
        <v>372</v>
      </c>
      <c r="Q200" s="66" t="s">
        <v>296</v>
      </c>
      <c r="R200" s="65" t="s">
        <v>297</v>
      </c>
      <c r="S200" s="65" t="s">
        <v>298</v>
      </c>
      <c r="T200" s="65" t="s">
        <v>299</v>
      </c>
      <c r="U200" s="66" t="s">
        <v>22</v>
      </c>
      <c r="V200" s="66" t="s">
        <v>173</v>
      </c>
      <c r="W200" s="68" t="s">
        <v>296</v>
      </c>
      <c r="X200" s="66" t="s">
        <v>171</v>
      </c>
      <c r="Y200" s="66" t="s">
        <v>172</v>
      </c>
      <c r="Z200" s="66" t="s">
        <v>271</v>
      </c>
      <c r="AA200" s="66" t="s">
        <v>174</v>
      </c>
      <c r="AB200" s="68" t="s">
        <v>296</v>
      </c>
      <c r="AC200" s="66" t="s">
        <v>175</v>
      </c>
      <c r="AD200" s="66" t="s">
        <v>176</v>
      </c>
    </row>
    <row r="201" spans="1:30" ht="13.5" thickBot="1" x14ac:dyDescent="0.3">
      <c r="A201" s="118" t="str">
        <f>_xlfn.CONCAT(F201," servings")</f>
        <v>10 servings</v>
      </c>
      <c r="B201" s="118"/>
      <c r="C201" s="118"/>
      <c r="D201" s="118"/>
      <c r="E201" s="61" t="s">
        <v>291</v>
      </c>
      <c r="F201" s="73">
        <f>wkdyRegDinner</f>
        <v>10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6" customFormat="1" ht="15.75" thickBot="1" x14ac:dyDescent="0.3">
      <c r="A202" s="116"/>
      <c r="B202" s="116"/>
      <c r="C202" s="116"/>
      <c r="D202" s="116"/>
      <c r="E202" s="61" t="s">
        <v>294</v>
      </c>
      <c r="F202" s="46">
        <f>F201/F200</f>
        <v>0.66666666666666663</v>
      </c>
      <c r="G202" s="47" t="s">
        <v>312</v>
      </c>
      <c r="H202" s="43"/>
      <c r="I202" s="58"/>
      <c r="J202" s="84"/>
      <c r="K202" s="84"/>
      <c r="L202" s="59"/>
      <c r="M202" s="58"/>
      <c r="N202" s="58"/>
      <c r="O202" s="58"/>
      <c r="P202" s="58"/>
      <c r="Q202" s="84"/>
      <c r="R202" s="58"/>
      <c r="S202" s="58"/>
      <c r="T202" s="58"/>
      <c r="U202" s="84"/>
      <c r="V202" s="84"/>
      <c r="W202" s="85"/>
      <c r="X202" s="84"/>
      <c r="Y202" s="84"/>
      <c r="Z202" s="37"/>
      <c r="AA202" s="84"/>
      <c r="AB202" s="84"/>
      <c r="AC202" s="84"/>
      <c r="AD202" s="84"/>
    </row>
    <row r="203" spans="1:30" x14ac:dyDescent="0.25">
      <c r="A203" s="116" t="s">
        <v>221</v>
      </c>
      <c r="B203" s="116"/>
      <c r="C203" s="116"/>
      <c r="D203" s="116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</v>
      </c>
      <c r="C204" s="35" t="str">
        <f>IF(L204="","",L204)</f>
        <v>l</v>
      </c>
      <c r="D204" s="36" t="str">
        <f>_xlfn.CONCAT(K204, U204)</f>
        <v>vegetable stock</v>
      </c>
      <c r="E204" s="61" t="s">
        <v>283</v>
      </c>
      <c r="F204" s="73">
        <f>wkdyRegDinner</f>
        <v>10</v>
      </c>
      <c r="G204" s="62"/>
      <c r="I204" s="50">
        <v>4.5</v>
      </c>
      <c r="J204" s="51" t="s">
        <v>40</v>
      </c>
      <c r="K204" s="51" t="s">
        <v>41</v>
      </c>
      <c r="L204" s="52" t="s">
        <v>40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MROUND(IF(L204 = "", IF(J204 = "", I204, IF(M204 &lt;&gt; 0, O204 / M204, P204 / N204)) * recipe05DayScale, IF(ISNA(CONVERT(O204, "kg", L204)), CONVERT(P204 * recipe05DayScale, "l", L204), CONVERT(O204 * recipe05DayScale, "kg", L204))), roundTo)</f>
        <v>3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0"/>
      <c r="B205" s="120"/>
      <c r="C205" s="120"/>
      <c r="D205" s="120"/>
      <c r="E205" s="61" t="s">
        <v>295</v>
      </c>
      <c r="F205" s="46">
        <f>F204/F201</f>
        <v>1</v>
      </c>
      <c r="G205" s="47" t="s">
        <v>313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16" t="s">
        <v>94</v>
      </c>
      <c r="B206" s="116"/>
      <c r="C206" s="116"/>
      <c r="D206" s="116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195">Q207</f>
        <v>19.5</v>
      </c>
      <c r="C207" s="35" t="str">
        <f t="shared" ref="C207:C231" si="196">IF(L207="","",L207)</f>
        <v>cup</v>
      </c>
      <c r="D207" s="101" t="str">
        <f>_xlfn.CONCAT(K207, U207)</f>
        <v>chopped kumara</v>
      </c>
      <c r="I207" s="50">
        <v>12</v>
      </c>
      <c r="J207" s="51"/>
      <c r="K207" s="51" t="s">
        <v>128</v>
      </c>
      <c r="L207" s="52" t="s">
        <v>16</v>
      </c>
      <c r="M207" s="43">
        <f t="shared" ref="M207:M222" si="197">INDEX(itemGPerQty, MATCH(K207, itemNames, 0))</f>
        <v>0.30149999999999999</v>
      </c>
      <c r="N207" s="43">
        <f t="shared" ref="N207:N222" si="198">INDEX(itemMlPerQty, MATCH(K207, itemNames, 0))</f>
        <v>0.57499999999999996</v>
      </c>
      <c r="O207" s="43">
        <f t="shared" ref="O207:O222" si="199">IF(J207 = "", I207 * M207, IF(ISNA(CONVERT(I207, J207, "kg")), CONVERT(I207, J207, "l") * IF(N207 &lt;&gt; 0, M207 / N207, 0), CONVERT(I207, J207, "kg")))</f>
        <v>3.6179999999999999</v>
      </c>
      <c r="P207" s="43">
        <f t="shared" ref="P207:P222" si="200">IF(J207 = "", I207 * N207, IF(ISNA(CONVERT(I207, J207, "l")), CONVERT(I207, J207, "kg") * IF(M207 &lt;&gt; 0, N207 / M207, 0), CONVERT(I207, J207, "l")))</f>
        <v>6.8999999999999995</v>
      </c>
      <c r="Q207" s="43">
        <f>MROUND(IF(L207 = "", IF(J207 = "", I207, IF(M207 &lt;&gt; 0, O207 / M207, P207 / N207)) * recipe05DayScale, IF(ISNA(CONVERT(O207, "kg", L207)), CONVERT(P207 * recipe05DayScale, "l", L207), CONVERT(O207 * recipe05DayScale, "kg", L207))), roundTo)</f>
        <v>19.5</v>
      </c>
      <c r="R207" s="43">
        <f>recipe05TotScale * IF(L207 = "", Q207 * M207, IF(ISNA(CONVERT(Q207, L207, "kg")), CONVERT(Q207, L207, "l") * IF(N207 &lt;&gt; 0, M207 / N207, 0), CONVERT(Q207, L207, "kg")))</f>
        <v>2.4190632859871735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19.5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195"/>
        <v>6.75</v>
      </c>
      <c r="C208" s="35" t="str">
        <f t="shared" si="196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197"/>
        <v>0.14833333333333334</v>
      </c>
      <c r="N208" s="43">
        <f t="shared" si="198"/>
        <v>0.19999999999999998</v>
      </c>
      <c r="O208" s="43">
        <f t="shared" si="199"/>
        <v>1.7800000000000002</v>
      </c>
      <c r="P208" s="43">
        <f t="shared" si="200"/>
        <v>2.4</v>
      </c>
      <c r="Q208" s="43">
        <f>MROUND(IF(L208 = "", IF(J208 = "", I208, IF(M208 &lt;&gt; 0, O208 / M208, P208 / N208)) * recipe05DayScale, IF(ISNA(CONVERT(O208, "kg", L208)), CONVERT(P208 * recipe05DayScale, "l", L208), CONVERT(O208 * recipe05DayScale, "kg", L208))), roundTo)</f>
        <v>6.75</v>
      </c>
      <c r="R208" s="43">
        <f>recipe05TotScale * IF(L208 = "", Q208 * M208, IF(ISNA(CONVERT(Q208, L208, "kg")), CONVERT(Q208, L208, "l") * IF(N208 &lt;&gt; 0, M208 / N208, 0), CONVERT(Q208, L208, "kg")))</f>
        <v>1.1844198589781252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6.75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33</v>
      </c>
      <c r="L209" s="40"/>
      <c r="M209" s="40"/>
      <c r="N209" s="40"/>
      <c r="O209" s="40"/>
      <c r="P209" s="40"/>
      <c r="U209" s="40" t="s">
        <v>222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0"/>
      <c r="B210" s="120"/>
      <c r="C210" s="120"/>
      <c r="D210" s="12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16" t="s">
        <v>223</v>
      </c>
      <c r="B211" s="116"/>
      <c r="C211" s="116"/>
      <c r="D211" s="116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0"/>
      <c r="B212" s="120"/>
      <c r="C212" s="120"/>
      <c r="D212" s="12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16" t="s">
        <v>230</v>
      </c>
      <c r="B213" s="116"/>
      <c r="C213" s="116"/>
      <c r="D213" s="116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0"/>
      <c r="B214" s="120"/>
      <c r="C214" s="120"/>
      <c r="D214" s="12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16" t="s">
        <v>224</v>
      </c>
      <c r="B215" s="116"/>
      <c r="C215" s="116"/>
      <c r="D215" s="116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195"/>
        <v>2</v>
      </c>
      <c r="C216" s="35" t="str">
        <f t="shared" si="196"/>
        <v/>
      </c>
      <c r="D216" s="36" t="str">
        <f>_xlfn.CONCAT(K216, U216)</f>
        <v>tinned creamed corn</v>
      </c>
      <c r="I216" s="50">
        <v>3</v>
      </c>
      <c r="J216" s="51"/>
      <c r="K216" s="51" t="s">
        <v>383</v>
      </c>
      <c r="L216" s="52"/>
      <c r="M216" s="43">
        <f t="shared" si="197"/>
        <v>0</v>
      </c>
      <c r="N216" s="43">
        <f t="shared" si="198"/>
        <v>0</v>
      </c>
      <c r="O216" s="43">
        <f t="shared" si="199"/>
        <v>0</v>
      </c>
      <c r="P216" s="43">
        <f t="shared" si="200"/>
        <v>0</v>
      </c>
      <c r="Q216" s="43">
        <f>MROUND(IF(L216 = "", IF(J216 = "", I216, IF(M216 &lt;&gt; 0, O216 / M216, P216 / N216)) * recipe05DayScale, IF(ISNA(CONVERT(O216, "kg", L216)), CONVERT(P216 * recipe05DayScale, "l", L216), CONVERT(O216 * recipe05DayScale, "kg", L216))), roundTo)</f>
        <v>2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195"/>
        <v>5.25</v>
      </c>
      <c r="C217" s="35" t="str">
        <f t="shared" si="196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51</v>
      </c>
      <c r="L217" s="52" t="s">
        <v>15</v>
      </c>
      <c r="M217" s="43">
        <f t="shared" si="197"/>
        <v>0</v>
      </c>
      <c r="N217" s="43">
        <f t="shared" si="198"/>
        <v>0</v>
      </c>
      <c r="O217" s="43">
        <f t="shared" si="199"/>
        <v>0</v>
      </c>
      <c r="P217" s="43">
        <f t="shared" si="200"/>
        <v>0.11829411825</v>
      </c>
      <c r="Q217" s="43">
        <f>MROUND(IF(L217 = "", IF(J217 = "", I217, IF(M217 &lt;&gt; 0, O217 / M217, P217 / N217)) * recipe05DayScale, IF(ISNA(CONVERT(O217, "kg", L217)), CONVERT(P217 * recipe05DayScale, "l", L217), CONVERT(O217 * recipe05DayScale, "kg", L217))), roundTo)</f>
        <v>5.25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7.7630515101562492E-2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53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MROUND(IF(L218 = "", IF(J218 = "", I218, IF(M218 &lt;&gt; 0, O218 / M218, P218 / N218))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0"/>
      <c r="B219" s="120"/>
      <c r="C219" s="120"/>
      <c r="D219" s="12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16" t="s">
        <v>225</v>
      </c>
      <c r="B220" s="116"/>
      <c r="C220" s="116"/>
      <c r="D220" s="116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43">
        <f>recipe05TotScale * IF(L221 = "", Q221 * M221, IF(ISNA(CONVERT(Q221, L221, "kg")), CONVERT(Q221, L221, "l") * IF(N221 &lt;&gt; 0, M221 / N221, 0), CONVERT(Q221, L221, "kg")))</f>
        <v>9.7777985728197785E-3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195"/>
        <v>4</v>
      </c>
      <c r="C222" s="35" t="str">
        <f t="shared" si="196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52</v>
      </c>
      <c r="L222" s="52" t="s">
        <v>15</v>
      </c>
      <c r="M222" s="43">
        <f t="shared" si="197"/>
        <v>0</v>
      </c>
      <c r="N222" s="43">
        <f t="shared" si="198"/>
        <v>0</v>
      </c>
      <c r="O222" s="43">
        <f t="shared" si="199"/>
        <v>0</v>
      </c>
      <c r="P222" s="43">
        <f t="shared" si="200"/>
        <v>8.872058868749999E-2</v>
      </c>
      <c r="Q222" s="43">
        <f>MROUND(IF(L222 = "", IF(J222 = "", I222, IF(M222 &lt;&gt; 0, O222 / M222, P222 / N222)) * recipe05DayScale, IF(ISNA(CONVERT(O222, "kg", L222)), CONVERT(P222 * recipe05DayScale, "l", L222), CONVERT(O222 * recipe05DayScale, "kg", L222))), roundTo)</f>
        <v>4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5.9147059124999998E-2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16" t="s">
        <v>226</v>
      </c>
      <c r="B224" s="116"/>
      <c r="C224" s="116"/>
      <c r="D224" s="116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16" t="s">
        <v>228</v>
      </c>
      <c r="B226" s="116"/>
      <c r="C226" s="116"/>
      <c r="D226" s="116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1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177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196"/>
        <v/>
      </c>
      <c r="D228" s="36" t="str">
        <f>_xlfn.CONCAT(K228, U228)</f>
        <v>ground black pepper, to taste</v>
      </c>
      <c r="I228" s="43"/>
      <c r="K228" s="51" t="s">
        <v>56</v>
      </c>
      <c r="L228" s="40"/>
      <c r="M228" s="40"/>
      <c r="N228" s="40"/>
      <c r="O228" s="40"/>
      <c r="P228" s="40"/>
      <c r="U228" s="40" t="s">
        <v>177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16" t="s">
        <v>229</v>
      </c>
      <c r="B230" s="116"/>
      <c r="C230" s="116"/>
      <c r="D230" s="116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196"/>
        <v/>
      </c>
      <c r="D231" s="36" t="str">
        <f>_xlfn.CONCAT(K231, U231)</f>
        <v>chopped fresh chives, if available</v>
      </c>
      <c r="I231" s="43"/>
      <c r="K231" s="51" t="s">
        <v>59</v>
      </c>
      <c r="L231" s="40"/>
      <c r="M231" s="40"/>
      <c r="N231" s="40"/>
      <c r="O231" s="40"/>
      <c r="P231" s="40"/>
      <c r="U231" s="40" t="s">
        <v>199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7" t="s">
        <v>536</v>
      </c>
      <c r="B232" s="117"/>
      <c r="C232" s="117"/>
      <c r="D232" s="117"/>
      <c r="E232" s="39" t="s">
        <v>107</v>
      </c>
      <c r="F232" s="84" t="s">
        <v>70</v>
      </c>
      <c r="G232" s="84"/>
      <c r="H232" s="43"/>
    </row>
    <row r="233" spans="1:30" ht="24" x14ac:dyDescent="0.2">
      <c r="A233" s="117" t="s">
        <v>26</v>
      </c>
      <c r="B233" s="117"/>
      <c r="C233" s="117"/>
      <c r="D233" s="117"/>
      <c r="E233" s="38" t="s">
        <v>39</v>
      </c>
      <c r="F233" s="73">
        <v>14</v>
      </c>
      <c r="G233" s="43"/>
      <c r="H233" s="43"/>
      <c r="I233" s="65" t="s">
        <v>369</v>
      </c>
      <c r="J233" s="66" t="s">
        <v>370</v>
      </c>
      <c r="K233" s="66" t="s">
        <v>17</v>
      </c>
      <c r="L233" s="67" t="s">
        <v>373</v>
      </c>
      <c r="M233" s="65" t="s">
        <v>118</v>
      </c>
      <c r="N233" s="65" t="s">
        <v>119</v>
      </c>
      <c r="O233" s="65" t="s">
        <v>371</v>
      </c>
      <c r="P233" s="65" t="s">
        <v>372</v>
      </c>
      <c r="Q233" s="66" t="s">
        <v>296</v>
      </c>
      <c r="R233" s="65" t="s">
        <v>297</v>
      </c>
      <c r="S233" s="65" t="s">
        <v>298</v>
      </c>
      <c r="T233" s="65" t="s">
        <v>299</v>
      </c>
      <c r="U233" s="66" t="s">
        <v>22</v>
      </c>
      <c r="V233" s="66" t="s">
        <v>173</v>
      </c>
      <c r="W233" s="68" t="s">
        <v>296</v>
      </c>
      <c r="X233" s="66" t="s">
        <v>171</v>
      </c>
      <c r="Y233" s="66" t="s">
        <v>172</v>
      </c>
      <c r="Z233" s="66" t="s">
        <v>271</v>
      </c>
      <c r="AA233" s="66" t="s">
        <v>174</v>
      </c>
      <c r="AB233" s="68" t="s">
        <v>296</v>
      </c>
      <c r="AC233" s="66" t="s">
        <v>175</v>
      </c>
      <c r="AD233" s="66" t="s">
        <v>176</v>
      </c>
    </row>
    <row r="234" spans="1:30" ht="13.5" thickBot="1" x14ac:dyDescent="0.3">
      <c r="A234" s="118" t="str">
        <f>_xlfn.CONCAT(F234," servings")</f>
        <v>10 servings</v>
      </c>
      <c r="B234" s="118"/>
      <c r="C234" s="118"/>
      <c r="D234" s="118"/>
      <c r="E234" s="61" t="s">
        <v>291</v>
      </c>
      <c r="F234" s="73">
        <f>wkdyRegLunch</f>
        <v>10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6" customFormat="1" ht="15.75" thickBot="1" x14ac:dyDescent="0.3">
      <c r="A235" s="116"/>
      <c r="B235" s="116"/>
      <c r="C235" s="116"/>
      <c r="D235" s="116"/>
      <c r="E235" s="61" t="s">
        <v>294</v>
      </c>
      <c r="F235" s="46">
        <f>F234/F233</f>
        <v>0.7142857142857143</v>
      </c>
      <c r="G235" s="47" t="s">
        <v>314</v>
      </c>
      <c r="H235" s="43"/>
      <c r="I235" s="58"/>
      <c r="J235" s="84"/>
      <c r="K235" s="84"/>
      <c r="L235" s="59"/>
      <c r="M235" s="58"/>
      <c r="N235" s="58"/>
      <c r="O235" s="58"/>
      <c r="P235" s="58"/>
      <c r="Q235" s="84"/>
      <c r="R235" s="58"/>
      <c r="S235" s="58"/>
      <c r="T235" s="58"/>
      <c r="U235" s="84"/>
      <c r="W235" s="44"/>
      <c r="Z235" s="45"/>
    </row>
    <row r="236" spans="1:30" x14ac:dyDescent="0.25">
      <c r="A236" s="116" t="s">
        <v>93</v>
      </c>
      <c r="B236" s="116"/>
      <c r="C236" s="116"/>
      <c r="D236" s="116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2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283</v>
      </c>
      <c r="F237" s="73">
        <f>wkdyRegLunch</f>
        <v>10</v>
      </c>
      <c r="G237" s="62"/>
      <c r="I237" s="50">
        <v>3</v>
      </c>
      <c r="J237" s="51" t="s">
        <v>16</v>
      </c>
      <c r="K237" s="51" t="s">
        <v>82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3">IF(J237 = "", I237 * M237, IF(ISNA(CONVERT(I237, J237, "kg")), CONVERT(I237, J237, "l") * IF(N237 &lt;&gt; 0, M237 / N237, 0), CONVERT(I237, J237, "kg")))</f>
        <v>0</v>
      </c>
      <c r="P237" s="43">
        <f t="shared" ref="P237:P238" si="204">IF(J237 = "", I237 * N237, IF(ISNA(CONVERT(I237, J237, "l")), CONVERT(I237, J237, "kg") * IF(M237 &lt;&gt; 0, N237 / M237, 0), CONVERT(I237, J237, "l")))</f>
        <v>0.70976470949999992</v>
      </c>
      <c r="Q237" s="43">
        <f>MROUND(IF(L237 = "", IF(J237 = "", I237, IF(M237 &lt;&gt; 0, O237 / M237, P237 / N237))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2"/>
        <v>2.75</v>
      </c>
      <c r="C238" s="35" t="str">
        <f>IF(L238="","",L238)</f>
        <v>cup</v>
      </c>
      <c r="D238" s="36" t="str">
        <f>_xlfn.CONCAT(K238, U238)</f>
        <v>hot water</v>
      </c>
      <c r="E238" s="61" t="s">
        <v>295</v>
      </c>
      <c r="F238" s="46">
        <f>F237/F234</f>
        <v>1</v>
      </c>
      <c r="G238" s="47" t="s">
        <v>315</v>
      </c>
      <c r="I238" s="50">
        <v>4</v>
      </c>
      <c r="J238" s="51" t="s">
        <v>16</v>
      </c>
      <c r="K238" s="51" t="s">
        <v>89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3"/>
        <v>0.94635294599999997</v>
      </c>
      <c r="P238" s="43">
        <f t="shared" si="204"/>
        <v>0.94635294599999997</v>
      </c>
      <c r="Q238" s="43">
        <f>MROUND(IF(L238 = "", IF(J238 = "", I238, IF(M238 &lt;&gt; 0, O238 / M238, P238 / N238)) * recipe06DayScale, IF(ISNA(CONVERT(O238, "kg", L238)), CONVERT(P238 * recipe06DayScale, "l", L238), CONVERT(O238 * recipe06DayScale, "kg", L238))), roundTo)</f>
        <v>2.75</v>
      </c>
      <c r="R238" s="43">
        <f>recipe06TotScale * IF(L238 = "", Q238 * M238, IF(ISNA(CONVERT(Q238, L238, "kg")), CONVERT(Q238, L238, "l") * IF(N238 &lt;&gt; 0, M238 / N238, 0), CONVERT(Q238, L238, "kg")))</f>
        <v>0.65061765037499997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16"/>
      <c r="B239" s="116"/>
      <c r="C239" s="116"/>
      <c r="D239" s="116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16" t="s">
        <v>94</v>
      </c>
      <c r="B240" s="116"/>
      <c r="C240" s="116"/>
      <c r="D240" s="116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05">Q241</f>
        <v>0.25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90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06">IF(J241 = "", I241 * M241, IF(ISNA(CONVERT(I241, J241, "kg")), CONVERT(I241, J241, "l") * IF(N241 &lt;&gt; 0, M241 / N241, 0), CONVERT(I241, J241, "kg")))</f>
        <v>0</v>
      </c>
      <c r="P241" s="43">
        <f t="shared" ref="P241:P242" si="207">IF(J241 = "", I241 * N241, IF(ISNA(CONVERT(I241, J241, "l")), CONVERT(I241, J241, "kg") * IF(M241 &lt;&gt; 0, N241 / M241, 0), CONVERT(I241, J241, "l")))</f>
        <v>0.11829411825</v>
      </c>
      <c r="Q241" s="43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5.9147059124999998E-2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05"/>
        <v>0.25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91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06"/>
        <v>0</v>
      </c>
      <c r="P242" s="43">
        <f t="shared" si="207"/>
        <v>0.11829411825</v>
      </c>
      <c r="Q242" s="43">
        <f>MROUND(IF(L242 = "", IF(J242 = "", I242, IF(M242 &lt;&gt; 0, O242 / M242, P242 / N242)) * recipe06DayScale, IF(ISNA(CONVERT(O242, "kg", L242)), CONVERT(P242 * recipe06DayScale, "l", L242), CONVERT(O242 * recipe06DayScale, "kg", L242))), roundTo)</f>
        <v>0.25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5.9147059124999998E-2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16"/>
      <c r="B243" s="116"/>
      <c r="C243" s="116"/>
      <c r="D243" s="116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16" t="s">
        <v>95</v>
      </c>
      <c r="B244" s="116"/>
      <c r="C244" s="116"/>
      <c r="D244" s="116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231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MROUND(IF(L245 = "", IF(J245 = "", I245, IF(M245 &lt;&gt; 0, O245 / M245, P245 / N245))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233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16"/>
      <c r="B246" s="116"/>
      <c r="C246" s="116"/>
      <c r="D246" s="116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16" t="s">
        <v>96</v>
      </c>
      <c r="B247" s="116"/>
      <c r="C247" s="116"/>
      <c r="D247" s="116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3.5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MROUND(IF(L248 = "", IF(J248 = "", I248, IF(M248 &lt;&gt; 0, O248 / M248, P248 / N248)) * recipe06DayScale, IF(ISNA(CONVERT(O248, "kg", L248)), CONVERT(P248 * recipe06DayScale, "l", L248), CONVERT(O248 * recipe06DayScale, "kg", L248))), roundTo)</f>
        <v>3.5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3.5</v>
      </c>
      <c r="U248" s="40" t="s">
        <v>204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08">Q249</f>
        <v>2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09">IF(J249 = "", I249 * M249, IF(ISNA(CONVERT(I249, J249, "kg")), CONVERT(I249, J249, "l") * IF(N249 &lt;&gt; 0, M249 / N249, 0), CONVERT(I249, J249, "kg")))</f>
        <v>0.50875000000000004</v>
      </c>
      <c r="P249" s="43">
        <f t="shared" ref="P249:P250" si="210">IF(J249 = "", I249 * N249, IF(ISNA(CONVERT(I249, J249, "l")), CONVERT(I249, J249, "kg") * IF(M249 &lt;&gt; 0, N249 / M249, 0), CONVERT(I249, J249, "l")))</f>
        <v>0.82499999999999996</v>
      </c>
      <c r="Q249" s="43">
        <f>MROUND(IF(L249 = "", IF(J249 = "", I249, IF(M249 &lt;&gt; 0, O249 / M249, P249 / N249)) * recipe06DayScale, IF(ISNA(CONVERT(O249, "kg", L249)), CONVERT(P249 * recipe06DayScale, "l", L249), CONVERT(O249 * recipe06DayScale, "kg", L249))), roundTo)</f>
        <v>2</v>
      </c>
      <c r="R249" s="43">
        <f>recipe06TotScale * IF(L249 = "", Q249 * M249, IF(ISNA(CONVERT(Q249, L249, "kg")), CONVERT(Q249, L249, "l") * IF(N249 &lt;&gt; 0, M249 / N249, 0), CONVERT(Q249, L249, "kg")))</f>
        <v>0.37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08"/>
        <v>0.25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192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09"/>
        <v>0</v>
      </c>
      <c r="P250" s="43">
        <f t="shared" si="210"/>
        <v>0.11829411825</v>
      </c>
      <c r="Q250" s="43">
        <f>MROUND(IF(L250 = "", IF(J250 = "", I250, IF(M250 &lt;&gt; 0, O250 / M250, P250 / N250)) * recipe06DayScale, IF(ISNA(CONVERT(O250, "kg", L250)), CONVERT(P250 * recipe06DayScale, "l", L250), CONVERT(O250 * recipe06DayScale, "kg", L250))), roundTo)</f>
        <v>0.25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5.9147059124999998E-2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0.25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16"/>
      <c r="B251" s="116"/>
      <c r="C251" s="116"/>
      <c r="D251" s="116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16" t="s">
        <v>97</v>
      </c>
      <c r="B252" s="116"/>
      <c r="C252" s="116"/>
      <c r="D252" s="116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1">Q253</f>
        <v>2.25</v>
      </c>
      <c r="C253" s="35" t="str">
        <f>IF(L253="","",L253)</f>
        <v/>
      </c>
      <c r="D253" s="36" t="str">
        <f t="shared" ref="D253:D258" si="212">_xlfn.CONCAT(K253, U253)</f>
        <v>chopped broccoli florets</v>
      </c>
      <c r="I253" s="50">
        <v>3</v>
      </c>
      <c r="J253" s="51"/>
      <c r="K253" s="51" t="s">
        <v>447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3">IF(J253 = "", I253 * M253, IF(ISNA(CONVERT(I253, J253, "kg")), CONVERT(I253, J253, "l") * IF(N253 &lt;&gt; 0, M253 / N253, 0), CONVERT(I253, J253, "kg")))</f>
        <v>0.81900000000000006</v>
      </c>
      <c r="P253" s="43">
        <f t="shared" ref="P253:P256" si="214">IF(J253 = "", I253 * N253, IF(ISNA(CONVERT(I253, J253, "l")), CONVERT(I253, J253, "kg") * IF(M253 &lt;&gt; 0, N253 / M253, 0), CONVERT(I253, J253, "l")))</f>
        <v>3.3000000000000003</v>
      </c>
      <c r="Q253" s="43">
        <f>MROUND(IF(L253 = "", IF(J253 = "", I253, IF(M253 &lt;&gt; 0, O253 / M253, P253 / N253))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1"/>
        <v>1.5</v>
      </c>
      <c r="C254" s="35" t="str">
        <f>IF(L254="","",L254)</f>
        <v/>
      </c>
      <c r="D254" s="36" t="str">
        <f t="shared" si="212"/>
        <v>chopped cauliflowers</v>
      </c>
      <c r="I254" s="50">
        <v>2</v>
      </c>
      <c r="J254" s="51"/>
      <c r="K254" s="51" t="s">
        <v>136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3"/>
        <v>0</v>
      </c>
      <c r="P254" s="43">
        <f t="shared" si="214"/>
        <v>0</v>
      </c>
      <c r="Q254" s="43">
        <f>MROUND(IF(L254 = "", IF(J254 = "", I254, IF(M254 &lt;&gt; 0, O254 / M254, P254 / N254))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1"/>
        <v>1</v>
      </c>
      <c r="C255" s="35" t="str">
        <f>IF(L255="","",L255)</f>
        <v>cup</v>
      </c>
      <c r="D255" s="36" t="str">
        <f t="shared" si="212"/>
        <v>peanuts</v>
      </c>
      <c r="I255" s="50">
        <v>1.5</v>
      </c>
      <c r="J255" s="51" t="s">
        <v>16</v>
      </c>
      <c r="K255" s="51" t="s">
        <v>92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3"/>
        <v>0</v>
      </c>
      <c r="P255" s="43">
        <f t="shared" si="214"/>
        <v>0.35488235474999996</v>
      </c>
      <c r="Q255" s="43">
        <f>MROUND(IF(L255 = "", IF(J255 = "", I255, IF(M255 &lt;&gt; 0, O255 / M255, P255 / N255)) * recipe06DayScale, IF(ISNA(CONVERT(O255, "kg", L255)), CONVERT(P255 * recipe06DayScale, "l", L255), CONVERT(O255 * recipe06DayScale, "kg", L255))), roundTo)</f>
        <v>1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0.23658823649999999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1"/>
        <v>2.25</v>
      </c>
      <c r="C256" s="35" t="str">
        <f>IF(L256="","",L256)</f>
        <v>cup</v>
      </c>
      <c r="D256" s="36" t="str">
        <f t="shared" si="212"/>
        <v>tinned coconut milk</v>
      </c>
      <c r="I256" s="50">
        <v>3</v>
      </c>
      <c r="J256" s="51" t="s">
        <v>16</v>
      </c>
      <c r="K256" s="51" t="s">
        <v>382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3"/>
        <v>0</v>
      </c>
      <c r="P256" s="43">
        <f t="shared" si="214"/>
        <v>0.70976470949999992</v>
      </c>
      <c r="Q256" s="43">
        <f>MROUND(IF(L256 = "", IF(J256 = "", I256, IF(M256 &lt;&gt; 0, O256 / M256, P256 / N256))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2"/>
        <v>grilled tofu</v>
      </c>
      <c r="I257" s="43"/>
      <c r="U257" s="40" t="s">
        <v>98</v>
      </c>
    </row>
    <row r="258" spans="1:30" x14ac:dyDescent="0.25">
      <c r="A258" s="36" t="s">
        <v>21</v>
      </c>
      <c r="D258" s="36" t="str">
        <f t="shared" si="212"/>
        <v>peanut sauce</v>
      </c>
      <c r="I258" s="43"/>
      <c r="U258" s="40" t="s">
        <v>99</v>
      </c>
    </row>
    <row r="259" spans="1:30" ht="15.75" x14ac:dyDescent="0.25">
      <c r="A259" s="117" t="s">
        <v>537</v>
      </c>
      <c r="B259" s="117"/>
      <c r="C259" s="117"/>
      <c r="D259" s="117"/>
      <c r="E259" s="39" t="s">
        <v>108</v>
      </c>
      <c r="F259" s="84" t="s">
        <v>57</v>
      </c>
      <c r="G259" s="84"/>
      <c r="H259" s="43"/>
    </row>
    <row r="260" spans="1:30" ht="24" x14ac:dyDescent="0.2">
      <c r="A260" s="117" t="s">
        <v>27</v>
      </c>
      <c r="B260" s="117"/>
      <c r="C260" s="117"/>
      <c r="D260" s="117"/>
      <c r="E260" s="38" t="s">
        <v>39</v>
      </c>
      <c r="F260" s="73">
        <v>15</v>
      </c>
      <c r="G260" s="43"/>
      <c r="H260" s="43"/>
      <c r="I260" s="65" t="s">
        <v>369</v>
      </c>
      <c r="J260" s="66" t="s">
        <v>370</v>
      </c>
      <c r="K260" s="66" t="s">
        <v>17</v>
      </c>
      <c r="L260" s="67" t="s">
        <v>373</v>
      </c>
      <c r="M260" s="65" t="s">
        <v>118</v>
      </c>
      <c r="N260" s="65" t="s">
        <v>119</v>
      </c>
      <c r="O260" s="65" t="s">
        <v>371</v>
      </c>
      <c r="P260" s="65" t="s">
        <v>372</v>
      </c>
      <c r="Q260" s="66" t="s">
        <v>296</v>
      </c>
      <c r="R260" s="65" t="s">
        <v>297</v>
      </c>
      <c r="S260" s="65" t="s">
        <v>298</v>
      </c>
      <c r="T260" s="65" t="s">
        <v>299</v>
      </c>
      <c r="U260" s="66" t="s">
        <v>22</v>
      </c>
      <c r="V260" s="66" t="s">
        <v>173</v>
      </c>
      <c r="W260" s="68" t="s">
        <v>296</v>
      </c>
      <c r="X260" s="66" t="s">
        <v>171</v>
      </c>
      <c r="Y260" s="66" t="s">
        <v>172</v>
      </c>
      <c r="Z260" s="66" t="s">
        <v>271</v>
      </c>
      <c r="AA260" s="66" t="s">
        <v>174</v>
      </c>
      <c r="AB260" s="68" t="s">
        <v>296</v>
      </c>
      <c r="AC260" s="66" t="s">
        <v>175</v>
      </c>
      <c r="AD260" s="66" t="s">
        <v>176</v>
      </c>
    </row>
    <row r="261" spans="1:30" ht="13.5" thickBot="1" x14ac:dyDescent="0.3">
      <c r="A261" s="118" t="str">
        <f>_xlfn.CONCAT(F261," servings")</f>
        <v>10 servings</v>
      </c>
      <c r="B261" s="118"/>
      <c r="C261" s="118"/>
      <c r="D261" s="118"/>
      <c r="E261" s="61" t="s">
        <v>291</v>
      </c>
      <c r="F261" s="73">
        <f>wkdyRegDinner</f>
        <v>10</v>
      </c>
      <c r="G261" s="43"/>
      <c r="H261" s="49"/>
    </row>
    <row r="262" spans="1:30" s="86" customFormat="1" ht="15.75" thickBot="1" x14ac:dyDescent="0.3">
      <c r="A262" s="116"/>
      <c r="B262" s="116"/>
      <c r="C262" s="116"/>
      <c r="D262" s="116"/>
      <c r="E262" s="61" t="s">
        <v>294</v>
      </c>
      <c r="F262" s="46">
        <f>F261/F260</f>
        <v>0.66666666666666663</v>
      </c>
      <c r="G262" s="47" t="s">
        <v>316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16" t="s">
        <v>235</v>
      </c>
      <c r="B263" s="116"/>
      <c r="C263" s="116"/>
      <c r="D263" s="116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15">Q264</f>
        <v>3.25</v>
      </c>
      <c r="C264" s="35" t="str">
        <f t="shared" ref="C264:C281" si="216">IF(L264="","",L264)</f>
        <v>tbs</v>
      </c>
      <c r="D264" s="36" t="str">
        <f>_xlfn.CONCAT(K264, U264)</f>
        <v>minced fresh ginger</v>
      </c>
      <c r="E264" s="61" t="s">
        <v>283</v>
      </c>
      <c r="F264" s="73">
        <f>wkdyRegDinner</f>
        <v>10</v>
      </c>
      <c r="G264" s="62"/>
      <c r="I264" s="50">
        <v>5</v>
      </c>
      <c r="J264" s="51" t="s">
        <v>15</v>
      </c>
      <c r="K264" s="51" t="s">
        <v>192</v>
      </c>
      <c r="L264" s="52" t="s">
        <v>15</v>
      </c>
      <c r="M264" s="43">
        <f t="shared" ref="M264:M281" si="217">INDEX(itemGPerQty, MATCH(K264, itemNames, 0))</f>
        <v>0</v>
      </c>
      <c r="N264" s="43">
        <f t="shared" ref="N264:N281" si="218">INDEX(itemMlPerQty, MATCH(K264, itemNames, 0))</f>
        <v>0</v>
      </c>
      <c r="O264" s="43">
        <f t="shared" ref="O264:O281" si="219">IF(J264 = "", I264 * M264, IF(ISNA(CONVERT(I264, J264, "kg")), CONVERT(I264, J264, "l") * IF(N264 &lt;&gt; 0, M264 / N264, 0), CONVERT(I264, J264, "kg")))</f>
        <v>0</v>
      </c>
      <c r="P264" s="43">
        <f t="shared" ref="P264:P281" si="220">IF(J264 = "", I264 * N264, IF(ISNA(CONVERT(I264, J264, "l")), CONVERT(I264, J264, "kg") * IF(M264 &lt;&gt; 0, N264 / M264, 0), CONVERT(I264, J264, "l")))</f>
        <v>7.3933823906250001E-2</v>
      </c>
      <c r="Q264" s="43">
        <f>MROUND(IF(L264 = "", IF(J264 = "", I264, IF(M264 &lt;&gt; 0, O264 / M264, P264 / N264)) * recipe07DayScale, IF(ISNA(CONVERT(O264, "kg", L264)), CONVERT(P264 * recipe07DayScale, "l", L264), CONVERT(O264 * recipe07DayScale, "kg", L264))), roundTo)</f>
        <v>3.25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4.8056985539062499E-2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3.25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15"/>
        <v>7.75</v>
      </c>
      <c r="C265" s="35" t="str">
        <f t="shared" si="216"/>
        <v>cup</v>
      </c>
      <c r="D265" s="36" t="str">
        <f>_xlfn.CONCAT(K265, U265)</f>
        <v>sliced carrots</v>
      </c>
      <c r="E265" s="61" t="s">
        <v>295</v>
      </c>
      <c r="F265" s="46">
        <f>F264/F261</f>
        <v>1</v>
      </c>
      <c r="G265" s="47" t="s">
        <v>317</v>
      </c>
      <c r="I265" s="50">
        <v>10</v>
      </c>
      <c r="J265" s="51"/>
      <c r="K265" s="51" t="s">
        <v>440</v>
      </c>
      <c r="L265" s="52" t="s">
        <v>16</v>
      </c>
      <c r="M265" s="43">
        <f t="shared" si="217"/>
        <v>0.14499999999999999</v>
      </c>
      <c r="N265" s="43">
        <f t="shared" si="218"/>
        <v>0.27500000000000002</v>
      </c>
      <c r="O265" s="43">
        <f t="shared" si="219"/>
        <v>1.45</v>
      </c>
      <c r="P265" s="43">
        <f t="shared" si="220"/>
        <v>2.75</v>
      </c>
      <c r="Q265" s="43">
        <f>MROUND(IF(L265 = "", IF(J265 = "", I265, IF(M265 &lt;&gt; 0, O265 / M265, P265 / N265)) * recipe07DayScale, IF(ISNA(CONVERT(O265, "kg", L265)), CONVERT(P265 * recipe07DayScale, "l", L265), CONVERT(O265 * recipe07DayScale, "kg", L265))), roundTo)</f>
        <v>7.75</v>
      </c>
      <c r="R265" s="43">
        <f>recipe07TotScale * IF(L265 = "", Q265 * M265, IF(ISNA(CONVERT(Q265, L265, "kg")), CONVERT(Q265, L265, "l") * IF(N265 &lt;&gt; 0, M265 / N265, 0), CONVERT(Q265, L265, "kg")))</f>
        <v>0.9667855664249998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7.75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15"/>
        <v>3.25</v>
      </c>
      <c r="C266" s="35" t="str">
        <f t="shared" si="216"/>
        <v/>
      </c>
      <c r="D266" s="36" t="str">
        <f>_xlfn.CONCAT(K266, U266)</f>
        <v>sliced celery stalks</v>
      </c>
      <c r="I266" s="50">
        <v>5</v>
      </c>
      <c r="J266" s="51"/>
      <c r="K266" s="51" t="s">
        <v>146</v>
      </c>
      <c r="L266" s="52"/>
      <c r="M266" s="43">
        <f t="shared" si="217"/>
        <v>0.1</v>
      </c>
      <c r="N266" s="43">
        <f t="shared" si="218"/>
        <v>0.2</v>
      </c>
      <c r="O266" s="43">
        <f t="shared" si="219"/>
        <v>0.5</v>
      </c>
      <c r="P266" s="43">
        <f t="shared" si="220"/>
        <v>1</v>
      </c>
      <c r="Q266" s="43">
        <f>MROUND(IF(L266 = "", IF(J266 = "", I266, IF(M266 &lt;&gt; 0, O266 / M266, P266 / N266)) * recipe07DayScale, IF(ISNA(CONVERT(O266, "kg", L266)), CONVERT(P266 * recipe07DayScale, "l", L266), CONVERT(O266 * recipe07DayScale, "kg", L266))), roundTo)</f>
        <v>3.25</v>
      </c>
      <c r="R266" s="43">
        <f>recipe07TotScale * IF(L266 = "", Q266 * M266, IF(ISNA(CONVERT(Q266, L266, "kg")), CONVERT(Q266, L266, "l") * IF(N266 &lt;&gt; 0, M266 / N266, 0), CONVERT(Q266, L266, "kg")))</f>
        <v>0.32500000000000001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3.25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15"/>
        <v>13.25</v>
      </c>
      <c r="C267" s="35" t="str">
        <f t="shared" si="216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76</v>
      </c>
      <c r="L267" s="52"/>
      <c r="M267" s="43">
        <f t="shared" si="217"/>
        <v>7.4999999999999997E-2</v>
      </c>
      <c r="N267" s="43">
        <f t="shared" si="218"/>
        <v>0.32500000000000001</v>
      </c>
      <c r="O267" s="43">
        <f t="shared" si="219"/>
        <v>1.5</v>
      </c>
      <c r="P267" s="43">
        <f t="shared" si="220"/>
        <v>6.5</v>
      </c>
      <c r="Q267" s="43">
        <f>MROUND(IF(L267 = "", IF(J267 = "", I267, IF(M267 &lt;&gt; 0, O267 / M267, P267 / N267)) * recipe07DayScale, IF(ISNA(CONVERT(O267, "kg", L267)), CONVERT(P267 * recipe07DayScale, "l", L267), CONVERT(O267 * recipe07DayScale, "kg", L267))), roundTo)</f>
        <v>13.25</v>
      </c>
      <c r="R267" s="43">
        <f>recipe07TotScale * IF(L267 = "", Q267 * M267, IF(ISNA(CONVERT(Q267, L267, "kg")), CONVERT(Q267, L267, "l") * IF(N267 &lt;&gt; 0, M267 / N267, 0), CONVERT(Q267, L267, "kg")))</f>
        <v>0.99374999999999991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13.25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16"/>
      <c r="B268" s="116"/>
      <c r="C268" s="116"/>
      <c r="D268" s="116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16" t="s">
        <v>236</v>
      </c>
      <c r="B269" s="116"/>
      <c r="C269" s="116"/>
      <c r="D269" s="116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15"/>
        <v>10</v>
      </c>
      <c r="C270" s="35" t="str">
        <f t="shared" si="216"/>
        <v>cup</v>
      </c>
      <c r="D270" s="36" t="str">
        <f>_xlfn.CONCAT(K270, U270)</f>
        <v>vegetable stock</v>
      </c>
      <c r="I270" s="50">
        <v>3.55</v>
      </c>
      <c r="J270" s="51" t="s">
        <v>40</v>
      </c>
      <c r="K270" s="51" t="s">
        <v>41</v>
      </c>
      <c r="L270" s="52" t="s">
        <v>16</v>
      </c>
      <c r="M270" s="43">
        <f t="shared" si="217"/>
        <v>0</v>
      </c>
      <c r="N270" s="43">
        <f t="shared" si="218"/>
        <v>0</v>
      </c>
      <c r="O270" s="43">
        <f t="shared" si="219"/>
        <v>0</v>
      </c>
      <c r="P270" s="43">
        <f t="shared" si="220"/>
        <v>3.55</v>
      </c>
      <c r="Q270" s="43">
        <f>MROUND(IF(L270 = "", IF(J270 = "", I270, IF(M270 &lt;&gt; 0, O270 / M270, P270 / N270)) * recipe07DayScale, IF(ISNA(CONVERT(O270, "kg", L270)), CONVERT(P270 * recipe07DayScale, "l", L270), CONVERT(O270 * recipe07DayScale, "kg", L270))), roundTo)</f>
        <v>10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2.365882365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16"/>
      <c r="B271" s="116"/>
      <c r="C271" s="116"/>
      <c r="D271" s="116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16" t="s">
        <v>237</v>
      </c>
      <c r="B272" s="116"/>
      <c r="C272" s="116"/>
      <c r="D272" s="116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16"/>
      <c r="B273" s="116"/>
      <c r="C273" s="116"/>
      <c r="D273" s="116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16" t="s">
        <v>238</v>
      </c>
      <c r="B274" s="116"/>
      <c r="C274" s="116"/>
      <c r="D274" s="116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15"/>
        <v>2</v>
      </c>
      <c r="C275" s="35" t="str">
        <f t="shared" si="216"/>
        <v/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232</v>
      </c>
      <c r="L275" s="52"/>
      <c r="M275" s="43">
        <f t="shared" si="217"/>
        <v>0.315</v>
      </c>
      <c r="N275" s="43">
        <f t="shared" si="218"/>
        <v>0.55000000000000004</v>
      </c>
      <c r="O275" s="43">
        <f t="shared" si="219"/>
        <v>1</v>
      </c>
      <c r="P275" s="43">
        <f t="shared" si="220"/>
        <v>1.7460317460317463</v>
      </c>
      <c r="Q275" s="43">
        <f>MROUND(IF(L275 = "", IF(J275 = "", I275, IF(M275 &lt;&gt; 0, O275 / M275, P275 / N275)) * recipe07DayScale, IF(ISNA(CONVERT(O275, "kg", L275)), CONVERT(P275 * recipe07DayScale, "l", L275), CONVERT(O275 * recipe07DayScale, "kg", L275))), roundTo)</f>
        <v>2</v>
      </c>
      <c r="R275" s="43">
        <f>recipe07TotScale * IF(L275 = "", Q275 * M275, IF(ISNA(CONVERT(Q275, L275, "kg")), CONVERT(Q275, L275, "l") * IF(N275 &lt;&gt; 0, M275 / N275, 0), CONVERT(Q275, L275, "kg")))</f>
        <v>0.63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2</v>
      </c>
      <c r="X275" s="54" t="str">
        <f>IF(V275, IF(L275 = "", "", L275), "")</f>
        <v/>
      </c>
      <c r="Y275" s="54" t="str">
        <f>IF(V275, K275, "")</f>
        <v>blocks tofu, cut into small cubes</v>
      </c>
      <c r="Z275" s="55" t="s">
        <v>233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16" t="s">
        <v>239</v>
      </c>
      <c r="B277" s="116"/>
      <c r="C277" s="116"/>
      <c r="D277" s="116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15"/>
        <v>1</v>
      </c>
      <c r="C278" s="35" t="str">
        <f t="shared" si="216"/>
        <v/>
      </c>
      <c r="D278" s="83" t="str">
        <f>_xlfn.CONCAT(K278, U278)</f>
        <v>package wakame, then drain and set aside</v>
      </c>
      <c r="I278" s="50">
        <v>1.4</v>
      </c>
      <c r="J278" s="51"/>
      <c r="K278" s="51" t="s">
        <v>443</v>
      </c>
      <c r="L278" s="52"/>
      <c r="M278" s="43">
        <f t="shared" si="217"/>
        <v>0</v>
      </c>
      <c r="N278" s="43">
        <f t="shared" si="218"/>
        <v>0</v>
      </c>
      <c r="O278" s="43">
        <f t="shared" si="219"/>
        <v>0</v>
      </c>
      <c r="P278" s="43">
        <f t="shared" si="220"/>
        <v>0</v>
      </c>
      <c r="Q278" s="43">
        <f>MROUND(IF(L278 = "", IF(J278 = "", I278, IF(M278 &lt;&gt; 0, O278 / M278, P278 / N278))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240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16"/>
      <c r="B279" s="116"/>
      <c r="C279" s="116"/>
      <c r="D279" s="116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16" t="s">
        <v>241</v>
      </c>
      <c r="B280" s="116"/>
      <c r="C280" s="116"/>
      <c r="D280" s="116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15"/>
        <v>3.25</v>
      </c>
      <c r="C281" s="35" t="str">
        <f t="shared" si="216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42</v>
      </c>
      <c r="L281" s="52" t="s">
        <v>15</v>
      </c>
      <c r="M281" s="43">
        <f t="shared" si="217"/>
        <v>0</v>
      </c>
      <c r="N281" s="43">
        <f t="shared" si="218"/>
        <v>0</v>
      </c>
      <c r="O281" s="43">
        <f t="shared" si="219"/>
        <v>0</v>
      </c>
      <c r="P281" s="43">
        <f t="shared" si="220"/>
        <v>7.3933823906250001E-2</v>
      </c>
      <c r="Q281" s="43">
        <f>MROUND(IF(L281 = "", IF(J281 = "", I281, IF(M281 &lt;&gt; 0, O281 / M281, P281 / N281)) * recipe07DayScale, IF(ISNA(CONVERT(O281, "kg", L281)), CONVERT(P281 * recipe07DayScale, "l", L281), CONVERT(O281 * recipe07DayScale, "kg", L281))), roundTo)</f>
        <v>3.25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4.8056985539062499E-2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16"/>
      <c r="B282" s="116"/>
      <c r="C282" s="116"/>
      <c r="D282" s="116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16" t="s">
        <v>244</v>
      </c>
      <c r="B283" s="116"/>
      <c r="C283" s="116"/>
      <c r="D283" s="116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242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243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7" t="s">
        <v>538</v>
      </c>
      <c r="B286" s="117"/>
      <c r="C286" s="117"/>
      <c r="D286" s="117"/>
      <c r="E286" s="38" t="s">
        <v>113</v>
      </c>
      <c r="F286" s="86"/>
      <c r="G286" s="86"/>
      <c r="H286" s="43"/>
    </row>
    <row r="287" spans="1:30" ht="24" x14ac:dyDescent="0.2">
      <c r="A287" s="117" t="s">
        <v>246</v>
      </c>
      <c r="B287" s="117"/>
      <c r="C287" s="117"/>
      <c r="D287" s="117"/>
      <c r="E287" s="38" t="s">
        <v>39</v>
      </c>
      <c r="F287" s="73">
        <v>10</v>
      </c>
      <c r="G287" s="43"/>
      <c r="H287" s="43"/>
      <c r="I287" s="65" t="s">
        <v>369</v>
      </c>
      <c r="J287" s="66" t="s">
        <v>370</v>
      </c>
      <c r="K287" s="66" t="s">
        <v>17</v>
      </c>
      <c r="L287" s="67" t="s">
        <v>373</v>
      </c>
      <c r="M287" s="65" t="s">
        <v>118</v>
      </c>
      <c r="N287" s="65" t="s">
        <v>119</v>
      </c>
      <c r="O287" s="65" t="s">
        <v>371</v>
      </c>
      <c r="P287" s="65" t="s">
        <v>372</v>
      </c>
      <c r="Q287" s="66" t="s">
        <v>296</v>
      </c>
      <c r="R287" s="65" t="s">
        <v>297</v>
      </c>
      <c r="S287" s="65" t="s">
        <v>298</v>
      </c>
      <c r="T287" s="65" t="s">
        <v>299</v>
      </c>
      <c r="U287" s="66" t="s">
        <v>22</v>
      </c>
      <c r="V287" s="66" t="s">
        <v>173</v>
      </c>
      <c r="W287" s="68" t="s">
        <v>296</v>
      </c>
      <c r="X287" s="66" t="s">
        <v>171</v>
      </c>
      <c r="Y287" s="66" t="s">
        <v>172</v>
      </c>
      <c r="Z287" s="66" t="s">
        <v>271</v>
      </c>
      <c r="AA287" s="66" t="s">
        <v>174</v>
      </c>
      <c r="AB287" s="68" t="s">
        <v>296</v>
      </c>
      <c r="AC287" s="66" t="s">
        <v>175</v>
      </c>
      <c r="AD287" s="66" t="s">
        <v>176</v>
      </c>
    </row>
    <row r="288" spans="1:30" ht="13.5" thickBot="1" x14ac:dyDescent="0.3">
      <c r="A288" s="118" t="str">
        <f>_xlfn.CONCAT(F288," servings")</f>
        <v>10 servings</v>
      </c>
      <c r="B288" s="118"/>
      <c r="C288" s="118"/>
      <c r="D288" s="118"/>
      <c r="E288" s="61" t="s">
        <v>291</v>
      </c>
      <c r="F288" s="73">
        <f>wkdyRegLunch</f>
        <v>10</v>
      </c>
      <c r="G288" s="43"/>
      <c r="H288" s="43"/>
    </row>
    <row r="289" spans="1:30" s="86" customFormat="1" ht="15.75" thickBot="1" x14ac:dyDescent="0.3">
      <c r="A289" s="116"/>
      <c r="B289" s="116"/>
      <c r="C289" s="116"/>
      <c r="D289" s="116"/>
      <c r="E289" s="61" t="s">
        <v>294</v>
      </c>
      <c r="F289" s="46">
        <f>F288/F287</f>
        <v>1</v>
      </c>
      <c r="G289" s="47" t="s">
        <v>318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1" t="s">
        <v>247</v>
      </c>
      <c r="B290" s="121"/>
      <c r="C290" s="121"/>
      <c r="D290" s="121"/>
      <c r="E290" s="62"/>
      <c r="F290" s="62"/>
      <c r="G290" s="62"/>
      <c r="H290" s="43"/>
    </row>
    <row r="291" spans="1:30" ht="15.75" thickBot="1" x14ac:dyDescent="0.3">
      <c r="A291" s="116"/>
      <c r="B291" s="116"/>
      <c r="C291" s="116"/>
      <c r="D291" s="116"/>
      <c r="E291" s="61" t="s">
        <v>283</v>
      </c>
      <c r="F291" s="73">
        <f>wkdyRegLunch</f>
        <v>10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16" t="s">
        <v>264</v>
      </c>
      <c r="B292" s="116"/>
      <c r="C292" s="116"/>
      <c r="D292" s="116"/>
      <c r="E292" s="61" t="s">
        <v>295</v>
      </c>
      <c r="F292" s="46">
        <f>F291/F288</f>
        <v>1</v>
      </c>
      <c r="G292" s="47" t="s">
        <v>319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1">Q293</f>
        <v>2</v>
      </c>
      <c r="C293" s="35" t="str">
        <f t="shared" ref="C293" si="222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248</v>
      </c>
      <c r="L293" s="52" t="s">
        <v>16</v>
      </c>
      <c r="M293" s="43">
        <f t="shared" ref="M293" si="223">INDEX(itemGPerQty, MATCH(K293, itemNames, 0))</f>
        <v>1.02</v>
      </c>
      <c r="N293" s="43">
        <f t="shared" ref="N293" si="224">INDEX(itemMlPerQty, MATCH(K293, itemNames, 0))</f>
        <v>1.2</v>
      </c>
      <c r="O293" s="43">
        <f t="shared" ref="O293" si="225">IF(J293 = "", I293 * M293, IF(ISNA(CONVERT(I293, J293, "kg")), CONVERT(I293, J293, "l") * IF(N293 &lt;&gt; 0, M293 / N293, 0), CONVERT(I293, J293, "kg")))</f>
        <v>0.40220000205000001</v>
      </c>
      <c r="P293" s="43">
        <f t="shared" ref="P293" si="226">IF(J293 = "", I293 * N293, IF(ISNA(CONVERT(I293, J293, "l")), CONVERT(I293, J293, "kg") * IF(M293 &lt;&gt; 0, N293 / M293, 0), CONVERT(I293, J293, "l")))</f>
        <v>0.47317647299999999</v>
      </c>
      <c r="Q293" s="43">
        <f>MROUND(IF(L293 = "", IF(J293 = "", I293, IF(M293 &lt;&gt; 0, O293 / M293, P293 / N293)) * recipe12DayScale, IF(ISNA(CONVERT(O293, "kg", L293)), CONVERT(P293 * recipe12DayScale, "l", L293), CONVERT(O293 * recipe12DayScale, "kg", L293))), roundTo)</f>
        <v>2</v>
      </c>
      <c r="R293" s="43">
        <f>recipe12TotScale * IF(L293 = "", Q293 * M293, IF(ISNA(CONVERT(Q293, L293, "kg")), CONVERT(Q293, L293, "l") * IF(N293 &lt;&gt; 0, M293 / N293, 0), CONVERT(Q293, L293, "kg")))</f>
        <v>0.40220000205000001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27">Q294</f>
        <v>8</v>
      </c>
      <c r="C294" s="35" t="str">
        <f t="shared" ref="C294" si="228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29">INDEX(itemGPerQty, MATCH(K294, itemNames, 0))</f>
        <v>0.22500000000000001</v>
      </c>
      <c r="N294" s="43">
        <f t="shared" ref="N294" si="230">INDEX(itemMlPerQty, MATCH(K294, itemNames, 0))</f>
        <v>0.33750000000000002</v>
      </c>
      <c r="O294" s="43">
        <f t="shared" ref="O294" si="231">IF(J294 = "", I294 * M294, IF(ISNA(CONVERT(I294, J294, "kg")), CONVERT(I294, J294, "l") * IF(N294 &lt;&gt; 0, M294 / N294, 0), CONVERT(I294, J294, "kg")))</f>
        <v>1.8</v>
      </c>
      <c r="P294" s="43">
        <f t="shared" ref="P294" si="232">IF(J294 = "", I294 * N294, IF(ISNA(CONVERT(I294, J294, "l")), CONVERT(I294, J294, "kg") * IF(M294 &lt;&gt; 0, N294 / M294, 0), CONVERT(I294, J294, "l")))</f>
        <v>2.7</v>
      </c>
      <c r="Q294" s="43">
        <f>MROUND(IF(L294 = "", IF(J294 = "", I294, IF(M294 &lt;&gt; 0, O294 / M294, P294 / N294)) * recipe12DayScale, IF(ISNA(CONVERT(O294, "kg", L294)), CONVERT(P294 * recipe12DayScale, "l", L294), CONVERT(O294 * recipe12DayScale, "kg", L294))), roundTo)</f>
        <v>8</v>
      </c>
      <c r="R294" s="43">
        <f>recipe12TotScale * IF(L294 = "", Q294 * M294, IF(ISNA(CONVERT(Q294, L294, "kg")), CONVERT(Q294, L294, "l") * IF(N294 &lt;&gt; 0, M294 / N294, 0), CONVERT(Q294, L294, "kg")))</f>
        <v>1.8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16"/>
      <c r="B295" s="116"/>
      <c r="C295" s="116"/>
      <c r="D295" s="116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16" t="s">
        <v>249</v>
      </c>
      <c r="B296" s="116"/>
      <c r="C296" s="116"/>
      <c r="D296" s="116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3">Q297</f>
        <v>3.5</v>
      </c>
      <c r="C297" s="35" t="str">
        <f t="shared" ref="C297:C298" si="234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74</v>
      </c>
      <c r="L297" s="52" t="s">
        <v>16</v>
      </c>
      <c r="M297" s="43">
        <f t="shared" ref="M297:M298" si="235">INDEX(itemGPerQty, MATCH(K297, itemNames, 0))</f>
        <v>0.1265</v>
      </c>
      <c r="N297" s="43">
        <f t="shared" ref="N297:N298" si="236">INDEX(itemMlPerQty, MATCH(K297, itemNames, 0))</f>
        <v>0.2</v>
      </c>
      <c r="O297" s="43">
        <f t="shared" ref="O297:O298" si="237">IF(J297 = "", I297 * M297, IF(ISNA(CONVERT(I297, J297, "kg")), CONVERT(I297, J297, "l") * IF(N297 &lt;&gt; 0, M297 / N297, 0), CONVERT(I297, J297, "kg")))</f>
        <v>0.50600000000000001</v>
      </c>
      <c r="P297" s="43">
        <f t="shared" ref="P297:P298" si="238">IF(J297 = "", I297 * N297, IF(ISNA(CONVERT(I297, J297, "l")), CONVERT(I297, J297, "kg") * IF(M297 &lt;&gt; 0, N297 / M297, 0), CONVERT(I297, J297, "l")))</f>
        <v>0.8</v>
      </c>
      <c r="Q297" s="43">
        <f>MROUND(IF(L297 = "", IF(J297 = "", I297, IF(M297 &lt;&gt; 0, O297 / M297, P297 / N297)) * recipe12DayScale, IF(ISNA(CONVERT(O297, "kg", L297)), CONVERT(P297 * recipe12DayScale, "l", L297), CONVERT(O297 * recipe12DayScale, "kg", L297))), roundTo)</f>
        <v>3.5</v>
      </c>
      <c r="R297" s="43">
        <f>recipe12TotScale * IF(L297 = "", Q297 * M297, IF(ISNA(CONVERT(Q297, L297, "kg")), CONVERT(Q297, L297, "l") * IF(N297 &lt;&gt; 0, M297 / N297, 0), CONVERT(Q297, L297, "kg")))</f>
        <v>0.52374720855187495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3"/>
        <v>4</v>
      </c>
      <c r="C298" s="35" t="str">
        <f t="shared" si="234"/>
        <v/>
      </c>
      <c r="D298" s="36" t="str">
        <f>_xlfn.CONCAT(K298, U298)</f>
        <v>diced celery stalks</v>
      </c>
      <c r="I298" s="50">
        <v>4</v>
      </c>
      <c r="J298" s="51"/>
      <c r="K298" s="51" t="s">
        <v>75</v>
      </c>
      <c r="L298" s="52"/>
      <c r="M298" s="43">
        <f t="shared" si="235"/>
        <v>5.4666666666666669E-2</v>
      </c>
      <c r="N298" s="43">
        <f t="shared" si="236"/>
        <v>0.11</v>
      </c>
      <c r="O298" s="43">
        <f t="shared" si="237"/>
        <v>0.21866666666666668</v>
      </c>
      <c r="P298" s="43">
        <f t="shared" si="238"/>
        <v>0.44</v>
      </c>
      <c r="Q298" s="43">
        <f>MROUND(IF(L298 = "", IF(J298 = "", I298, IF(M298 &lt;&gt; 0, O298 / M298, P298 / N298)) * recipe12DayScale, IF(ISNA(CONVERT(O298, "kg", L298)), CONVERT(P298 * recipe12DayScale, "l", L298), CONVERT(O298 * recipe12DayScale, "kg", L298))), roundTo)</f>
        <v>4</v>
      </c>
      <c r="R298" s="43">
        <f>recipe12TotScale * IF(L298 = "", Q298 * M298, IF(ISNA(CONVERT(Q298, L298, "kg")), CONVERT(Q298, L298, "l") * IF(N298 &lt;&gt; 0, M298 / N298, 0), CONVERT(Q298, L298, "kg")))</f>
        <v>0.21866666666666668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39">Q299</f>
        <v>1</v>
      </c>
      <c r="C299" s="35" t="str">
        <f t="shared" ref="C299" si="240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250</v>
      </c>
      <c r="L299" s="52" t="s">
        <v>15</v>
      </c>
      <c r="M299" s="43">
        <f t="shared" ref="M299" si="241">INDEX(itemGPerQty, MATCH(K299, itemNames, 0))</f>
        <v>3.0000000000000001E-3</v>
      </c>
      <c r="N299" s="43">
        <f t="shared" ref="N299" si="242">INDEX(itemMlPerQty, MATCH(K299, itemNames, 0))</f>
        <v>2.2180100000000001E-2</v>
      </c>
      <c r="O299" s="43">
        <f t="shared" ref="O299" si="243">IF(J299 = "", I299 * M299, IF(ISNA(CONVERT(I299, J299, "kg")), CONVERT(I299, J299, "l") * IF(N299 &lt;&gt; 0, M299 / N299, 0), CONVERT(I299, J299, "kg")))</f>
        <v>2.0000042535313184E-3</v>
      </c>
      <c r="P299" s="43">
        <f t="shared" ref="P299" si="244">IF(J299 = "", I299 * N299, IF(ISNA(CONVERT(I299, J299, "l")), CONVERT(I299, J299, "kg") * IF(M299 &lt;&gt; 0, N299 / M299, 0), CONVERT(I299, J299, "l")))</f>
        <v>1.478676478125E-2</v>
      </c>
      <c r="Q299" s="43">
        <f>MROUND(IF(L299 = "", IF(J299 = "", I299, IF(M299 &lt;&gt; 0, O299 / M299, P299 / N299))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16"/>
      <c r="B300" s="116"/>
      <c r="C300" s="116"/>
      <c r="D300" s="116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16" t="s">
        <v>254</v>
      </c>
      <c r="B301" s="116"/>
      <c r="C301" s="116"/>
      <c r="D301" s="116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45">Q302</f>
        <v>4</v>
      </c>
      <c r="C302" s="35" t="str">
        <f t="shared" ref="C302" si="246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384</v>
      </c>
      <c r="L302" s="52" t="s">
        <v>16</v>
      </c>
      <c r="M302" s="43">
        <f t="shared" ref="M302" si="247">INDEX(itemGPerQty, MATCH(K302, itemNames, 0))</f>
        <v>0</v>
      </c>
      <c r="N302" s="43">
        <f t="shared" ref="N302" si="248">INDEX(itemMlPerQty, MATCH(K302, itemNames, 0))</f>
        <v>0</v>
      </c>
      <c r="O302" s="43">
        <f t="shared" ref="O302" si="249">IF(J302 = "", I302 * M302, IF(ISNA(CONVERT(I302, J302, "kg")), CONVERT(I302, J302, "l") * IF(N302 &lt;&gt; 0, M302 / N302, 0), CONVERT(I302, J302, "kg")))</f>
        <v>0</v>
      </c>
      <c r="P302" s="43">
        <f t="shared" ref="P302" si="250">IF(J302 = "", I302 * N302, IF(ISNA(CONVERT(I302, J302, "l")), CONVERT(I302, J302, "kg") * IF(M302 &lt;&gt; 0, N302 / M302, 0), CONVERT(I302, J302, "l")))</f>
        <v>0.94635294599999997</v>
      </c>
      <c r="Q302" s="43">
        <f>MROUND(IF(L302 = "", IF(J302 = "", I302, IF(M302 &lt;&gt; 0, O302 / M302, P302 / N302)) * recipe12DayScale, IF(ISNA(CONVERT(O302, "kg", L302)), CONVERT(P302 * recipe12DayScale, "l", L302), CONVERT(O302 * recipe12DayScale, "kg", L302))), roundTo)</f>
        <v>4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0.94635294599999997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16"/>
      <c r="B303" s="116"/>
      <c r="C303" s="116"/>
      <c r="D303" s="116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16" t="s">
        <v>251</v>
      </c>
      <c r="B304" s="116"/>
      <c r="C304" s="116"/>
      <c r="D304" s="116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16"/>
      <c r="B305" s="116"/>
      <c r="C305" s="116"/>
      <c r="D305" s="116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1" t="s">
        <v>252</v>
      </c>
      <c r="B306" s="121"/>
      <c r="C306" s="121"/>
      <c r="D306" s="121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16"/>
      <c r="B307" s="116"/>
      <c r="C307" s="116"/>
      <c r="D307" s="116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16" t="s">
        <v>253</v>
      </c>
      <c r="B308" s="116"/>
      <c r="C308" s="116"/>
      <c r="D308" s="116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16"/>
      <c r="B309" s="116"/>
      <c r="C309" s="116"/>
      <c r="D309" s="116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16" t="s">
        <v>80</v>
      </c>
      <c r="B310" s="116"/>
      <c r="C310" s="116"/>
      <c r="D310" s="116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1">Q311</f>
        <v>2</v>
      </c>
      <c r="C311" s="35" t="str">
        <f t="shared" ref="C311" si="252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255</v>
      </c>
      <c r="L311" s="52" t="s">
        <v>15</v>
      </c>
      <c r="M311" s="43">
        <f t="shared" ref="M311" si="253">INDEX(itemGPerQty, MATCH(K311, itemNames, 0))</f>
        <v>0</v>
      </c>
      <c r="N311" s="43">
        <f t="shared" ref="N311" si="254">INDEX(itemMlPerQty, MATCH(K311, itemNames, 0))</f>
        <v>0</v>
      </c>
      <c r="O311" s="43">
        <f t="shared" ref="O311" si="255">IF(J311 = "", I311 * M311, IF(ISNA(CONVERT(I311, J311, "kg")), CONVERT(I311, J311, "l") * IF(N311 &lt;&gt; 0, M311 / N311, 0), CONVERT(I311, J311, "kg")))</f>
        <v>0</v>
      </c>
      <c r="P311" s="43">
        <f t="shared" ref="P311" si="256">IF(J311 = "", I311 * N311, IF(ISNA(CONVERT(I311, J311, "l")), CONVERT(I311, J311, "kg") * IF(M311 &lt;&gt; 0, N311 / M311, 0), CONVERT(I311, J311, "l")))</f>
        <v>2.9573529562499999E-2</v>
      </c>
      <c r="Q311" s="43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2.9573529562499999E-2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57">Q312</f>
        <v>2</v>
      </c>
      <c r="C312" s="35" t="str">
        <f t="shared" ref="C312:C313" si="258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51</v>
      </c>
      <c r="L312" s="52" t="s">
        <v>13</v>
      </c>
      <c r="M312" s="43">
        <f t="shared" ref="M312:M313" si="259">INDEX(itemGPerQty, MATCH(K312, itemNames, 0))</f>
        <v>0</v>
      </c>
      <c r="N312" s="43">
        <f t="shared" ref="N312:N313" si="260">INDEX(itemMlPerQty, MATCH(K312, itemNames, 0))</f>
        <v>0</v>
      </c>
      <c r="O312" s="43">
        <f t="shared" ref="O312:O313" si="261">IF(J312 = "", I312 * M312, IF(ISNA(CONVERT(I312, J312, "kg")), CONVERT(I312, J312, "l") * IF(N312 &lt;&gt; 0, M312 / N312, 0), CONVERT(I312, J312, "kg")))</f>
        <v>0</v>
      </c>
      <c r="P312" s="43">
        <f t="shared" ref="P312:P313" si="262">IF(J312 = "", I312 * N312, IF(ISNA(CONVERT(I312, J312, "l")), CONVERT(I312, J312, "kg") * IF(M312 &lt;&gt; 0, N312 / M312, 0), CONVERT(I312, J312, "l")))</f>
        <v>9.8578431874999997E-3</v>
      </c>
      <c r="Q312" s="43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9.8578431874999997E-3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57"/>
        <v>2</v>
      </c>
      <c r="C313" s="35" t="str">
        <f t="shared" si="258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274</v>
      </c>
      <c r="L313" s="52" t="s">
        <v>13</v>
      </c>
      <c r="M313" s="43">
        <f t="shared" si="259"/>
        <v>1.4E-2</v>
      </c>
      <c r="N313" s="43">
        <f t="shared" si="260"/>
        <v>2.2180100000000001E-2</v>
      </c>
      <c r="O313" s="43">
        <f t="shared" si="261"/>
        <v>6.2222354554307691E-3</v>
      </c>
      <c r="P313" s="43">
        <f t="shared" si="262"/>
        <v>9.8578431874999997E-3</v>
      </c>
      <c r="Q313" s="43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43">
        <f>recipe12TotScale * IF(L313 = "", Q313 * M313, IF(ISNA(CONVERT(Q313, L313, "kg")), CONVERT(Q313, L313, "l") * IF(N313 &lt;&gt; 0, M313 / N313, 0), CONVERT(Q313, L313, "kg")))</f>
        <v>6.2222354554307691E-3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3">Q314</f>
        <v>2</v>
      </c>
      <c r="C314" s="35" t="str">
        <f t="shared" ref="C314" si="264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65">INDEX(itemGPerQty, MATCH(K314, itemNames, 0))</f>
        <v>2.5000000000000001E-2</v>
      </c>
      <c r="N314" s="43">
        <f t="shared" ref="N314" si="266">INDEX(itemMlPerQty, MATCH(K314, itemNames, 0))</f>
        <v>2.2180100000000001E-2</v>
      </c>
      <c r="O314" s="43">
        <f t="shared" ref="O314" si="267">IF(J314 = "", I314 * M314, IF(ISNA(CONVERT(I314, J314, "kg")), CONVERT(I314, J314, "l") * IF(N314 &lt;&gt; 0, M314 / N314, 0), CONVERT(I314, J314, "kg")))</f>
        <v>1.111113474184066E-2</v>
      </c>
      <c r="P314" s="43">
        <f t="shared" ref="P314" si="268">IF(J314 = "", I314 * N314, IF(ISNA(CONVERT(I314, J314, "l")), CONVERT(I314, J314, "kg") * IF(M314 &lt;&gt; 0, N314 / M314, 0), CONVERT(I314, J314, "l")))</f>
        <v>9.8578431874999997E-3</v>
      </c>
      <c r="Q314" s="43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43">
        <f>recipe12TotScale * IF(L314 = "", Q314 * M314, IF(ISNA(CONVERT(Q314, L314, "kg")), CONVERT(Q314, L314, "l") * IF(N314 &lt;&gt; 0, M314 / N314, 0), CONVERT(Q314, L314, "kg")))</f>
        <v>1.111113474184066E-2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69">Q315</f>
        <v>2</v>
      </c>
      <c r="C315" s="35" t="str">
        <f t="shared" ref="C315" si="270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256</v>
      </c>
      <c r="L315" s="52" t="s">
        <v>16</v>
      </c>
      <c r="M315" s="43">
        <f t="shared" ref="M315" si="271">INDEX(itemGPerQty, MATCH(K315, itemNames, 0))</f>
        <v>0</v>
      </c>
      <c r="N315" s="43">
        <f t="shared" ref="N315" si="272">INDEX(itemMlPerQty, MATCH(K315, itemNames, 0))</f>
        <v>0</v>
      </c>
      <c r="O315" s="43">
        <f t="shared" ref="O315" si="273">IF(J315 = "", I315 * M315, IF(ISNA(CONVERT(I315, J315, "kg")), CONVERT(I315, J315, "l") * IF(N315 &lt;&gt; 0, M315 / N315, 0), CONVERT(I315, J315, "kg")))</f>
        <v>0</v>
      </c>
      <c r="P315" s="43">
        <f t="shared" ref="P315" si="274">IF(J315 = "", I315 * N315, IF(ISNA(CONVERT(I315, J315, "l")), CONVERT(I315, J315, "kg") * IF(M315 &lt;&gt; 0, N315 / M315, 0), CONVERT(I315, J315, "l")))</f>
        <v>0.47317647299999999</v>
      </c>
      <c r="Q315" s="43">
        <f>MROUND(IF(L315 = "", IF(J315 = "", I315, IF(M315 &lt;&gt; 0, O315 / M315, P315 / N315)) * recipe12DayScale, IF(ISNA(CONVERT(O315, "kg", L315)), CONVERT(P315 * recipe12DayScale, "l", L315), CONVERT(O315 * recipe12DayScale, "kg", L315))), roundTo)</f>
        <v>2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0.47317647299999999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16"/>
      <c r="B316" s="116"/>
      <c r="C316" s="116"/>
      <c r="D316" s="116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16" t="s">
        <v>257</v>
      </c>
      <c r="B317" s="116"/>
      <c r="C317" s="116"/>
      <c r="D317" s="116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16"/>
      <c r="B318" s="116"/>
      <c r="C318" s="116"/>
      <c r="D318" s="116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16" t="s">
        <v>258</v>
      </c>
      <c r="B319" s="116"/>
      <c r="C319" s="116"/>
      <c r="D319" s="116"/>
      <c r="E319" s="39"/>
      <c r="F319" s="56"/>
      <c r="G319" s="56"/>
      <c r="H319" s="43"/>
    </row>
    <row r="320" spans="1:30" ht="15.75" x14ac:dyDescent="0.25">
      <c r="A320" s="117" t="s">
        <v>539</v>
      </c>
      <c r="B320" s="117"/>
      <c r="C320" s="117"/>
      <c r="D320" s="117"/>
      <c r="E320" s="39" t="s">
        <v>110</v>
      </c>
      <c r="F320" s="84" t="s">
        <v>123</v>
      </c>
      <c r="G320" s="84"/>
    </row>
    <row r="321" spans="1:30" ht="24" x14ac:dyDescent="0.2">
      <c r="A321" s="117" t="s">
        <v>28</v>
      </c>
      <c r="B321" s="117"/>
      <c r="C321" s="117"/>
      <c r="D321" s="117"/>
      <c r="E321" s="38" t="s">
        <v>39</v>
      </c>
      <c r="F321" s="73">
        <v>15</v>
      </c>
      <c r="G321" s="43"/>
      <c r="I321" s="65" t="s">
        <v>369</v>
      </c>
      <c r="J321" s="66" t="s">
        <v>370</v>
      </c>
      <c r="K321" s="66" t="s">
        <v>17</v>
      </c>
      <c r="L321" s="67" t="s">
        <v>373</v>
      </c>
      <c r="M321" s="65" t="s">
        <v>118</v>
      </c>
      <c r="N321" s="65" t="s">
        <v>119</v>
      </c>
      <c r="O321" s="65" t="s">
        <v>371</v>
      </c>
      <c r="P321" s="65" t="s">
        <v>372</v>
      </c>
      <c r="Q321" s="66" t="s">
        <v>296</v>
      </c>
      <c r="R321" s="65" t="s">
        <v>297</v>
      </c>
      <c r="S321" s="65" t="s">
        <v>298</v>
      </c>
      <c r="T321" s="65" t="s">
        <v>299</v>
      </c>
      <c r="U321" s="66" t="s">
        <v>22</v>
      </c>
      <c r="V321" s="66" t="s">
        <v>173</v>
      </c>
      <c r="W321" s="68" t="s">
        <v>296</v>
      </c>
      <c r="X321" s="66" t="s">
        <v>171</v>
      </c>
      <c r="Y321" s="66" t="s">
        <v>172</v>
      </c>
      <c r="Z321" s="66" t="s">
        <v>271</v>
      </c>
      <c r="AA321" s="66" t="s">
        <v>174</v>
      </c>
      <c r="AB321" s="68" t="s">
        <v>296</v>
      </c>
      <c r="AC321" s="66" t="s">
        <v>175</v>
      </c>
      <c r="AD321" s="66" t="s">
        <v>176</v>
      </c>
    </row>
    <row r="322" spans="1:30" ht="13.5" thickBot="1" x14ac:dyDescent="0.3">
      <c r="A322" s="118" t="str">
        <f>_xlfn.CONCAT(F322," servings")</f>
        <v>10 servings</v>
      </c>
      <c r="B322" s="118"/>
      <c r="C322" s="118"/>
      <c r="D322" s="118"/>
      <c r="E322" s="61" t="s">
        <v>291</v>
      </c>
      <c r="F322" s="73">
        <f>wkdyRegDinner</f>
        <v>10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6" customFormat="1" ht="15.75" thickBot="1" x14ac:dyDescent="0.3">
      <c r="A323" s="116"/>
      <c r="B323" s="116"/>
      <c r="C323" s="116"/>
      <c r="D323" s="116"/>
      <c r="E323" s="61" t="s">
        <v>294</v>
      </c>
      <c r="F323" s="46">
        <f>F322/F321</f>
        <v>0.66666666666666663</v>
      </c>
      <c r="G323" s="47" t="s">
        <v>320</v>
      </c>
      <c r="I323" s="58"/>
      <c r="J323" s="84"/>
      <c r="K323" s="84"/>
      <c r="L323" s="59"/>
      <c r="M323" s="58"/>
      <c r="N323" s="58"/>
      <c r="O323" s="58"/>
      <c r="P323" s="58"/>
      <c r="Q323" s="84"/>
      <c r="R323" s="58"/>
      <c r="S323" s="58"/>
      <c r="T323" s="58"/>
      <c r="U323" s="84"/>
      <c r="W323" s="44"/>
      <c r="Z323" s="45"/>
    </row>
    <row r="324" spans="1:30" x14ac:dyDescent="0.25">
      <c r="A324" s="116" t="s">
        <v>137</v>
      </c>
      <c r="B324" s="116"/>
      <c r="C324" s="116"/>
      <c r="D324" s="116"/>
      <c r="E324" s="62"/>
      <c r="F324" s="62"/>
      <c r="G324" s="62"/>
      <c r="I324" s="43"/>
    </row>
    <row r="325" spans="1:30" ht="15.75" thickBot="1" x14ac:dyDescent="0.3">
      <c r="A325" s="116"/>
      <c r="B325" s="116"/>
      <c r="C325" s="116"/>
      <c r="D325" s="116"/>
      <c r="E325" s="61" t="s">
        <v>283</v>
      </c>
      <c r="F325" s="73">
        <f>wkdyRegDinner</f>
        <v>10</v>
      </c>
      <c r="G325" s="62"/>
      <c r="I325" s="43"/>
    </row>
    <row r="326" spans="1:30" ht="15.75" thickBot="1" x14ac:dyDescent="0.3">
      <c r="A326" s="116" t="s">
        <v>259</v>
      </c>
      <c r="B326" s="116"/>
      <c r="C326" s="116"/>
      <c r="D326" s="116"/>
      <c r="E326" s="61" t="s">
        <v>295</v>
      </c>
      <c r="F326" s="46">
        <f>F325/F322</f>
        <v>1</v>
      </c>
      <c r="G326" s="47" t="s">
        <v>321</v>
      </c>
      <c r="I326" s="43"/>
    </row>
    <row r="327" spans="1:30" x14ac:dyDescent="0.25">
      <c r="A327" s="36" t="s">
        <v>21</v>
      </c>
      <c r="B327" s="48">
        <f>Q327</f>
        <v>6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MROUND(IF(L327 = "", IF(J327 = "", I327, IF(M327 &lt;&gt; 0, O327 / M327, P327 / N327)) * recipe09DayScale, IF(ISNA(CONVERT(O327, "kg", L327)), CONVERT(P327 * recipe09DayScale, "l", L327), CONVERT(O327 * recipe09DayScale, "kg", L327))), roundTo)</f>
        <v>6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</v>
      </c>
      <c r="U327" s="40" t="s">
        <v>204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16"/>
      <c r="B328" s="116"/>
      <c r="C328" s="116"/>
      <c r="D328" s="116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16" t="s">
        <v>260</v>
      </c>
      <c r="B329" s="116"/>
      <c r="C329" s="116"/>
      <c r="D329" s="116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75">Q330</f>
        <v>5.25</v>
      </c>
      <c r="C330" s="35" t="str">
        <f t="shared" ref="C330:C337" si="276">IF(L330="","",L330)</f>
        <v>tbs</v>
      </c>
      <c r="D330" s="36" t="str">
        <f t="shared" ref="D330:D337" si="277">_xlfn.CONCAT(K330, U330)</f>
        <v>oil</v>
      </c>
      <c r="I330" s="57">
        <v>8</v>
      </c>
      <c r="J330" s="51" t="s">
        <v>15</v>
      </c>
      <c r="K330" s="51" t="s">
        <v>32</v>
      </c>
      <c r="L330" s="52" t="s">
        <v>15</v>
      </c>
      <c r="M330" s="43">
        <f t="shared" ref="M330:M337" si="278">INDEX(itemGPerQty, MATCH(K330, itemNames, 0))</f>
        <v>0</v>
      </c>
      <c r="N330" s="43">
        <f t="shared" ref="N330:N337" si="279">INDEX(itemMlPerQty, MATCH(K330, itemNames, 0))</f>
        <v>0</v>
      </c>
      <c r="O330" s="43">
        <f t="shared" ref="O330:O337" si="280">IF(J330 = "", I330 * M330, IF(ISNA(CONVERT(I330, J330, "kg")), CONVERT(I330, J330, "l") * IF(N330 &lt;&gt; 0, M330 / N330, 0), CONVERT(I330, J330, "kg")))</f>
        <v>0</v>
      </c>
      <c r="P330" s="43">
        <f t="shared" ref="P330:P337" si="281">IF(J330 = "", I330 * N330, IF(ISNA(CONVERT(I330, J330, "l")), CONVERT(I330, J330, "kg") * IF(M330 &lt;&gt; 0, N330 / M330, 0), CONVERT(I330, J330, "l")))</f>
        <v>0.11829411825</v>
      </c>
      <c r="Q330" s="43">
        <f>MROUND(IF(L330 = "", IF(J330 = "", I330, IF(M330 &lt;&gt; 0, O330 / M330, P330 / N330)) * recipe09DayScale, IF(ISNA(CONVERT(O330, "kg", L330)), CONVERT(P330 * recipe09DayScale, "l", L330), CONVERT(O330 * recipe09DayScale, "kg", L330))), roundTo)</f>
        <v>5.25</v>
      </c>
      <c r="R330" s="43">
        <f t="shared" ref="R330:R337" si="282">recipe09TotScale * IF(L330 = "", Q330 * M330, IF(ISNA(CONVERT(Q330, L330, "kg")), CONVERT(Q330, L330, "l") * IF(N330 &lt;&gt; 0, M330 / N330, 0), CONVERT(Q330, L330, "kg")))</f>
        <v>0</v>
      </c>
      <c r="S330" s="43">
        <f t="shared" ref="S330:S337" si="283">recipe09TotScale * IF(R330 = 0, IF(L330 = "", Q330 * N330, IF(ISNA(CONVERT(Q330, L330, "l")), CONVERT(Q330, L330, "kg") * IF(M330 &lt;&gt; 0, N330 / M330, 0), CONVERT(Q330, L330, "l"))), 0)</f>
        <v>7.7630515101562492E-2</v>
      </c>
      <c r="T330" s="43">
        <f t="shared" ref="T330:T337" si="284">recipe09TotScale * IF(AND(R330 = 0, S330 = 0, J330 = "", L330 = ""), Q330, 0)</f>
        <v>0</v>
      </c>
      <c r="V330" s="40" t="b">
        <f t="shared" ref="V330:V337" si="285">INDEX(itemPrepMethods, MATCH(K330, itemNames, 0))="chop"</f>
        <v>0</v>
      </c>
      <c r="W330" s="53" t="str">
        <f t="shared" ref="W330:W337" si="286">IF(V330, Q330, "")</f>
        <v/>
      </c>
      <c r="X330" s="54" t="str">
        <f t="shared" ref="X330:X337" si="287">IF(V330, IF(L330 = "", "", L330), "")</f>
        <v/>
      </c>
      <c r="Y330" s="54" t="str">
        <f t="shared" ref="Y330:Y337" si="288">IF(V330, K330, "")</f>
        <v/>
      </c>
      <c r="Z330" s="55"/>
      <c r="AA330" s="40" t="b">
        <f t="shared" ref="AA330:AA337" si="289">INDEX(itemPrepMethods, MATCH(K330, itemNames, 0))="soak"</f>
        <v>0</v>
      </c>
      <c r="AB330" s="54" t="str">
        <f t="shared" ref="AB330:AB337" si="290">IF(AA330, Q330, "")</f>
        <v/>
      </c>
      <c r="AC330" s="54" t="str">
        <f t="shared" ref="AC330:AC337" si="291">IF(AA330, IF(L330 = "", "", L330), "")</f>
        <v/>
      </c>
      <c r="AD330" s="54" t="str">
        <f t="shared" ref="AD330:AD337" si="292">IF(AA330, K330, "")</f>
        <v/>
      </c>
    </row>
    <row r="331" spans="1:30" x14ac:dyDescent="0.25">
      <c r="A331" s="36" t="s">
        <v>21</v>
      </c>
      <c r="B331" s="48">
        <f t="shared" si="275"/>
        <v>4</v>
      </c>
      <c r="C331" s="35" t="str">
        <f t="shared" si="276"/>
        <v>tbs</v>
      </c>
      <c r="D331" s="36" t="str">
        <f t="shared" si="277"/>
        <v>minced fresh ginger</v>
      </c>
      <c r="I331" s="57">
        <v>6</v>
      </c>
      <c r="J331" s="51" t="s">
        <v>15</v>
      </c>
      <c r="K331" s="51" t="s">
        <v>192</v>
      </c>
      <c r="L331" s="52" t="s">
        <v>15</v>
      </c>
      <c r="M331" s="43">
        <f t="shared" si="278"/>
        <v>0</v>
      </c>
      <c r="N331" s="43">
        <f t="shared" si="279"/>
        <v>0</v>
      </c>
      <c r="O331" s="43">
        <f t="shared" si="280"/>
        <v>0</v>
      </c>
      <c r="P331" s="43">
        <f t="shared" si="281"/>
        <v>8.872058868749999E-2</v>
      </c>
      <c r="Q331" s="43">
        <f>MROUND(IF(L331 = "", IF(J331 = "", I331, IF(M331 &lt;&gt; 0, O331 / M331, P331 / N331)) * recipe09DayScale, IF(ISNA(CONVERT(O331, "kg", L331)), CONVERT(P331 * recipe09DayScale, "l", L331), CONVERT(O331 * recipe09DayScale, "kg", L331))), roundTo)</f>
        <v>4</v>
      </c>
      <c r="R331" s="43">
        <f t="shared" si="282"/>
        <v>0</v>
      </c>
      <c r="S331" s="43">
        <f t="shared" si="283"/>
        <v>5.9147059124999998E-2</v>
      </c>
      <c r="T331" s="43">
        <f t="shared" si="284"/>
        <v>0</v>
      </c>
      <c r="V331" s="40" t="b">
        <f t="shared" si="285"/>
        <v>1</v>
      </c>
      <c r="W331" s="53">
        <f t="shared" si="286"/>
        <v>4</v>
      </c>
      <c r="X331" s="54" t="str">
        <f t="shared" si="287"/>
        <v>tbs</v>
      </c>
      <c r="Y331" s="54" t="str">
        <f t="shared" si="288"/>
        <v>minced fresh ginger</v>
      </c>
      <c r="Z331" s="55"/>
      <c r="AA331" s="40" t="b">
        <f t="shared" si="289"/>
        <v>0</v>
      </c>
      <c r="AB331" s="54" t="str">
        <f t="shared" si="290"/>
        <v/>
      </c>
      <c r="AC331" s="54" t="str">
        <f t="shared" si="291"/>
        <v/>
      </c>
      <c r="AD331" s="54" t="str">
        <f t="shared" si="292"/>
        <v/>
      </c>
    </row>
    <row r="332" spans="1:30" x14ac:dyDescent="0.25">
      <c r="A332" s="36" t="s">
        <v>21</v>
      </c>
      <c r="B332" s="48">
        <f t="shared" si="275"/>
        <v>7.25</v>
      </c>
      <c r="C332" s="35" t="str">
        <f t="shared" si="276"/>
        <v/>
      </c>
      <c r="D332" s="36" t="str">
        <f t="shared" si="277"/>
        <v>chopped celery stalks</v>
      </c>
      <c r="I332" s="57">
        <v>11</v>
      </c>
      <c r="J332" s="51"/>
      <c r="K332" s="51" t="s">
        <v>125</v>
      </c>
      <c r="L332" s="52"/>
      <c r="M332" s="43">
        <f t="shared" si="278"/>
        <v>0.1045</v>
      </c>
      <c r="N332" s="43">
        <f t="shared" si="279"/>
        <v>0.2</v>
      </c>
      <c r="O332" s="43">
        <f t="shared" si="280"/>
        <v>1.1495</v>
      </c>
      <c r="P332" s="43">
        <f t="shared" si="281"/>
        <v>2.2000000000000002</v>
      </c>
      <c r="Q332" s="43">
        <f>MROUND(IF(L332 = "", IF(J332 = "", I332, IF(M332 &lt;&gt; 0, O332 / M332, P332 / N332)) * recipe09DayScale, IF(ISNA(CONVERT(O332, "kg", L332)), CONVERT(P332 * recipe09DayScale, "l", L332), CONVERT(O332 * recipe09DayScale, "kg", L332))), roundTo)</f>
        <v>7.25</v>
      </c>
      <c r="R332" s="43">
        <f t="shared" si="282"/>
        <v>0.75762499999999999</v>
      </c>
      <c r="S332" s="43">
        <f t="shared" si="283"/>
        <v>0</v>
      </c>
      <c r="T332" s="43">
        <f t="shared" si="284"/>
        <v>0</v>
      </c>
      <c r="V332" s="40" t="b">
        <f t="shared" si="285"/>
        <v>1</v>
      </c>
      <c r="W332" s="53">
        <f t="shared" si="286"/>
        <v>7.25</v>
      </c>
      <c r="X332" s="54" t="str">
        <f t="shared" si="287"/>
        <v/>
      </c>
      <c r="Y332" s="54" t="str">
        <f t="shared" si="288"/>
        <v>chopped celery stalks</v>
      </c>
      <c r="Z332" s="55"/>
      <c r="AA332" s="40" t="b">
        <f t="shared" si="289"/>
        <v>0</v>
      </c>
      <c r="AB332" s="54" t="str">
        <f t="shared" si="290"/>
        <v/>
      </c>
      <c r="AC332" s="54" t="str">
        <f t="shared" si="291"/>
        <v/>
      </c>
      <c r="AD332" s="54" t="str">
        <f t="shared" si="292"/>
        <v/>
      </c>
    </row>
    <row r="333" spans="1:30" x14ac:dyDescent="0.25">
      <c r="A333" s="36" t="s">
        <v>21</v>
      </c>
      <c r="B333" s="48">
        <f t="shared" si="275"/>
        <v>0.75</v>
      </c>
      <c r="C333" s="35" t="str">
        <f t="shared" si="276"/>
        <v>tbs</v>
      </c>
      <c r="D333" s="36" t="str">
        <f t="shared" si="277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78"/>
        <v>1.2E-2</v>
      </c>
      <c r="N333" s="43">
        <f t="shared" si="279"/>
        <v>2.2180100000000001E-2</v>
      </c>
      <c r="O333" s="43">
        <f t="shared" si="280"/>
        <v>8.0000170141252738E-3</v>
      </c>
      <c r="P333" s="43">
        <f t="shared" si="281"/>
        <v>1.478676478125E-2</v>
      </c>
      <c r="Q333" s="43">
        <f>MROUND(IF(L333 = "", IF(J333 = "", I333, IF(M333 &lt;&gt; 0, O333 / M333, P333 / N333)) * recipe09DayScale, IF(ISNA(CONVERT(O333, "kg", L333)), CONVERT(P333 * recipe09DayScale, "l", L333), CONVERT(O333 * recipe09DayScale, "kg", L333))), roundTo)</f>
        <v>0.75</v>
      </c>
      <c r="R333" s="43">
        <f t="shared" si="282"/>
        <v>6.0000127605939558E-3</v>
      </c>
      <c r="S333" s="43">
        <f t="shared" si="283"/>
        <v>0</v>
      </c>
      <c r="T333" s="43">
        <f t="shared" si="284"/>
        <v>0</v>
      </c>
      <c r="V333" s="40" t="b">
        <f t="shared" si="285"/>
        <v>0</v>
      </c>
      <c r="W333" s="53" t="str">
        <f t="shared" si="286"/>
        <v/>
      </c>
      <c r="X333" s="54" t="str">
        <f t="shared" si="287"/>
        <v/>
      </c>
      <c r="Y333" s="54" t="str">
        <f t="shared" si="288"/>
        <v/>
      </c>
      <c r="Z333" s="55"/>
      <c r="AA333" s="40" t="b">
        <f t="shared" si="289"/>
        <v>0</v>
      </c>
      <c r="AB333" s="54" t="str">
        <f t="shared" si="290"/>
        <v/>
      </c>
      <c r="AC333" s="54" t="str">
        <f t="shared" si="291"/>
        <v/>
      </c>
      <c r="AD333" s="54" t="str">
        <f t="shared" si="292"/>
        <v/>
      </c>
    </row>
    <row r="334" spans="1:30" x14ac:dyDescent="0.25">
      <c r="A334" s="36" t="s">
        <v>21</v>
      </c>
      <c r="B334" s="48">
        <f t="shared" si="275"/>
        <v>1.25</v>
      </c>
      <c r="C334" s="35" t="str">
        <f t="shared" si="276"/>
        <v>tbs</v>
      </c>
      <c r="D334" s="36" t="str">
        <f t="shared" si="277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78"/>
        <v>1.0999999999999999E-2</v>
      </c>
      <c r="N334" s="43">
        <f t="shared" si="279"/>
        <v>2.2180100000000001E-2</v>
      </c>
      <c r="O334" s="43">
        <f t="shared" si="280"/>
        <v>1.4666697859229668E-2</v>
      </c>
      <c r="P334" s="43">
        <f t="shared" si="281"/>
        <v>2.9573529562499999E-2</v>
      </c>
      <c r="Q334" s="43">
        <f>MROUND(IF(L334 = "", IF(J334 = "", I334, IF(M334 &lt;&gt; 0, O334 / M334, P334 / N334)) * recipe09DayScale, IF(ISNA(CONVERT(O334, "kg", L334)), CONVERT(P334 * recipe09DayScale, "l", L334), CONVERT(O334 * recipe09DayScale, "kg", L334))), roundTo)</f>
        <v>1.25</v>
      </c>
      <c r="R334" s="43">
        <f t="shared" si="282"/>
        <v>9.166686162018543E-3</v>
      </c>
      <c r="S334" s="43">
        <f t="shared" si="283"/>
        <v>0</v>
      </c>
      <c r="T334" s="43">
        <f t="shared" si="284"/>
        <v>0</v>
      </c>
      <c r="V334" s="40" t="b">
        <f t="shared" si="285"/>
        <v>0</v>
      </c>
      <c r="W334" s="53" t="str">
        <f t="shared" si="286"/>
        <v/>
      </c>
      <c r="X334" s="54" t="str">
        <f t="shared" si="287"/>
        <v/>
      </c>
      <c r="Y334" s="54" t="str">
        <f t="shared" si="288"/>
        <v/>
      </c>
      <c r="Z334" s="55"/>
      <c r="AA334" s="40" t="b">
        <f t="shared" si="289"/>
        <v>0</v>
      </c>
      <c r="AB334" s="54" t="str">
        <f t="shared" si="290"/>
        <v/>
      </c>
      <c r="AC334" s="54" t="str">
        <f t="shared" si="291"/>
        <v/>
      </c>
      <c r="AD334" s="54" t="str">
        <f t="shared" si="292"/>
        <v/>
      </c>
    </row>
    <row r="335" spans="1:30" x14ac:dyDescent="0.25">
      <c r="A335" s="36" t="s">
        <v>21</v>
      </c>
      <c r="B335" s="48">
        <f t="shared" ref="B335" si="293">Q335</f>
        <v>1.25</v>
      </c>
      <c r="C335" s="35" t="str">
        <f t="shared" si="276"/>
        <v>tbs</v>
      </c>
      <c r="D335" s="36" t="str">
        <f t="shared" si="277"/>
        <v>ground corriander</v>
      </c>
      <c r="I335" s="57">
        <v>2</v>
      </c>
      <c r="J335" s="51" t="s">
        <v>15</v>
      </c>
      <c r="K335" s="51" t="s">
        <v>126</v>
      </c>
      <c r="L335" s="52" t="s">
        <v>15</v>
      </c>
      <c r="M335" s="43">
        <f t="shared" si="278"/>
        <v>1.0999999999999999E-2</v>
      </c>
      <c r="N335" s="43">
        <f t="shared" si="279"/>
        <v>2.2180100000000001E-2</v>
      </c>
      <c r="O335" s="43">
        <f t="shared" si="280"/>
        <v>1.4666697859229668E-2</v>
      </c>
      <c r="P335" s="43">
        <f t="shared" si="281"/>
        <v>2.9573529562499999E-2</v>
      </c>
      <c r="Q335" s="43">
        <f>MROUND(IF(L335 = "", IF(J335 = "", I335, IF(M335 &lt;&gt; 0, O335 / M335, P335 / N335)) * recipe09DayScale, IF(ISNA(CONVERT(O335, "kg", L335)), CONVERT(P335 * recipe09DayScale, "l", L335), CONVERT(O335 * recipe09DayScale, "kg", L335))), roundTo)</f>
        <v>1.25</v>
      </c>
      <c r="R335" s="43">
        <f t="shared" si="282"/>
        <v>9.166686162018543E-3</v>
      </c>
      <c r="S335" s="43">
        <f t="shared" si="283"/>
        <v>0</v>
      </c>
      <c r="T335" s="43">
        <f t="shared" si="284"/>
        <v>0</v>
      </c>
      <c r="V335" s="40" t="b">
        <f t="shared" si="285"/>
        <v>0</v>
      </c>
      <c r="W335" s="53" t="str">
        <f t="shared" si="286"/>
        <v/>
      </c>
      <c r="X335" s="54" t="str">
        <f t="shared" si="287"/>
        <v/>
      </c>
      <c r="Y335" s="54" t="str">
        <f t="shared" si="288"/>
        <v/>
      </c>
      <c r="Z335" s="55"/>
      <c r="AA335" s="40" t="b">
        <f t="shared" si="289"/>
        <v>0</v>
      </c>
      <c r="AB335" s="54" t="str">
        <f t="shared" si="290"/>
        <v/>
      </c>
      <c r="AC335" s="54" t="str">
        <f t="shared" si="291"/>
        <v/>
      </c>
      <c r="AD335" s="54" t="str">
        <f t="shared" si="292"/>
        <v/>
      </c>
    </row>
    <row r="336" spans="1:30" x14ac:dyDescent="0.25">
      <c r="A336" s="36" t="s">
        <v>21</v>
      </c>
      <c r="B336" s="48">
        <f t="shared" ref="B336:B337" si="294">Q336</f>
        <v>2.75</v>
      </c>
      <c r="C336" s="35" t="str">
        <f t="shared" si="276"/>
        <v>tbs</v>
      </c>
      <c r="D336" s="36" t="str">
        <f t="shared" si="277"/>
        <v>ground turmeric</v>
      </c>
      <c r="I336" s="57">
        <v>4</v>
      </c>
      <c r="J336" s="51" t="s">
        <v>15</v>
      </c>
      <c r="K336" s="51" t="s">
        <v>274</v>
      </c>
      <c r="L336" s="52" t="s">
        <v>15</v>
      </c>
      <c r="M336" s="43">
        <f t="shared" si="278"/>
        <v>1.4E-2</v>
      </c>
      <c r="N336" s="43">
        <f t="shared" si="279"/>
        <v>2.2180100000000001E-2</v>
      </c>
      <c r="O336" s="43">
        <f t="shared" si="280"/>
        <v>3.7333412732584614E-2</v>
      </c>
      <c r="P336" s="43">
        <f t="shared" si="281"/>
        <v>5.9147059124999998E-2</v>
      </c>
      <c r="Q336" s="43">
        <f>MROUND(IF(L336 = "", IF(J336 = "", I336, IF(M336 &lt;&gt; 0, O336 / M336, P336 / N336)) * recipe09DayScale, IF(ISNA(CONVERT(O336, "kg", L336)), CONVERT(P336 * recipe09DayScale, "l", L336), CONVERT(O336 * recipe09DayScale, "kg", L336))), roundTo)</f>
        <v>2.75</v>
      </c>
      <c r="R336" s="43">
        <f t="shared" si="282"/>
        <v>2.5666721253651922E-2</v>
      </c>
      <c r="S336" s="43">
        <f t="shared" si="283"/>
        <v>0</v>
      </c>
      <c r="T336" s="43">
        <f t="shared" si="284"/>
        <v>0</v>
      </c>
      <c r="V336" s="40" t="b">
        <f t="shared" si="285"/>
        <v>0</v>
      </c>
      <c r="W336" s="53" t="str">
        <f t="shared" si="286"/>
        <v/>
      </c>
      <c r="X336" s="54" t="str">
        <f t="shared" si="287"/>
        <v/>
      </c>
      <c r="Y336" s="54" t="str">
        <f t="shared" si="288"/>
        <v/>
      </c>
      <c r="Z336" s="55"/>
      <c r="AA336" s="40" t="b">
        <f t="shared" si="289"/>
        <v>0</v>
      </c>
      <c r="AB336" s="54" t="str">
        <f t="shared" si="290"/>
        <v/>
      </c>
      <c r="AC336" s="54" t="str">
        <f t="shared" si="291"/>
        <v/>
      </c>
      <c r="AD336" s="54" t="str">
        <f t="shared" si="292"/>
        <v/>
      </c>
    </row>
    <row r="337" spans="1:30" x14ac:dyDescent="0.25">
      <c r="A337" s="36" t="s">
        <v>21</v>
      </c>
      <c r="B337" s="48">
        <f t="shared" si="294"/>
        <v>0.5</v>
      </c>
      <c r="C337" s="35" t="str">
        <f t="shared" si="276"/>
        <v>tbs</v>
      </c>
      <c r="D337" s="36" t="str">
        <f t="shared" si="277"/>
        <v>cinnamon</v>
      </c>
      <c r="I337" s="57">
        <v>0.8</v>
      </c>
      <c r="J337" s="51" t="s">
        <v>15</v>
      </c>
      <c r="K337" s="51" t="s">
        <v>79</v>
      </c>
      <c r="L337" s="52" t="s">
        <v>15</v>
      </c>
      <c r="M337" s="43">
        <f t="shared" si="278"/>
        <v>1.0999999999999999E-2</v>
      </c>
      <c r="N337" s="43">
        <f t="shared" si="279"/>
        <v>2.2180100000000001E-2</v>
      </c>
      <c r="O337" s="43">
        <f t="shared" si="280"/>
        <v>5.8666791436918679E-3</v>
      </c>
      <c r="P337" s="43">
        <f t="shared" si="281"/>
        <v>1.1829411825E-2</v>
      </c>
      <c r="Q337" s="43">
        <f>MROUND(IF(L337 = "", IF(J337 = "", I337, IF(M337 &lt;&gt; 0, O337 / M337, P337 / N337)) * recipe09DayScale, IF(ISNA(CONVERT(O337, "kg", L337)), CONVERT(P337 * recipe09DayScale, "l", L337), CONVERT(O337 * recipe09DayScale, "kg", L337))), roundTo)</f>
        <v>0.5</v>
      </c>
      <c r="R337" s="43">
        <f t="shared" si="282"/>
        <v>3.6666744648074169E-3</v>
      </c>
      <c r="S337" s="43">
        <f t="shared" si="283"/>
        <v>0</v>
      </c>
      <c r="T337" s="43">
        <f t="shared" si="284"/>
        <v>0</v>
      </c>
      <c r="V337" s="40" t="b">
        <f t="shared" si="285"/>
        <v>0</v>
      </c>
      <c r="W337" s="53" t="str">
        <f t="shared" si="286"/>
        <v/>
      </c>
      <c r="X337" s="54" t="str">
        <f t="shared" si="287"/>
        <v/>
      </c>
      <c r="Y337" s="54" t="str">
        <f t="shared" si="288"/>
        <v/>
      </c>
      <c r="Z337" s="55"/>
      <c r="AA337" s="40" t="b">
        <f t="shared" si="289"/>
        <v>0</v>
      </c>
      <c r="AB337" s="54" t="str">
        <f t="shared" si="290"/>
        <v/>
      </c>
      <c r="AC337" s="54" t="str">
        <f t="shared" si="291"/>
        <v/>
      </c>
      <c r="AD337" s="54" t="str">
        <f t="shared" si="292"/>
        <v/>
      </c>
    </row>
    <row r="338" spans="1:30" x14ac:dyDescent="0.25">
      <c r="A338" s="116"/>
      <c r="B338" s="116"/>
      <c r="C338" s="116"/>
      <c r="D338" s="116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16" t="s">
        <v>127</v>
      </c>
      <c r="B339" s="116"/>
      <c r="C339" s="116"/>
      <c r="D339" s="116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295">Q340</f>
        <v>6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41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296">IF(J340 = "", I340 * M340, IF(ISNA(CONVERT(I340, J340, "kg")), CONVERT(I340, J340, "l") * IF(N340 &lt;&gt; 0, M340 / N340, 0), CONVERT(I340, J340, "kg")))</f>
        <v>0</v>
      </c>
      <c r="P340" s="43">
        <f t="shared" ref="P340:P343" si="297">IF(J340 = "", I340 * N340, IF(ISNA(CONVERT(I340, J340, "l")), CONVERT(I340, J340, "kg") * IF(M340 &lt;&gt; 0, N340 / M340, 0), CONVERT(I340, J340, "l")))</f>
        <v>2.1292941284999998</v>
      </c>
      <c r="Q340" s="43">
        <f>MROUND(IF(L340 = "", IF(J340 = "", I340, IF(M340 &lt;&gt; 0, O340 / M340, P340 / N340)) * recipe09DayScale, IF(ISNA(CONVERT(O340, "kg", L340)), CONVERT(P340 * recipe09DayScale, "l", L340), CONVERT(O340 * recipe09DayScale, "kg", L340))), roundTo)</f>
        <v>6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1.4195294189999998</v>
      </c>
      <c r="T340" s="43">
        <f>recipe09TotScale * IF(AND(R340 = 0, S340 = 0, J340 = "", L340 = ""), Q340, 0)</f>
        <v>0</v>
      </c>
      <c r="U340" s="40" t="s">
        <v>261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295"/>
        <v>4.5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296"/>
        <v>1.1866666666666668</v>
      </c>
      <c r="P341" s="43">
        <f t="shared" si="297"/>
        <v>1.5999999999999999</v>
      </c>
      <c r="Q341" s="43">
        <f>MROUND(IF(L341 = "", IF(J341 = "", I341, IF(M341 &lt;&gt; 0, O341 / M341, P341 / N341)) * recipe09DayScale, IF(ISNA(CONVERT(O341, "kg", L341)), CONVERT(P341 * recipe09DayScale, "l", L341), CONVERT(O341 * recipe09DayScale, "kg", L341))), roundTo)</f>
        <v>4.5</v>
      </c>
      <c r="R341" s="43">
        <f>recipe09TotScale * IF(L341 = "", Q341 * M341, IF(ISNA(CONVERT(Q341, L341, "kg")), CONVERT(Q341, L341, "l") * IF(N341 &lt;&gt; 0, M341 / N341, 0), CONVERT(Q341, L341, "kg")))</f>
        <v>0.78961323931875005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4.5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295"/>
        <v>3.25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128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296"/>
        <v>1.5074999999999998</v>
      </c>
      <c r="P342" s="43">
        <f t="shared" si="297"/>
        <v>2.875</v>
      </c>
      <c r="Q342" s="43">
        <f>MROUND(IF(L342 = "", IF(J342 = "", I342, IF(M342 &lt;&gt; 0, O342 / M342, P342 / N342)) * recipe09DayScale, IF(ISNA(CONVERT(O342, "kg", L342)), CONVERT(P342 * recipe09DayScale, "l", L342), CONVERT(O342 * recipe09DayScale, "kg", L342))), roundTo)</f>
        <v>3.25</v>
      </c>
      <c r="R342" s="43">
        <f>recipe09TotScale * IF(L342 = "", Q342 * M342, IF(ISNA(CONVERT(Q342, L342, "kg")), CONVERT(Q342, L342, "l") * IF(N342 &lt;&gt; 0, M342 / N342, 0), CONVERT(Q342, L342, "kg")))</f>
        <v>0.97987499999999994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3.25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298">Q343</f>
        <v>2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378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296"/>
        <v>0</v>
      </c>
      <c r="P343" s="43">
        <f t="shared" si="297"/>
        <v>0</v>
      </c>
      <c r="Q343" s="43">
        <f>MROUND(IF(L343 = "", IF(J343 = "", I343, IF(M343 &lt;&gt; 0, O343 / M343, P343 / N343)) * recipe09DayScale, IF(ISNA(CONVERT(O343, "kg", L343)), CONVERT(P343 * recipe09DayScale, "l", L343), CONVERT(O343 * recipe09DayScale, "kg", L343))), roundTo)</f>
        <v>2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</v>
      </c>
      <c r="U343" s="40" t="s">
        <v>265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16"/>
      <c r="B344" s="116"/>
      <c r="C344" s="116"/>
      <c r="D344" s="116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16" t="s">
        <v>129</v>
      </c>
      <c r="B345" s="116"/>
      <c r="C345" s="116"/>
      <c r="D345" s="116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16"/>
      <c r="B346" s="116"/>
      <c r="C346" s="116"/>
      <c r="D346" s="116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16" t="s">
        <v>130</v>
      </c>
      <c r="B347" s="116"/>
      <c r="C347" s="116"/>
      <c r="D347" s="116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298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381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299">IF(J348 = "", I348 * M348, IF(ISNA(CONVERT(I348, J348, "kg")), CONVERT(I348, J348, "l") * IF(N348 &lt;&gt; 0, M348 / N348, 0), CONVERT(I348, J348, "kg")))</f>
        <v>0</v>
      </c>
      <c r="P348" s="43">
        <f t="shared" ref="P348:P349" si="300">IF(J348 = "", I348 * N348, IF(ISNA(CONVERT(I348, J348, "l")), CONVERT(I348, J348, "kg") * IF(M348 &lt;&gt; 0, N348 / M348, 0), CONVERT(I348, J348, "l")))</f>
        <v>0</v>
      </c>
      <c r="Q348" s="43">
        <f>MROUND(IF(L348 = "", IF(J348 = "", I348, IF(M348 &lt;&gt; 0, O348 / M348, P348 / N348))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1">Q349</f>
        <v>1.25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326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299"/>
        <v>0</v>
      </c>
      <c r="P349" s="43">
        <f t="shared" si="300"/>
        <v>0</v>
      </c>
      <c r="Q349" s="43">
        <f>MROUND(IF(L349 = "", IF(J349 = "", I349, IF(M349 &lt;&gt; 0, O349 / M349, P349 / N349)) * recipe09DayScale, IF(ISNA(CONVERT(O349, "kg", L349)), CONVERT(P349 * recipe09DayScale, "l", L349), CONVERT(O349 * recipe09DayScale, "kg", L349))), roundTo)</f>
        <v>1.25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1.25</v>
      </c>
      <c r="V349" s="40" t="b">
        <f>INDEX(itemPrepMethods, MATCH(K349, itemNames, 0))="chop"</f>
        <v>1</v>
      </c>
      <c r="W349" s="53">
        <f>IF(V349, Q349, "")</f>
        <v>1.25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33</v>
      </c>
      <c r="L350" s="40"/>
      <c r="M350" s="40"/>
      <c r="N350" s="40"/>
      <c r="O350" s="40"/>
      <c r="P350" s="40"/>
      <c r="U350" s="40" t="s">
        <v>178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177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56</v>
      </c>
      <c r="L352" s="40"/>
      <c r="M352" s="40"/>
      <c r="N352" s="40"/>
      <c r="O352" s="40"/>
      <c r="P352" s="40"/>
      <c r="U352" s="40" t="s">
        <v>177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16"/>
      <c r="B353" s="116"/>
      <c r="C353" s="116"/>
      <c r="D353" s="116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16" t="s">
        <v>138</v>
      </c>
      <c r="B354" s="116"/>
      <c r="C354" s="116"/>
      <c r="D354" s="116"/>
      <c r="I354" s="43"/>
      <c r="L354" s="40"/>
      <c r="M354" s="40"/>
      <c r="N354" s="40"/>
    </row>
    <row r="355" spans="1:30" ht="15.75" x14ac:dyDescent="0.25">
      <c r="A355" s="117" t="s">
        <v>540</v>
      </c>
      <c r="B355" s="117"/>
      <c r="C355" s="117"/>
      <c r="D355" s="117"/>
      <c r="E355" s="39" t="s">
        <v>105</v>
      </c>
      <c r="F355" s="84" t="s">
        <v>124</v>
      </c>
      <c r="G355" s="84"/>
      <c r="H355" s="43"/>
    </row>
    <row r="356" spans="1:30" ht="24" x14ac:dyDescent="0.2">
      <c r="A356" s="117" t="s">
        <v>25</v>
      </c>
      <c r="B356" s="117"/>
      <c r="C356" s="117"/>
      <c r="D356" s="117"/>
      <c r="E356" s="38" t="s">
        <v>39</v>
      </c>
      <c r="F356" s="73">
        <v>15</v>
      </c>
      <c r="G356" s="43"/>
      <c r="H356" s="43"/>
      <c r="I356" s="65" t="s">
        <v>369</v>
      </c>
      <c r="J356" s="66" t="s">
        <v>370</v>
      </c>
      <c r="K356" s="66" t="s">
        <v>17</v>
      </c>
      <c r="L356" s="67" t="s">
        <v>373</v>
      </c>
      <c r="M356" s="65" t="s">
        <v>118</v>
      </c>
      <c r="N356" s="65" t="s">
        <v>119</v>
      </c>
      <c r="O356" s="65" t="s">
        <v>371</v>
      </c>
      <c r="P356" s="65" t="s">
        <v>372</v>
      </c>
      <c r="Q356" s="66" t="s">
        <v>296</v>
      </c>
      <c r="R356" s="65" t="s">
        <v>297</v>
      </c>
      <c r="S356" s="65" t="s">
        <v>298</v>
      </c>
      <c r="T356" s="65" t="s">
        <v>299</v>
      </c>
      <c r="U356" s="66" t="s">
        <v>22</v>
      </c>
      <c r="V356" s="66" t="s">
        <v>173</v>
      </c>
      <c r="W356" s="68" t="s">
        <v>296</v>
      </c>
      <c r="X356" s="66" t="s">
        <v>171</v>
      </c>
      <c r="Y356" s="66" t="s">
        <v>172</v>
      </c>
      <c r="Z356" s="66" t="s">
        <v>271</v>
      </c>
      <c r="AA356" s="66" t="s">
        <v>174</v>
      </c>
      <c r="AB356" s="68" t="s">
        <v>296</v>
      </c>
      <c r="AC356" s="66" t="s">
        <v>175</v>
      </c>
      <c r="AD356" s="66" t="s">
        <v>176</v>
      </c>
    </row>
    <row r="357" spans="1:30" ht="13.5" thickBot="1" x14ac:dyDescent="0.3">
      <c r="A357" s="118" t="str">
        <f>_xlfn.CONCAT(F357," servings")</f>
        <v>10 servings</v>
      </c>
      <c r="B357" s="118"/>
      <c r="C357" s="118"/>
      <c r="D357" s="118"/>
      <c r="E357" s="61" t="s">
        <v>291</v>
      </c>
      <c r="F357" s="73">
        <f>wkdyRegLunch</f>
        <v>10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6" customFormat="1" ht="15.75" thickBot="1" x14ac:dyDescent="0.3">
      <c r="A358" s="116"/>
      <c r="B358" s="116"/>
      <c r="C358" s="116"/>
      <c r="D358" s="116"/>
      <c r="E358" s="61" t="s">
        <v>294</v>
      </c>
      <c r="F358" s="46">
        <f>F357/F356</f>
        <v>0.66666666666666663</v>
      </c>
      <c r="G358" s="47" t="s">
        <v>310</v>
      </c>
      <c r="H358" s="43"/>
      <c r="I358" s="58"/>
      <c r="J358" s="84"/>
      <c r="K358" s="84"/>
      <c r="L358" s="59"/>
      <c r="M358" s="58"/>
      <c r="N358" s="58"/>
      <c r="O358" s="58"/>
      <c r="P358" s="58"/>
      <c r="Q358" s="84"/>
      <c r="R358" s="58"/>
      <c r="S358" s="58"/>
      <c r="T358" s="58"/>
      <c r="U358" s="84"/>
      <c r="W358" s="44"/>
      <c r="Z358" s="45"/>
    </row>
    <row r="359" spans="1:30" x14ac:dyDescent="0.25">
      <c r="A359" s="116" t="s">
        <v>214</v>
      </c>
      <c r="B359" s="116"/>
      <c r="C359" s="116"/>
      <c r="D359" s="116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2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283</v>
      </c>
      <c r="F360" s="73">
        <f>wkdyRegLunch</f>
        <v>10</v>
      </c>
      <c r="G360" s="62"/>
      <c r="H360" s="49"/>
      <c r="I360" s="50">
        <v>8</v>
      </c>
      <c r="J360" s="51" t="s">
        <v>15</v>
      </c>
      <c r="K360" s="51" t="s">
        <v>32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3">IF(J360 = "", I360 * M360, IF(ISNA(CONVERT(I360, J360, "kg")), CONVERT(I360, J360, "l") * IF(N360 &lt;&gt; 0, M360 / N360, 0), CONVERT(I360, J360, "kg")))</f>
        <v>0</v>
      </c>
      <c r="P360" s="43">
        <f t="shared" ref="P360:P364" si="304">IF(J360 = "", I360 * N360, IF(ISNA(CONVERT(I360, J360, "l")), CONVERT(I360, J360, "kg") * IF(M360 &lt;&gt; 0, N360 / M360, 0), CONVERT(I360, J360, "l")))</f>
        <v>0.11829411825</v>
      </c>
      <c r="Q360" s="43">
        <f>MROUND(IF(L360 = "", IF(J360 = "", I360, IF(M360 &lt;&gt; 0, O360 / M360, P360 / N360))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5.25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295</v>
      </c>
      <c r="F361" s="46">
        <f>F360/F357</f>
        <v>1</v>
      </c>
      <c r="G361" s="47" t="s">
        <v>311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MROUND(IF(L361 = "", IF(J361 = "", I361, IF(M361 &lt;&gt; 0, O361 / M361, P361 / N361)) * recipe04DayScale, IF(ISNA(CONVERT(O361, "kg", L361)), CONVERT(P361 * recipe04DayScale, "l", L361), CONVERT(O361 * recipe04DayScale, "kg", L361))), roundTo)</f>
        <v>5.25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5.25</v>
      </c>
      <c r="U361" s="40" t="s">
        <v>204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2"/>
        <v>2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3"/>
        <v>0.55499999999999994</v>
      </c>
      <c r="P362" s="43">
        <f t="shared" si="304"/>
        <v>0.89999999999999991</v>
      </c>
      <c r="Q362" s="43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43">
        <f>recipe04TotScale * IF(L362 = "", Q362 * M362, IF(ISNA(CONVERT(Q362, L362, "kg")), CONVERT(Q362, L362, "l") * IF(N362 &lt;&gt; 0, M362 / N362, 0), CONVERT(Q362, L362, "kg")))</f>
        <v>0.37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2"/>
        <v>2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192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3"/>
        <v>0</v>
      </c>
      <c r="P363" s="43">
        <f t="shared" si="304"/>
        <v>4.4360294343749995E-2</v>
      </c>
      <c r="Q363" s="43">
        <f>MROUND(IF(L363 = "", IF(J363 = "", I363, IF(M363 &lt;&gt; 0, O363 / M363, P363 / N363)) * recipe04DayScale, IF(ISNA(CONVERT(O363, "kg", L363)), CONVERT(P363 * recipe04DayScale, "l", L363), CONVERT(O363 * recipe04DayScale, "kg", L363))), roundTo)</f>
        <v>2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2.9573529562499999E-2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2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143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3"/>
        <v>0</v>
      </c>
      <c r="P364" s="43">
        <f t="shared" si="304"/>
        <v>2.2180147171874998E-2</v>
      </c>
      <c r="Q364" s="43">
        <f>MROUND(IF(L364 = "", IF(J364 = "", I364, IF(M364 &lt;&gt; 0, O364 / M364, P364 / N364))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0"/>
      <c r="B365" s="120"/>
      <c r="C365" s="120"/>
      <c r="D365" s="12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16" t="s">
        <v>215</v>
      </c>
      <c r="B366" s="116"/>
      <c r="C366" s="116"/>
      <c r="D366" s="116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2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82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05">IF(J367 = "", I367 * M367, IF(ISNA(CONVERT(I367, J367, "kg")), CONVERT(I367, J367, "l") * IF(N367 &lt;&gt; 0, M367 / N367, 0), CONVERT(I367, J367, "kg")))</f>
        <v>0</v>
      </c>
      <c r="P367" s="43">
        <f t="shared" ref="P367:P368" si="306">IF(J367 = "", I367 * N367, IF(ISNA(CONVERT(I367, J367, "l")), CONVERT(I367, J367, "kg") * IF(M367 &lt;&gt; 0, N367 / M367, 0), CONVERT(I367, J367, "l")))</f>
        <v>0.23658823649999999</v>
      </c>
      <c r="Q367" s="43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2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40</v>
      </c>
      <c r="K368" s="51" t="s">
        <v>41</v>
      </c>
      <c r="L368" s="52" t="s">
        <v>40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05"/>
        <v>0</v>
      </c>
      <c r="P368" s="43">
        <f t="shared" si="306"/>
        <v>1</v>
      </c>
      <c r="Q368" s="43">
        <f>MROUND(IF(L368 = "", IF(J368 = "", I368, IF(M368 &lt;&gt; 0, O368 / M368, P368 / N368))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0"/>
      <c r="B369" s="120"/>
      <c r="C369" s="120"/>
      <c r="D369" s="12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16" t="s">
        <v>216</v>
      </c>
      <c r="B370" s="116"/>
      <c r="C370" s="116"/>
      <c r="D370" s="116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2"/>
        <v>2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128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07">IF(J371 = "", I371 * M371, IF(ISNA(CONVERT(I371, J371, "kg")), CONVERT(I371, J371, "l") * IF(N371 &lt;&gt; 0, M371 / N371, 0), CONVERT(I371, J371, "kg")))</f>
        <v>0.90449999999999997</v>
      </c>
      <c r="P371" s="43">
        <f t="shared" ref="P371:P372" si="308">IF(J371 = "", I371 * N371, IF(ISNA(CONVERT(I371, J371, "l")), CONVERT(I371, J371, "kg") * IF(M371 &lt;&gt; 0, N371 / M371, 0), CONVERT(I371, J371, "l")))</f>
        <v>1.7249999999999999</v>
      </c>
      <c r="Q371" s="43">
        <f>MROUND(IF(L371 = "", IF(J371 = "", I371, IF(M371 &lt;&gt; 0, O371 / M371, P371 / N371)) * recipe04DayScale, IF(ISNA(CONVERT(O371, "kg", L371)), CONVERT(P371 * recipe04DayScale, "l", L371), CONVERT(O371 * recipe04DayScale, "kg", L371))), roundTo)</f>
        <v>2</v>
      </c>
      <c r="R371" s="43">
        <f>recipe04TotScale * IF(L371 = "", Q371 * M371, IF(ISNA(CONVERT(Q371, L371, "kg")), CONVERT(Q371, L371, "l") * IF(N371 &lt;&gt; 0, M371 / N371, 0), CONVERT(Q371, L371, "kg")))</f>
        <v>0.60299999999999998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2"/>
        <v>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07"/>
        <v>1.3350000000000002</v>
      </c>
      <c r="P372" s="43">
        <f t="shared" si="308"/>
        <v>1.7999999999999998</v>
      </c>
      <c r="Q372" s="43">
        <f>MROUND(IF(L372 = "", IF(J372 = "", I372, IF(M372 &lt;&gt; 0, O372 / M372, P372 / N372)) * recipe04DayScale, IF(ISNA(CONVERT(O372, "kg", L372)), CONVERT(P372 * recipe04DayScale, "l", L372), CONVERT(O372 * recipe04DayScale, "kg", L372))), roundTo)</f>
        <v>5</v>
      </c>
      <c r="R372" s="43">
        <f>recipe04TotScale * IF(L372 = "", Q372 * M372, IF(ISNA(CONVERT(Q372, L372, "kg")), CONVERT(Q372, L372, "l") * IF(N372 &lt;&gt; 0, M372 / N372, 0), CONVERT(Q372, L372, "kg")))</f>
        <v>0.87734804368750019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0"/>
      <c r="B373" s="120"/>
      <c r="C373" s="120"/>
      <c r="D373" s="12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16" t="s">
        <v>217</v>
      </c>
      <c r="B374" s="116"/>
      <c r="C374" s="116"/>
      <c r="D374" s="116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2"/>
        <v>0.75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136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09">IF(J375 = "", I375 * M375, IF(ISNA(CONVERT(I375, J375, "kg")), CONVERT(I375, J375, "l") * IF(N375 &lt;&gt; 0, M375 / N375, 0), CONVERT(I375, J375, "kg")))</f>
        <v>0</v>
      </c>
      <c r="P375" s="43">
        <f t="shared" ref="P375:P378" si="310">IF(J375 = "", I375 * N375, IF(ISNA(CONVERT(I375, J375, "l")), CONVERT(I375, J375, "kg") * IF(M375 &lt;&gt; 0, N375 / M375, 0), CONVERT(I375, J375, "l")))</f>
        <v>0</v>
      </c>
      <c r="Q375" s="43">
        <f>MROUND(IF(L375 = "", IF(J375 = "", I375, IF(M375 &lt;&gt; 0, O375 / M375, P375 / N375)) * recipe04DayScale, IF(ISNA(CONVERT(O375, "kg", L375)), CONVERT(P375 * recipe04DayScale, "l", L375), CONVERT(O375 * recipe04DayScale, "kg", L375))), roundTo)</f>
        <v>0.75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0.75</v>
      </c>
      <c r="V375" s="40" t="b">
        <f>INDEX(itemPrepMethods, MATCH(K375, itemNames, 0))="chop"</f>
        <v>1</v>
      </c>
      <c r="W375" s="53">
        <f>IF(V375, Q375, "")</f>
        <v>0.75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2"/>
        <v>5.25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83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09"/>
        <v>0</v>
      </c>
      <c r="P376" s="43">
        <f t="shared" si="310"/>
        <v>0</v>
      </c>
      <c r="Q376" s="43">
        <f>MROUND(IF(L376 = "", IF(J376 = "", I376, IF(M376 &lt;&gt; 0, O376 / M376, P376 / N376)) * recipe04DayScale, IF(ISNA(CONVERT(O376, "kg", L376)), CONVERT(P376 * recipe04DayScale, "l", L376), CONVERT(O376 * recipe04DayScale, "kg", L376))), roundTo)</f>
        <v>5.25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5.25</v>
      </c>
      <c r="V376" s="40" t="b">
        <f>INDEX(itemPrepMethods, MATCH(K376, itemNames, 0))="chop"</f>
        <v>1</v>
      </c>
      <c r="W376" s="53">
        <f>IF(V376, Q376, "")</f>
        <v>5.25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2"/>
        <v>7.25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84</v>
      </c>
      <c r="L377" s="52"/>
      <c r="M377" s="43">
        <f>INDEX(itemGPerQty, MATCH(K377, itemNames, 0))</f>
        <v>3.1E-2</v>
      </c>
      <c r="N377" s="43">
        <f>INDEX(itemMlPerQty, MATCH(K377, itemNames, 0))</f>
        <v>0.2</v>
      </c>
      <c r="O377" s="43">
        <f t="shared" si="309"/>
        <v>0.34099999999999997</v>
      </c>
      <c r="P377" s="43">
        <f t="shared" si="310"/>
        <v>2.2000000000000002</v>
      </c>
      <c r="Q377" s="43">
        <f>MROUND(IF(L377 = "", IF(J377 = "", I377, IF(M377 &lt;&gt; 0, O377 / M377, P377 / N377)) * recipe04DayScale, IF(ISNA(CONVERT(O377, "kg", L377)), CONVERT(P377 * recipe04DayScale, "l", L377), CONVERT(O377 * recipe04DayScale, "kg", L377))), roundTo)</f>
        <v>7.25</v>
      </c>
      <c r="R377" s="43">
        <f>recipe04TotScale * IF(L377 = "", Q377 * M377, IF(ISNA(CONVERT(Q377, L377, "kg")), CONVERT(Q377, L377, "l") * IF(N377 &lt;&gt; 0, M377 / N377, 0), CONVERT(Q377, L377, "kg")))</f>
        <v>0.22475000000000001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7.25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2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09"/>
        <v>1.8333372324037089E-2</v>
      </c>
      <c r="P378" s="43">
        <f t="shared" si="310"/>
        <v>1.6265441259374999E-2</v>
      </c>
      <c r="Q378" s="43">
        <f>MROUND(IF(L378 = "", IF(J378 = "", I378, IF(M378 &lt;&gt; 0, O378 / M378, P378 / N378))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0"/>
      <c r="B379" s="120"/>
      <c r="C379" s="120"/>
      <c r="D379" s="12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16" t="s">
        <v>218</v>
      </c>
      <c r="B380" s="116"/>
      <c r="C380" s="116"/>
      <c r="D380" s="116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2"/>
        <v>1.25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381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1">IF(J381 = "", I381 * M381, IF(ISNA(CONVERT(I381, J381, "kg")), CONVERT(I381, J381, "l") * IF(N381 &lt;&gt; 0, M381 / N381, 0), CONVERT(I381, J381, "kg")))</f>
        <v>0</v>
      </c>
      <c r="P381" s="43">
        <f t="shared" ref="P381:P382" si="312">IF(J381 = "", I381 * N381, IF(ISNA(CONVERT(I381, J381, "l")), CONVERT(I381, J381, "kg") * IF(M381 &lt;&gt; 0, N381 / M381, 0), CONVERT(I381, J381, "l")))</f>
        <v>0</v>
      </c>
      <c r="Q381" s="43">
        <f>MROUND(IF(L381 = "", IF(J381 = "", I381, IF(M381 &lt;&gt; 0, O381 / M381, P381 / N381)) * recipe04DayScale, IF(ISNA(CONVERT(O381, "kg", L381)), CONVERT(P381 * recipe04DayScale, "l", L381), CONVERT(O381 * recipe04DayScale, "kg", L381))), roundTo)</f>
        <v>1.25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1.25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2"/>
        <v>4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379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1"/>
        <v>0</v>
      </c>
      <c r="P382" s="43">
        <f t="shared" si="312"/>
        <v>0</v>
      </c>
      <c r="Q382" s="43">
        <f>MROUND(IF(L382 = "", IF(J382 = "", I382, IF(M382 &lt;&gt; 0, O382 / M382, P382 / N382)) * recipe04DayScale, IF(ISNA(CONVERT(O382, "kg", L382)), CONVERT(P382 * recipe04DayScale, "l", L382), CONVERT(O382 * recipe04DayScale, "kg", L382))), roundTo)</f>
        <v>4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</v>
      </c>
      <c r="U382" s="40" t="s">
        <v>212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33</v>
      </c>
      <c r="L383" s="40"/>
      <c r="M383" s="40"/>
      <c r="N383" s="40"/>
      <c r="O383" s="40"/>
      <c r="P383" s="40"/>
      <c r="U383" s="40" t="s">
        <v>178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177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56</v>
      </c>
      <c r="L385" s="40"/>
      <c r="M385" s="40"/>
      <c r="N385" s="40"/>
      <c r="O385" s="40"/>
      <c r="P385" s="40"/>
      <c r="U385" s="40" t="s">
        <v>177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0"/>
      <c r="B386" s="120"/>
      <c r="C386" s="120"/>
      <c r="D386" s="12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16" t="s">
        <v>219</v>
      </c>
      <c r="B387" s="116"/>
      <c r="C387" s="116"/>
      <c r="D387" s="116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7" t="s">
        <v>541</v>
      </c>
      <c r="B388" s="117"/>
      <c r="C388" s="117"/>
      <c r="D388" s="117"/>
      <c r="E388" s="39" t="s">
        <v>112</v>
      </c>
      <c r="F388" s="84" t="s">
        <v>153</v>
      </c>
      <c r="G388" s="84"/>
    </row>
    <row r="389" spans="1:30" ht="24" x14ac:dyDescent="0.2">
      <c r="A389" s="117" t="s">
        <v>30</v>
      </c>
      <c r="B389" s="117"/>
      <c r="C389" s="117"/>
      <c r="D389" s="117"/>
      <c r="E389" s="38" t="s">
        <v>39</v>
      </c>
      <c r="F389" s="73">
        <v>16</v>
      </c>
      <c r="G389" s="43"/>
      <c r="I389" s="65" t="s">
        <v>369</v>
      </c>
      <c r="J389" s="66" t="s">
        <v>370</v>
      </c>
      <c r="K389" s="66" t="s">
        <v>17</v>
      </c>
      <c r="L389" s="67" t="s">
        <v>373</v>
      </c>
      <c r="M389" s="65" t="s">
        <v>118</v>
      </c>
      <c r="N389" s="65" t="s">
        <v>119</v>
      </c>
      <c r="O389" s="65" t="s">
        <v>371</v>
      </c>
      <c r="P389" s="65" t="s">
        <v>372</v>
      </c>
      <c r="Q389" s="66" t="s">
        <v>296</v>
      </c>
      <c r="R389" s="65" t="s">
        <v>297</v>
      </c>
      <c r="S389" s="65" t="s">
        <v>298</v>
      </c>
      <c r="T389" s="65" t="s">
        <v>299</v>
      </c>
      <c r="U389" s="66" t="s">
        <v>22</v>
      </c>
      <c r="V389" s="66" t="s">
        <v>173</v>
      </c>
      <c r="W389" s="68" t="s">
        <v>296</v>
      </c>
      <c r="X389" s="66" t="s">
        <v>171</v>
      </c>
      <c r="Y389" s="66" t="s">
        <v>172</v>
      </c>
      <c r="Z389" s="66" t="s">
        <v>271</v>
      </c>
      <c r="AA389" s="66" t="s">
        <v>174</v>
      </c>
      <c r="AB389" s="68" t="s">
        <v>296</v>
      </c>
      <c r="AC389" s="66" t="s">
        <v>175</v>
      </c>
      <c r="AD389" s="66" t="s">
        <v>176</v>
      </c>
    </row>
    <row r="390" spans="1:30" ht="13.5" thickBot="1" x14ac:dyDescent="0.3">
      <c r="A390" s="118" t="str">
        <f>_xlfn.CONCAT(F390," servings")</f>
        <v>10 servings</v>
      </c>
      <c r="B390" s="118"/>
      <c r="C390" s="118"/>
      <c r="D390" s="118"/>
      <c r="E390" s="61" t="s">
        <v>291</v>
      </c>
      <c r="F390" s="73">
        <f>wkdyRegDinner</f>
        <v>10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6" customFormat="1" ht="15.75" thickBot="1" x14ac:dyDescent="0.3">
      <c r="A391" s="116"/>
      <c r="B391" s="116"/>
      <c r="C391" s="116"/>
      <c r="D391" s="116"/>
      <c r="E391" s="61" t="s">
        <v>294</v>
      </c>
      <c r="F391" s="46">
        <f>F390/F389</f>
        <v>0.625</v>
      </c>
      <c r="G391" s="47" t="s">
        <v>324</v>
      </c>
      <c r="I391" s="58"/>
      <c r="J391" s="84"/>
      <c r="K391" s="84"/>
      <c r="L391" s="59"/>
      <c r="M391" s="58"/>
      <c r="N391" s="58"/>
      <c r="O391" s="58"/>
      <c r="P391" s="58"/>
      <c r="Q391" s="84"/>
      <c r="R391" s="58"/>
      <c r="S391" s="58"/>
      <c r="T391" s="58"/>
      <c r="U391" s="84"/>
      <c r="W391" s="44"/>
      <c r="Z391" s="45"/>
    </row>
    <row r="392" spans="1:30" x14ac:dyDescent="0.25">
      <c r="A392" s="116" t="s">
        <v>137</v>
      </c>
      <c r="B392" s="116"/>
      <c r="C392" s="116"/>
      <c r="D392" s="116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16"/>
      <c r="B393" s="116"/>
      <c r="C393" s="116"/>
      <c r="D393" s="116"/>
      <c r="E393" s="61" t="s">
        <v>283</v>
      </c>
      <c r="F393" s="73">
        <f>wkdyRegDinner</f>
        <v>10</v>
      </c>
      <c r="G393" s="62"/>
      <c r="I393" s="43"/>
    </row>
    <row r="394" spans="1:30" ht="15.75" thickBot="1" x14ac:dyDescent="0.3">
      <c r="A394" s="116" t="s">
        <v>154</v>
      </c>
      <c r="B394" s="116"/>
      <c r="C394" s="116"/>
      <c r="D394" s="116"/>
      <c r="E394" s="61" t="s">
        <v>295</v>
      </c>
      <c r="F394" s="46">
        <f>F393/F390</f>
        <v>1</v>
      </c>
      <c r="G394" s="47" t="s">
        <v>325</v>
      </c>
      <c r="I394" s="43"/>
    </row>
    <row r="395" spans="1:30" x14ac:dyDescent="0.25">
      <c r="A395" s="36" t="s">
        <v>21</v>
      </c>
      <c r="B395" s="48">
        <f t="shared" ref="B395" si="313">Q395</f>
        <v>1.25</v>
      </c>
      <c r="C395" s="35" t="str">
        <f t="shared" ref="C395" si="314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MROUND(IF(L395 = "", IF(J395 = "", I395, IF(M395 &lt;&gt; 0, O395 / M395, P395 / N395)) * recipe11DayScale, IF(ISNA(CONVERT(O395, "kg", L395)), CONVERT(P395 * recipe11DayScale, "l", L395), CONVERT(O395 * recipe11DayScale, "kg", L395))), roundTo)</f>
        <v>1.25</v>
      </c>
      <c r="R395" s="43">
        <f>recipe11TotScale * IF(L395 = "", Q395 * M395, IF(ISNA(CONVERT(Q395, L395, "kg")), CONVERT(Q395, L395, "l") * IF(N395 &lt;&gt; 0, M395 / N395, 0), CONVERT(Q395, L395, "kg")))</f>
        <v>0.26468748489662419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205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1.25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16"/>
      <c r="B396" s="116"/>
      <c r="C396" s="116"/>
      <c r="D396" s="116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16" t="s">
        <v>262</v>
      </c>
      <c r="B397" s="116"/>
      <c r="C397" s="116"/>
      <c r="D397" s="116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15">Q398</f>
        <v>6.25</v>
      </c>
      <c r="C398" s="35" t="str">
        <f t="shared" ref="C398" si="316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32</v>
      </c>
      <c r="L398" s="52" t="s">
        <v>15</v>
      </c>
      <c r="M398" s="43">
        <f t="shared" ref="M398:M402" si="317">INDEX(itemGPerQty, MATCH(K398, itemNames, 0))</f>
        <v>0</v>
      </c>
      <c r="N398" s="43">
        <f t="shared" ref="N398:N402" si="318">INDEX(itemMlPerQty, MATCH(K398, itemNames, 0))</f>
        <v>0</v>
      </c>
      <c r="O398" s="43">
        <f t="shared" ref="O398:O402" si="319">IF(J398 = "", I398 * M398, IF(ISNA(CONVERT(I398, J398, "kg")), CONVERT(I398, J398, "l") * IF(N398 &lt;&gt; 0, M398 / N398, 0), CONVERT(I398, J398, "kg")))</f>
        <v>0</v>
      </c>
      <c r="P398" s="43">
        <f t="shared" ref="P398:P402" si="320">IF(J398 = "", I398 * N398, IF(ISNA(CONVERT(I398, J398, "l")), CONVERT(I398, J398, "kg") * IF(M398 &lt;&gt; 0, N398 / M398, 0), CONVERT(I398, J398, "l")))</f>
        <v>0.1478676478125</v>
      </c>
      <c r="Q398" s="43">
        <f>MROUND(IF(L398 = "", IF(J398 = "", I398, IF(M398 &lt;&gt; 0, O398 / M398, P398 / N398)) * recipe11DayScale, IF(ISNA(CONVERT(O398, "kg", L398)), CONVERT(P398 * recipe11DayScale, "l", L398), CONVERT(O398 * recipe11DayScale, "kg", L398))), roundTo)</f>
        <v>6.25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9.2417279882812495E-2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1">Q399</f>
        <v>5</v>
      </c>
      <c r="C399" s="35" t="str">
        <f t="shared" ref="C399:C402" si="322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17"/>
        <v>0</v>
      </c>
      <c r="N399" s="43">
        <f t="shared" si="318"/>
        <v>0</v>
      </c>
      <c r="O399" s="43">
        <f t="shared" si="319"/>
        <v>0</v>
      </c>
      <c r="P399" s="43">
        <f t="shared" si="320"/>
        <v>0</v>
      </c>
      <c r="Q399" s="43">
        <f>MROUND(IF(L399 = "", IF(J399 = "", I399, IF(M399 &lt;&gt; 0, O399 / M399, P399 / N399)) * recipe11DayScale, IF(ISNA(CONVERT(O399, "kg", L399)), CONVERT(P399 * recipe11DayScale, "l", L399), CONVERT(O399 * recipe11DayScale, "kg", L399))), roundTo)</f>
        <v>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</v>
      </c>
      <c r="U399" s="40" t="s">
        <v>204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1"/>
        <v>1.25</v>
      </c>
      <c r="C400" s="35" t="str">
        <f t="shared" si="322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274</v>
      </c>
      <c r="L400" s="52" t="s">
        <v>15</v>
      </c>
      <c r="M400" s="43">
        <f t="shared" si="317"/>
        <v>1.4E-2</v>
      </c>
      <c r="N400" s="43">
        <f t="shared" si="318"/>
        <v>2.2180100000000001E-2</v>
      </c>
      <c r="O400" s="43">
        <f t="shared" si="319"/>
        <v>1.8666706366292307E-2</v>
      </c>
      <c r="P400" s="43">
        <f t="shared" si="320"/>
        <v>2.9573529562499999E-2</v>
      </c>
      <c r="Q400" s="43">
        <f>MROUND(IF(L400 = "", IF(J400 = "", I400, IF(M400 &lt;&gt; 0, O400 / M400, P400 / N400)) * recipe11DayScale, IF(ISNA(CONVERT(O400, "kg", L400)), CONVERT(P400 * recipe11DayScale, "l", L400), CONVERT(O400 * recipe11DayScale, "kg", L400))), roundTo)</f>
        <v>1.25</v>
      </c>
      <c r="R400" s="43">
        <f>recipe11TotScale * IF(L400 = "", Q400 * M400, IF(ISNA(CONVERT(Q400, L400, "kg")), CONVERT(Q400, L400, "l") * IF(N400 &lt;&gt; 0, M400 / N400, 0), CONVERT(Q400, L400, "kg")))</f>
        <v>1.1666691478932692E-2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1"/>
        <v>0.75</v>
      </c>
      <c r="C401" s="35" t="str">
        <f t="shared" si="322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79</v>
      </c>
      <c r="L401" s="52" t="s">
        <v>15</v>
      </c>
      <c r="M401" s="43">
        <f t="shared" si="317"/>
        <v>1.0999999999999999E-2</v>
      </c>
      <c r="N401" s="43">
        <f t="shared" si="318"/>
        <v>2.2180100000000001E-2</v>
      </c>
      <c r="O401" s="43">
        <f t="shared" si="319"/>
        <v>7.3333489296148338E-3</v>
      </c>
      <c r="P401" s="43">
        <f t="shared" si="320"/>
        <v>1.478676478125E-2</v>
      </c>
      <c r="Q401" s="43">
        <f>MROUND(IF(L401 = "", IF(J401 = "", I401, IF(M401 &lt;&gt; 0, O401 / M401, P401 / N401))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1"/>
        <v>4.5</v>
      </c>
      <c r="C402" s="35" t="str">
        <f t="shared" si="322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192</v>
      </c>
      <c r="L402" s="52" t="s">
        <v>15</v>
      </c>
      <c r="M402" s="43">
        <f t="shared" si="317"/>
        <v>0</v>
      </c>
      <c r="N402" s="43">
        <f t="shared" si="318"/>
        <v>0</v>
      </c>
      <c r="O402" s="43">
        <f t="shared" si="319"/>
        <v>0</v>
      </c>
      <c r="P402" s="43">
        <f t="shared" si="320"/>
        <v>0.10350735346874999</v>
      </c>
      <c r="Q402" s="43">
        <f>MROUND(IF(L402 = "", IF(J402 = "", I402, IF(M402 &lt;&gt; 0, O402 / M402, P402 / N402)) * recipe11DayScale, IF(ISNA(CONVERT(O402, "kg", L402)), CONVERT(P402 * recipe11DayScale, "l", L402), CONVERT(O402 * recipe11DayScale, "kg", L402))), roundTo)</f>
        <v>4.5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6.6540441515624993E-2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16"/>
      <c r="B403" s="116"/>
      <c r="C403" s="116"/>
      <c r="D403" s="116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16" t="s">
        <v>157</v>
      </c>
      <c r="B404" s="116"/>
      <c r="C404" s="116"/>
      <c r="D404" s="116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3">Q405</f>
        <v>1.25</v>
      </c>
      <c r="C405" s="35" t="str">
        <f t="shared" ref="C405:C407" si="324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40</v>
      </c>
      <c r="K405" s="51" t="s">
        <v>33</v>
      </c>
      <c r="L405" s="52" t="s">
        <v>40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25">IF(J405 = "", I405 * M405, IF(ISNA(CONVERT(I405, J405, "kg")), CONVERT(I405, J405, "l") * IF(N405 &lt;&gt; 0, M405 / N405, 0), CONVERT(I405, J405, "kg")))</f>
        <v>2</v>
      </c>
      <c r="P405" s="43">
        <f t="shared" ref="P405:P408" si="326">IF(J405 = "", I405 * N405, IF(ISNA(CONVERT(I405, J405, "l")), CONVERT(I405, J405, "kg") * IF(M405 &lt;&gt; 0, N405 / M405, 0), CONVERT(I405, J405, "l")))</f>
        <v>2</v>
      </c>
      <c r="Q405" s="43">
        <f>MROUND(IF(L405 = "", IF(J405 = "", I405, IF(M405 &lt;&gt; 0, O405 / M405, P405 / N405)) * recipe11DayScale, IF(ISNA(CONVERT(O405, "kg", L405)), CONVERT(P405 * recipe11DayScale, "l", L405), CONVERT(O405 * recipe11DayScale, "kg", L405))), roundTo)</f>
        <v>1.25</v>
      </c>
      <c r="R405" s="43">
        <f>recipe11TotScale * IF(L405 = "", Q405 * M405, IF(ISNA(CONVERT(Q405, L405, "kg")), CONVERT(Q405, L405, "l") * IF(N405 &lt;&gt; 0, M405 / N405, 0), CONVERT(Q405, L405, "kg")))</f>
        <v>1.25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261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3"/>
        <v>5</v>
      </c>
      <c r="C406" s="35" t="str">
        <f t="shared" si="324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25"/>
        <v>1.8</v>
      </c>
      <c r="P406" s="43">
        <f t="shared" si="326"/>
        <v>2.7</v>
      </c>
      <c r="Q406" s="43">
        <f>MROUND(IF(L406 = "", IF(J406 = "", I406, IF(M406 &lt;&gt; 0, O406 / M406, P406 / N406)) * recipe11DayScale, IF(ISNA(CONVERT(O406, "kg", L406)), CONVERT(P406 * recipe11DayScale, "l", L406), CONVERT(O406 * recipe11DayScale, "kg", L406))), roundTo)</f>
        <v>5</v>
      </c>
      <c r="R406" s="43">
        <f>recipe11TotScale * IF(L406 = "", Q406 * M406, IF(ISNA(CONVERT(Q406, L406, "kg")), CONVERT(Q406, L406, "l") * IF(N406 &lt;&gt; 0, M406 / N406, 0), CONVERT(Q406, L406, "kg")))</f>
        <v>1.125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3"/>
        <v>7</v>
      </c>
      <c r="C407" s="35" t="str">
        <f t="shared" si="324"/>
        <v/>
      </c>
      <c r="D407" s="36" t="str">
        <f>_xlfn.CONCAT(K407, U407)</f>
        <v>chopped celery stalks</v>
      </c>
      <c r="I407" s="57">
        <v>11</v>
      </c>
      <c r="J407" s="51"/>
      <c r="K407" s="51" t="s">
        <v>125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25"/>
        <v>1.1495</v>
      </c>
      <c r="P407" s="43">
        <f t="shared" si="326"/>
        <v>2.2000000000000002</v>
      </c>
      <c r="Q407" s="43">
        <f>MROUND(IF(L407 = "", IF(J407 = "", I407, IF(M407 &lt;&gt; 0, O407 / M407, P407 / N407)) * recipe11DayScale, IF(ISNA(CONVERT(O407, "kg", L407)), CONVERT(P407 * recipe11DayScale, "l", L407), CONVERT(O407 * recipe11DayScale, "kg", L407))), roundTo)</f>
        <v>7</v>
      </c>
      <c r="R407" s="43">
        <f>recipe11TotScale * IF(L407 = "", Q407 * M407, IF(ISNA(CONVERT(Q407, L407, "kg")), CONVERT(Q407, L407, "l") * IF(N407 &lt;&gt; 0, M407 / N407, 0), CONVERT(Q407, L407, "kg")))</f>
        <v>0.73149999999999993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27">Q408</f>
        <v>7</v>
      </c>
      <c r="C408" s="35" t="str">
        <f t="shared" ref="C408" si="328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156</v>
      </c>
      <c r="L408" s="52"/>
      <c r="M408" s="43">
        <f>INDEX(itemGPerQty, MATCH(K408, itemNames, 0))</f>
        <v>3.3600000000000005E-2</v>
      </c>
      <c r="N408" s="43">
        <f>INDEX(itemMlPerQty, MATCH(K408, itemNames, 0))</f>
        <v>0.26</v>
      </c>
      <c r="O408" s="43">
        <f t="shared" si="325"/>
        <v>0.36960000000000004</v>
      </c>
      <c r="P408" s="43">
        <f t="shared" si="326"/>
        <v>2.8600000000000003</v>
      </c>
      <c r="Q408" s="43">
        <f>MROUND(IF(L408 = "", IF(J408 = "", I408, IF(M408 &lt;&gt; 0, O408 / M408, P408 / N408)) * recipe11DayScale, IF(ISNA(CONVERT(O408, "kg", L408)), CONVERT(P408 * recipe11DayScale, "l", L408), CONVERT(O408 * recipe11DayScale, "kg", L408))), roundTo)</f>
        <v>7</v>
      </c>
      <c r="R408" s="43">
        <f>recipe11TotScale * IF(L408 = "", Q408 * M408, IF(ISNA(CONVERT(Q408, L408, "kg")), CONVERT(Q408, L408, "l") * IF(N408 &lt;&gt; 0, M408 / N408, 0), CONVERT(Q408, L408, "kg")))</f>
        <v>0.23520000000000002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16"/>
      <c r="B409" s="116"/>
      <c r="C409" s="116"/>
      <c r="D409" s="116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16" t="s">
        <v>130</v>
      </c>
      <c r="B410" s="116"/>
      <c r="C410" s="116"/>
      <c r="D410" s="116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29">Q411</f>
        <v>1.25</v>
      </c>
      <c r="C411" s="35" t="str">
        <f t="shared" ref="C411:C412" si="330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381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MROUND(IF(L411 = "", IF(J411 = "", I411, IF(M411 &lt;&gt; 0, O411 / M411, P411 / N411)) * recipe11DayScale, IF(ISNA(CONVERT(O411, "kg", L411)), CONVERT(P411 * recipe11DayScale, "l", L411), CONVERT(O411 * recipe11DayScale, "kg", L411))), roundTo)</f>
        <v>1.25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1.25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0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202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33</v>
      </c>
      <c r="L413" s="40"/>
      <c r="M413" s="40"/>
      <c r="N413" s="40"/>
      <c r="O413" s="40"/>
      <c r="P413" s="40"/>
      <c r="U413" s="40" t="s">
        <v>178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177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16"/>
      <c r="B415" s="116"/>
      <c r="C415" s="116"/>
      <c r="D415" s="116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16" t="s">
        <v>263</v>
      </c>
      <c r="B416" s="116"/>
      <c r="C416" s="116"/>
      <c r="D416" s="116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7" t="s">
        <v>458</v>
      </c>
      <c r="B417" s="117"/>
      <c r="C417" s="117"/>
      <c r="D417" s="11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6" customFormat="1" x14ac:dyDescent="0.25">
      <c r="A418" s="116"/>
      <c r="B418" s="116"/>
      <c r="C418" s="116"/>
      <c r="D418" s="116"/>
      <c r="I418" s="41"/>
      <c r="L418" s="42"/>
    </row>
    <row r="419" spans="1:26" s="86" customFormat="1" x14ac:dyDescent="0.25">
      <c r="A419" s="116" t="s">
        <v>457</v>
      </c>
      <c r="B419" s="116"/>
      <c r="C419" s="116"/>
      <c r="D419" s="116"/>
      <c r="I419" s="41"/>
      <c r="L419" s="42"/>
    </row>
    <row r="420" spans="1:26" x14ac:dyDescent="0.25">
      <c r="A420" s="109" t="s">
        <v>21</v>
      </c>
      <c r="B420" s="48">
        <f t="shared" ref="B420:B428" si="331">Q420</f>
        <v>1.25</v>
      </c>
      <c r="C420" s="35" t="str">
        <f t="shared" ref="C420:C428" si="332">IF(L420="","",L420)</f>
        <v/>
      </c>
      <c r="D420" s="109" t="str">
        <f t="shared" ref="D420:D430" si="333"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455</v>
      </c>
      <c r="L420" s="52"/>
      <c r="M420" s="43">
        <f t="shared" ref="M420:M430" si="334">INDEX(itemGPerQty, MATCH(K420, itemNames, 0))</f>
        <v>0</v>
      </c>
      <c r="N420" s="43">
        <f t="shared" ref="N420:N430" si="335">INDEX(itemMlPerQty, MATCH(K420, itemNames, 0))</f>
        <v>0</v>
      </c>
      <c r="O420" s="43">
        <f t="shared" ref="O420:O430" si="336">IF(J420 = "", I420 * M420, IF(ISNA(CONVERT(I420, J420, "kg")), CONVERT(I420, J420, "l") * IF(N420 &lt;&gt; 0, M420 / N420, 0), CONVERT(I420, J420, "kg")))</f>
        <v>0</v>
      </c>
      <c r="P420" s="43">
        <f t="shared" ref="P420:P430" si="337">IF(J420 = "", I420 * N420, IF(ISNA(CONVERT(I420, J420, "l")), CONVERT(I420, J420, "kg") * IF(M420 &lt;&gt; 0, N420 / M420, 0), CONVERT(I420, J420, "l")))</f>
        <v>0</v>
      </c>
      <c r="Q420" s="43">
        <f>IF(L420 = "", IF(J420 = "", I420, IF(M420 &lt;&gt; 0, O420 / M420, P420 / N420)) * 1, IF(ISNA(CONVERT(O420, "kg", L420)), CONVERT(P420 * 1, "l", L420), CONVERT(O420 * 1, "kg", L420)))</f>
        <v>1.25</v>
      </c>
      <c r="R420" s="43">
        <f t="shared" ref="R420:R430" si="338">G420 * IF(L420 = "", Q420 * M420, IF(ISNA(CONVERT(Q420, L420, "kg")), CONVERT(Q420, L420, "l") * IF(N420 &lt;&gt; 0, M420 / N420, 0), CONVERT(Q420, L420, "kg")))</f>
        <v>0</v>
      </c>
      <c r="S420" s="43">
        <f t="shared" ref="S420:S430" si="339">G420 * IF(R420 = 0, IF(L420 = "", Q420 * N420, IF(ISNA(CONVERT(Q420, L420, "l")), CONVERT(Q420, L420, "kg") * IF(M420 &lt;&gt; 0, N420 / M420, 0), CONVERT(Q420, L420, "l"))), 0)</f>
        <v>0</v>
      </c>
      <c r="T420" s="43">
        <f t="shared" ref="T420:T430" si="340">G420 * IF(AND(R420 = 0, S420 = 0, J420 = "", L420 = ""), Q420, 0)</f>
        <v>140</v>
      </c>
      <c r="U420" s="40" t="s">
        <v>466</v>
      </c>
    </row>
    <row r="421" spans="1:26" s="86" customFormat="1" x14ac:dyDescent="0.25">
      <c r="A421" s="109" t="s">
        <v>21</v>
      </c>
      <c r="B421" s="48">
        <f t="shared" si="331"/>
        <v>1.25</v>
      </c>
      <c r="C421" s="35" t="str">
        <f t="shared" si="332"/>
        <v/>
      </c>
      <c r="D421" s="109" t="str">
        <f t="shared" si="333"/>
        <v>slices gluten free bread, at breakfast and dinner, if GF</v>
      </c>
      <c r="G421" s="86">
        <f>totGfBread</f>
        <v>52</v>
      </c>
      <c r="I421" s="57">
        <v>1.25</v>
      </c>
      <c r="J421" s="51"/>
      <c r="K421" s="51" t="s">
        <v>456</v>
      </c>
      <c r="L421" s="52"/>
      <c r="M421" s="43">
        <f t="shared" si="334"/>
        <v>0</v>
      </c>
      <c r="N421" s="43">
        <f t="shared" si="335"/>
        <v>0</v>
      </c>
      <c r="O421" s="43">
        <f t="shared" si="336"/>
        <v>0</v>
      </c>
      <c r="P421" s="43">
        <f t="shared" si="337"/>
        <v>0</v>
      </c>
      <c r="Q421" s="43">
        <f>IF(L421 = "", IF(J421 = "", I421, IF(M421 &lt;&gt; 0, O421 / M421, P421 / N421)) * 1, IF(ISNA(CONVERT(O421, "kg", L421)), CONVERT(P421 * 1, "l", L421), CONVERT(O421 * 1, "kg", L421)))</f>
        <v>1.25</v>
      </c>
      <c r="R421" s="43">
        <f t="shared" si="338"/>
        <v>0</v>
      </c>
      <c r="S421" s="43">
        <f t="shared" si="339"/>
        <v>0</v>
      </c>
      <c r="T421" s="43">
        <f t="shared" si="340"/>
        <v>65</v>
      </c>
      <c r="U421" s="86" t="s">
        <v>464</v>
      </c>
      <c r="W421" s="44"/>
      <c r="Z421" s="45"/>
    </row>
    <row r="422" spans="1:26" s="86" customFormat="1" x14ac:dyDescent="0.25">
      <c r="A422" s="109" t="s">
        <v>21</v>
      </c>
      <c r="B422" s="48">
        <f>Q422</f>
        <v>0.5</v>
      </c>
      <c r="C422" s="35" t="str">
        <f>IF(L422="","",L422)</f>
        <v>cup</v>
      </c>
      <c r="D422" s="109" t="str">
        <f t="shared" si="333"/>
        <v>regular porridge, if non-GF</v>
      </c>
      <c r="G422" s="86">
        <f>totRegPorridge</f>
        <v>62</v>
      </c>
      <c r="I422" s="57">
        <v>0.5</v>
      </c>
      <c r="J422" s="51" t="s">
        <v>16</v>
      </c>
      <c r="K422" s="51" t="s">
        <v>452</v>
      </c>
      <c r="L422" s="52" t="s">
        <v>16</v>
      </c>
      <c r="M422" s="43">
        <f t="shared" si="334"/>
        <v>0</v>
      </c>
      <c r="N422" s="43">
        <f t="shared" si="335"/>
        <v>0</v>
      </c>
      <c r="O422" s="43">
        <f t="shared" si="336"/>
        <v>0</v>
      </c>
      <c r="P422" s="43">
        <f t="shared" si="337"/>
        <v>0.11829411825</v>
      </c>
      <c r="Q422" s="43">
        <f>IF(L422 = "", IF(J422 = "", I422, IF(M422 &lt;&gt; 0, O422 / M422, P422 / N422)) * 1, IF(ISNA(CONVERT(O422, "kg", L422)), CONVERT(P422 * 1, "l", L422), CONVERT(O422 * 1, "kg", L422)))</f>
        <v>0.5</v>
      </c>
      <c r="R422" s="43">
        <f t="shared" si="338"/>
        <v>0</v>
      </c>
      <c r="S422" s="43">
        <f t="shared" si="339"/>
        <v>7.3342353314999995</v>
      </c>
      <c r="T422" s="43">
        <f t="shared" si="340"/>
        <v>0</v>
      </c>
      <c r="U422" s="86" t="s">
        <v>465</v>
      </c>
      <c r="W422" s="44"/>
      <c r="Z422" s="45"/>
    </row>
    <row r="423" spans="1:26" s="86" customFormat="1" x14ac:dyDescent="0.25">
      <c r="A423" s="109" t="s">
        <v>21</v>
      </c>
      <c r="B423" s="48">
        <f>Q423</f>
        <v>0.5</v>
      </c>
      <c r="C423" s="35" t="str">
        <f>IF(L423="","",L423)</f>
        <v>cup</v>
      </c>
      <c r="D423" s="109" t="str">
        <f t="shared" si="333"/>
        <v>rice porridge, if GF</v>
      </c>
      <c r="G423" s="86">
        <f>totRicePorridge</f>
        <v>28</v>
      </c>
      <c r="I423" s="57">
        <v>0.5</v>
      </c>
      <c r="J423" s="51" t="s">
        <v>16</v>
      </c>
      <c r="K423" s="51" t="s">
        <v>453</v>
      </c>
      <c r="L423" s="52" t="s">
        <v>16</v>
      </c>
      <c r="M423" s="43">
        <f t="shared" si="334"/>
        <v>0</v>
      </c>
      <c r="N423" s="43">
        <f t="shared" si="335"/>
        <v>0</v>
      </c>
      <c r="O423" s="43">
        <f t="shared" si="336"/>
        <v>0</v>
      </c>
      <c r="P423" s="43">
        <f t="shared" si="337"/>
        <v>0.11829411825</v>
      </c>
      <c r="Q423" s="43">
        <f>IF(L423 = "", IF(J423 = "", I423, IF(M423 &lt;&gt; 0, O423 / M423, P423 / N423)) * 1, IF(ISNA(CONVERT(O423, "kg", L423)), CONVERT(P423 * 1, "l", L423), CONVERT(O423 * 1, "kg", L423)))</f>
        <v>0.5</v>
      </c>
      <c r="R423" s="43">
        <f t="shared" si="338"/>
        <v>0</v>
      </c>
      <c r="S423" s="43">
        <f t="shared" si="339"/>
        <v>3.3122353109999998</v>
      </c>
      <c r="T423" s="43">
        <f t="shared" si="340"/>
        <v>0</v>
      </c>
      <c r="U423" s="86" t="s">
        <v>463</v>
      </c>
      <c r="W423" s="44"/>
      <c r="Z423" s="45"/>
    </row>
    <row r="424" spans="1:26" x14ac:dyDescent="0.25">
      <c r="A424" s="109" t="s">
        <v>21</v>
      </c>
      <c r="B424" s="48">
        <f>Q424</f>
        <v>20</v>
      </c>
      <c r="C424" s="35" t="str">
        <f>IF(L424="","",L424)</f>
        <v>g</v>
      </c>
      <c r="D424" s="109" t="str">
        <f t="shared" si="333"/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163</v>
      </c>
      <c r="L424" s="52" t="s">
        <v>0</v>
      </c>
      <c r="M424" s="43">
        <f t="shared" si="334"/>
        <v>0</v>
      </c>
      <c r="N424" s="43">
        <f t="shared" si="335"/>
        <v>0</v>
      </c>
      <c r="O424" s="43">
        <f t="shared" si="336"/>
        <v>0.02</v>
      </c>
      <c r="P424" s="43">
        <f t="shared" si="337"/>
        <v>0</v>
      </c>
      <c r="Q424" s="43">
        <f>IF(L424 = "", IF(J424 = "", I424, IF(M424 &lt;&gt; 0, O424 / M424, P424 / N424)) * 1, IF(ISNA(CONVERT(O424, "kg", L424)), CONVERT(P424 * 1, "l", L424), CONVERT(O424 * 1, "kg", L424)))</f>
        <v>20</v>
      </c>
      <c r="R424" s="43">
        <f t="shared" si="338"/>
        <v>1.98</v>
      </c>
      <c r="S424" s="43">
        <f t="shared" si="339"/>
        <v>0</v>
      </c>
      <c r="T424" s="43">
        <f t="shared" si="340"/>
        <v>0</v>
      </c>
      <c r="U424" s="40" t="s">
        <v>461</v>
      </c>
    </row>
    <row r="425" spans="1:26" s="86" customFormat="1" x14ac:dyDescent="0.25">
      <c r="A425" s="109" t="s">
        <v>21</v>
      </c>
      <c r="B425" s="48">
        <f t="shared" si="331"/>
        <v>0.66</v>
      </c>
      <c r="C425" s="35" t="str">
        <f t="shared" si="332"/>
        <v>cup</v>
      </c>
      <c r="D425" s="109" t="str">
        <f t="shared" si="333"/>
        <v>milk, if non-DF</v>
      </c>
      <c r="G425" s="86">
        <f>totDairy</f>
        <v>99</v>
      </c>
      <c r="I425" s="57">
        <v>0.66</v>
      </c>
      <c r="J425" s="51" t="s">
        <v>16</v>
      </c>
      <c r="K425" s="51" t="s">
        <v>451</v>
      </c>
      <c r="L425" s="52" t="s">
        <v>16</v>
      </c>
      <c r="M425" s="43">
        <f t="shared" si="334"/>
        <v>0</v>
      </c>
      <c r="N425" s="43">
        <f t="shared" si="335"/>
        <v>0</v>
      </c>
      <c r="O425" s="43">
        <f t="shared" si="336"/>
        <v>0</v>
      </c>
      <c r="P425" s="43">
        <f t="shared" si="337"/>
        <v>0.15614823609</v>
      </c>
      <c r="Q425" s="43">
        <f>IF(L425 = "", IF(J425 = "", I425, IF(M425 &lt;&gt; 0, O425 / M425, P425 / N425)) * 1, IF(ISNA(CONVERT(O425, "kg", L425)), CONVERT(P425 * 1, "l", L425), CONVERT(O425 * 1, "kg", L425)))</f>
        <v>0.66</v>
      </c>
      <c r="R425" s="43">
        <f t="shared" si="338"/>
        <v>0</v>
      </c>
      <c r="S425" s="43">
        <f t="shared" si="339"/>
        <v>15.458675372910001</v>
      </c>
      <c r="T425" s="43">
        <f t="shared" si="340"/>
        <v>0</v>
      </c>
      <c r="U425" s="86" t="s">
        <v>461</v>
      </c>
      <c r="W425" s="44"/>
      <c r="Z425" s="45"/>
    </row>
    <row r="426" spans="1:26" x14ac:dyDescent="0.25">
      <c r="A426" s="109" t="s">
        <v>21</v>
      </c>
      <c r="B426" s="48">
        <f>Q426</f>
        <v>0.66</v>
      </c>
      <c r="C426" s="35" t="str">
        <f>IF(L426="","",L426)</f>
        <v>cup</v>
      </c>
      <c r="D426" s="109" t="str">
        <f t="shared" si="333"/>
        <v>soymilk, if DF</v>
      </c>
      <c r="G426" s="86">
        <f>totNonDairy</f>
        <v>65</v>
      </c>
      <c r="I426" s="57">
        <v>0.66</v>
      </c>
      <c r="J426" s="51" t="s">
        <v>16</v>
      </c>
      <c r="K426" s="51" t="s">
        <v>256</v>
      </c>
      <c r="L426" s="52" t="s">
        <v>16</v>
      </c>
      <c r="M426" s="43">
        <f t="shared" si="334"/>
        <v>0</v>
      </c>
      <c r="N426" s="43">
        <f t="shared" si="335"/>
        <v>0</v>
      </c>
      <c r="O426" s="43">
        <f t="shared" si="336"/>
        <v>0</v>
      </c>
      <c r="P426" s="43">
        <f t="shared" si="337"/>
        <v>0.15614823609</v>
      </c>
      <c r="Q426" s="43">
        <f>IF(L426 = "", IF(J426 = "", I426, IF(M426 &lt;&gt; 0, O426 / M426, P426 / N426)) * 1, IF(ISNA(CONVERT(O426, "kg", L426)), CONVERT(P426 * 1, "l", L426), CONVERT(O426 * 1, "kg", L426)))</f>
        <v>0.66</v>
      </c>
      <c r="R426" s="43">
        <f t="shared" si="338"/>
        <v>0</v>
      </c>
      <c r="S426" s="43">
        <f t="shared" si="339"/>
        <v>10.149635345850001</v>
      </c>
      <c r="T426" s="43">
        <f t="shared" si="340"/>
        <v>0</v>
      </c>
      <c r="U426" s="40" t="s">
        <v>462</v>
      </c>
    </row>
    <row r="427" spans="1:26" s="86" customFormat="1" x14ac:dyDescent="0.25">
      <c r="A427" s="109" t="s">
        <v>21</v>
      </c>
      <c r="B427" s="48">
        <f t="shared" ref="B427" si="341">Q427</f>
        <v>15</v>
      </c>
      <c r="C427" s="35" t="str">
        <f t="shared" ref="C427" si="342">IF(L427="","",L427)</f>
        <v>g</v>
      </c>
      <c r="D427" s="109" t="str">
        <f t="shared" si="333"/>
        <v>butter, if non-DF</v>
      </c>
      <c r="G427" s="86">
        <f>totDairy</f>
        <v>99</v>
      </c>
      <c r="I427" s="57">
        <v>15</v>
      </c>
      <c r="J427" s="51" t="s">
        <v>0</v>
      </c>
      <c r="K427" s="51" t="s">
        <v>459</v>
      </c>
      <c r="L427" s="52" t="s">
        <v>0</v>
      </c>
      <c r="M427" s="43">
        <f t="shared" si="334"/>
        <v>0</v>
      </c>
      <c r="N427" s="43">
        <f t="shared" si="335"/>
        <v>0</v>
      </c>
      <c r="O427" s="43">
        <f t="shared" si="336"/>
        <v>1.4999999999999999E-2</v>
      </c>
      <c r="P427" s="43">
        <f t="shared" si="337"/>
        <v>0</v>
      </c>
      <c r="Q427" s="43">
        <f>IF(L427 = "", IF(J427 = "", I427, IF(M427 &lt;&gt; 0, O427 / M427, P427 / N427)) * 1, IF(ISNA(CONVERT(O427, "kg", L427)), CONVERT(P427 * 1, "l", L427), CONVERT(O427 * 1, "kg", L427)))</f>
        <v>15</v>
      </c>
      <c r="R427" s="43">
        <f t="shared" si="338"/>
        <v>1.4849999999999999</v>
      </c>
      <c r="S427" s="43">
        <f t="shared" si="339"/>
        <v>0</v>
      </c>
      <c r="T427" s="43">
        <f t="shared" si="340"/>
        <v>0</v>
      </c>
      <c r="U427" s="86" t="s">
        <v>461</v>
      </c>
      <c r="W427" s="44"/>
      <c r="Z427" s="45"/>
    </row>
    <row r="428" spans="1:26" s="86" customFormat="1" x14ac:dyDescent="0.25">
      <c r="A428" s="109" t="s">
        <v>21</v>
      </c>
      <c r="B428" s="48">
        <f t="shared" si="331"/>
        <v>15</v>
      </c>
      <c r="C428" s="35" t="str">
        <f t="shared" si="332"/>
        <v>g</v>
      </c>
      <c r="D428" s="109" t="str">
        <f t="shared" si="333"/>
        <v>olivani, if DF</v>
      </c>
      <c r="G428" s="86">
        <f>totNonDairy</f>
        <v>65</v>
      </c>
      <c r="I428" s="57">
        <v>15</v>
      </c>
      <c r="J428" s="51" t="s">
        <v>0</v>
      </c>
      <c r="K428" s="51" t="s">
        <v>460</v>
      </c>
      <c r="L428" s="52" t="s">
        <v>0</v>
      </c>
      <c r="M428" s="43">
        <f t="shared" si="334"/>
        <v>0</v>
      </c>
      <c r="N428" s="43">
        <f t="shared" si="335"/>
        <v>0</v>
      </c>
      <c r="O428" s="43">
        <f t="shared" si="336"/>
        <v>1.4999999999999999E-2</v>
      </c>
      <c r="P428" s="43">
        <f t="shared" si="337"/>
        <v>0</v>
      </c>
      <c r="Q428" s="43">
        <f>IF(L428 = "", IF(J428 = "", I428, IF(M428 &lt;&gt; 0, O428 / M428, P428 / N428)) * 1, IF(ISNA(CONVERT(O428, "kg", L428)), CONVERT(P428 * 1, "l", L428), CONVERT(O428 * 1, "kg", L428)))</f>
        <v>15</v>
      </c>
      <c r="R428" s="43">
        <f t="shared" si="338"/>
        <v>0.97499999999999998</v>
      </c>
      <c r="S428" s="43">
        <f t="shared" si="339"/>
        <v>0</v>
      </c>
      <c r="T428" s="43">
        <f t="shared" si="340"/>
        <v>0</v>
      </c>
      <c r="U428" s="86" t="s">
        <v>462</v>
      </c>
      <c r="W428" s="44"/>
      <c r="Z428" s="45"/>
    </row>
    <row r="429" spans="1:26" s="86" customFormat="1" x14ac:dyDescent="0.25">
      <c r="A429" s="115" t="s">
        <v>21</v>
      </c>
      <c r="B429" s="48">
        <f>Q429</f>
        <v>0.5</v>
      </c>
      <c r="C429" s="35" t="str">
        <f>IF(L429="","",L429)</f>
        <v/>
      </c>
      <c r="D429" s="115" t="str">
        <f t="shared" ref="D429" si="343">_xlfn.CONCAT(K429, U429)</f>
        <v>apples</v>
      </c>
      <c r="G429" s="86">
        <f>totRice</f>
        <v>78</v>
      </c>
      <c r="I429" s="57">
        <v>0.5</v>
      </c>
      <c r="J429" s="51"/>
      <c r="K429" s="51" t="s">
        <v>356</v>
      </c>
      <c r="L429" s="52"/>
      <c r="M429" s="43">
        <f t="shared" ref="M429" si="344">INDEX(itemGPerQty, MATCH(K429, itemNames, 0))</f>
        <v>0</v>
      </c>
      <c r="N429" s="43">
        <f t="shared" ref="N429" si="345">INDEX(itemMlPerQty, MATCH(K429, itemNames, 0))</f>
        <v>0</v>
      </c>
      <c r="O429" s="43">
        <f t="shared" ref="O429" si="346">IF(J429 = "", I429 * M429, IF(ISNA(CONVERT(I429, J429, "kg")), CONVERT(I429, J429, "l") * IF(N429 &lt;&gt; 0, M429 / N429, 0), CONVERT(I429, J429, "kg")))</f>
        <v>0</v>
      </c>
      <c r="P429" s="43">
        <f t="shared" ref="P429" si="347">IF(J429 = "", I429 * N429, IF(ISNA(CONVERT(I429, J429, "l")), CONVERT(I429, J429, "kg") * IF(M429 &lt;&gt; 0, N429 / M429, 0), CONVERT(I429, J429, "l")))</f>
        <v>0</v>
      </c>
      <c r="Q429" s="43">
        <f>IF(L429 = "", IF(J429 = "", I429, IF(M429 &lt;&gt; 0, O429 / M429, P429 / N429)) * 1, IF(ISNA(CONVERT(O429, "kg", L429)), CONVERT(P429 * 1, "l", L429), CONVERT(O429 * 1, "kg", L429)))</f>
        <v>0.5</v>
      </c>
      <c r="R429" s="43">
        <f t="shared" ref="R429" si="348">G429 * IF(L429 = "", Q429 * M429, IF(ISNA(CONVERT(Q429, L429, "kg")), CONVERT(Q429, L429, "l") * IF(N429 &lt;&gt; 0, M429 / N429, 0), CONVERT(Q429, L429, "kg")))</f>
        <v>0</v>
      </c>
      <c r="S429" s="43">
        <f t="shared" ref="S429" si="349">G429 * IF(R429 = 0, IF(L429 = "", Q429 * N429, IF(ISNA(CONVERT(Q429, L429, "l")), CONVERT(Q429, L429, "kg") * IF(M429 &lt;&gt; 0, N429 / M429, 0), CONVERT(Q429, L429, "l"))), 0)</f>
        <v>0</v>
      </c>
      <c r="T429" s="43">
        <f t="shared" ref="T429" si="350">G429 * IF(AND(R429 = 0, S429 = 0, J429 = "", L429 = ""), Q429, 0)</f>
        <v>39</v>
      </c>
      <c r="W429" s="44"/>
      <c r="Z429" s="45"/>
    </row>
    <row r="430" spans="1:26" s="86" customFormat="1" x14ac:dyDescent="0.25">
      <c r="A430" s="109" t="s">
        <v>21</v>
      </c>
      <c r="B430" s="48">
        <f>Q430</f>
        <v>0.5</v>
      </c>
      <c r="C430" s="35" t="str">
        <f>IF(L430="","",L430)</f>
        <v>cup</v>
      </c>
      <c r="D430" s="109" t="str">
        <f t="shared" si="333"/>
        <v>brown rice</v>
      </c>
      <c r="G430" s="86">
        <f>totRice</f>
        <v>78</v>
      </c>
      <c r="I430" s="57">
        <v>0.5</v>
      </c>
      <c r="J430" s="51" t="s">
        <v>16</v>
      </c>
      <c r="K430" s="51" t="s">
        <v>454</v>
      </c>
      <c r="L430" s="52" t="s">
        <v>16</v>
      </c>
      <c r="M430" s="43">
        <f t="shared" si="334"/>
        <v>0</v>
      </c>
      <c r="N430" s="43">
        <f t="shared" si="335"/>
        <v>0</v>
      </c>
      <c r="O430" s="43">
        <f t="shared" si="336"/>
        <v>0</v>
      </c>
      <c r="P430" s="43">
        <f t="shared" si="337"/>
        <v>0.11829411825</v>
      </c>
      <c r="Q430" s="43">
        <f>IF(L430 = "", IF(J430 = "", I430, IF(M430 &lt;&gt; 0, O430 / M430, P430 / N430)) * 1, IF(ISNA(CONVERT(O430, "kg", L430)), CONVERT(P430 * 1, "l", L430), CONVERT(O430 * 1, "kg", L430)))</f>
        <v>0.5</v>
      </c>
      <c r="R430" s="43">
        <f t="shared" si="338"/>
        <v>0</v>
      </c>
      <c r="S430" s="43">
        <f t="shared" si="339"/>
        <v>9.226941223499999</v>
      </c>
      <c r="T430" s="43">
        <f t="shared" si="340"/>
        <v>0</v>
      </c>
      <c r="W430" s="44"/>
      <c r="Z430" s="45"/>
    </row>
    <row r="431" spans="1:26" ht="15.75" x14ac:dyDescent="0.25">
      <c r="A431" s="117" t="s">
        <v>122</v>
      </c>
      <c r="B431" s="117"/>
      <c r="C431" s="117"/>
      <c r="D431" s="117"/>
      <c r="M431" s="40"/>
      <c r="N431" s="40"/>
      <c r="O431" s="40"/>
      <c r="P431" s="40"/>
      <c r="Q431" s="40"/>
      <c r="R431" s="40"/>
      <c r="S431" s="40"/>
      <c r="T431" s="40"/>
      <c r="W431" s="40"/>
      <c r="Z431" s="40"/>
    </row>
    <row r="433" spans="3:26" x14ac:dyDescent="0.25">
      <c r="C433" s="89" t="s">
        <v>342</v>
      </c>
      <c r="D433" s="36" t="s">
        <v>341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89" t="s">
        <v>344</v>
      </c>
      <c r="D434" s="36" t="s">
        <v>343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89" t="s">
        <v>345</v>
      </c>
      <c r="D435" s="36" t="s">
        <v>346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  <row r="436" spans="3:26" x14ac:dyDescent="0.25">
      <c r="C436" s="89" t="s">
        <v>348</v>
      </c>
      <c r="D436" s="36" t="s">
        <v>347</v>
      </c>
      <c r="M436" s="40"/>
      <c r="N436" s="40"/>
      <c r="O436" s="40"/>
      <c r="P436" s="40"/>
      <c r="Q436" s="40"/>
      <c r="R436" s="40"/>
      <c r="S436" s="40"/>
      <c r="T436" s="40"/>
      <c r="W436" s="40"/>
      <c r="Z436" s="40"/>
    </row>
  </sheetData>
  <mergeCells count="221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</mergeCells>
  <conditionalFormatting sqref="M32:T32 M56:T58 M79:T81 M201:T203 M234:T236 M261:T263 M288:T292 M48:P48 M54:T54 M14:T14 M29:P29 M322:T326 M143:T145 M357:T359 M16:T18 Q15:T15 M34:T36 M106:T108 M390:T394 M431:T1048576 M167:T170 M19:P23 R19:T23 R29:T29 M40:T41 M37:P39 R37:T39 M42:P45 R42:T45 R48:T48 M53:P53 R53:T53 M61:T62 M59:P60 R59:T60 M65:T66 M63:P64 R63:T64 M72:T77 M67:P71 R67:T71 M83:T84 M82:P82 R82:T82 M88:T89 M85:P87 R85:T87 M96:T99 M90:P95 R90:T95 M101:T104 M100:P100 R100:T100 M110:T112 M109:P109 R109:T109 M115:T116 M113:P114 R113:T114 M119:T120 M117:P118 R117:T118 M124:T130 M121:P123 R121:T123 M132:T133 M131:P131 R131:T131 M136:T141 M134:P135 R134:T135 M149:T150 M146:P148 R146:T148 M156:T157 M151:P155 R151:T155 M159:T165 M158:P158 R158:T158 M173:T174 M171:P172 R171:T172 M180:T181 M175:P179 R175:T179 M187:T188 M182:P186 R182:T186 M192:T195 M189:P191 R189:T191 M197:T199 M196:P196 R196:T196 M205:T206 M204:P204 R204:T204 M209:T215 M207:P208 R207:T208 M219:T220 M216:P218 R216:T218 M223:T232 M221:P222 R221:T222 M239:T240 M237:P238 R237:T238 M243:T244 M241:P242 R241:T242 M246:T247 M245:P245 R245:T245 M251:T252 M248:P250 R248:T250 M257:T259 M253:P256 R253:T256 M268:T269 M264:P267 R264:T267 M271:T274 M270:P270 R270:T270 M276:T277 M275:P275 R275:T275 M279:T280 M278:P278 R278:T278 M282:T286 M281:P281 R281:T281 M295:T296 M293:P294 R293:T294 M300:T301 M297:P299 R297:T299 M303:T310 M302:P302 R302:T302 M316:T320 M311:P315 R311:T315 M328:T329 M327:P327 R327:T327 M338:T339 M330:P337 R330:T337 M344:T347 M340:P343 R340:T343 M350:T355 M348:P349 R348:T349 M365:T366 M360:P364 R360:T364 M369:T370 M367:P368 R367:T368 M373:T374 M371:P372 R371:T372 M379:T380 M375:P378 R375:T378 M383:T388 M381:P382 R381:T382 M396:T397 M395:P395 R395:T395 M403:T404 M398:P402 R398:T402 M409:T410 M405:P408 R405:T408 M412:T419 M411:P411 R411:T411 M420:P420 R420:T420 M424:P428 R424:T428 M430:P430 R430:T430">
    <cfRule type="cellIs" dxfId="353" priority="651" operator="equal">
      <formula>0</formula>
    </cfRule>
    <cfRule type="cellIs" dxfId="352" priority="652" operator="equal">
      <formula>0</formula>
    </cfRule>
  </conditionalFormatting>
  <conditionalFormatting sqref="Q33:T33">
    <cfRule type="cellIs" dxfId="596" priority="465" operator="equal">
      <formula>0</formula>
    </cfRule>
    <cfRule type="cellIs" dxfId="595" priority="466" operator="equal">
      <formula>0</formula>
    </cfRule>
  </conditionalFormatting>
  <conditionalFormatting sqref="Q55:T55">
    <cfRule type="cellIs" dxfId="594" priority="463" operator="equal">
      <formula>0</formula>
    </cfRule>
    <cfRule type="cellIs" dxfId="593" priority="464" operator="equal">
      <formula>0</formula>
    </cfRule>
  </conditionalFormatting>
  <conditionalFormatting sqref="Q78:T78">
    <cfRule type="cellIs" dxfId="592" priority="461" operator="equal">
      <formula>0</formula>
    </cfRule>
    <cfRule type="cellIs" dxfId="591" priority="462" operator="equal">
      <formula>0</formula>
    </cfRule>
  </conditionalFormatting>
  <conditionalFormatting sqref="Q105:T105">
    <cfRule type="cellIs" dxfId="590" priority="459" operator="equal">
      <formula>0</formula>
    </cfRule>
    <cfRule type="cellIs" dxfId="589" priority="460" operator="equal">
      <formula>0</formula>
    </cfRule>
  </conditionalFormatting>
  <conditionalFormatting sqref="Q142:T142">
    <cfRule type="cellIs" dxfId="588" priority="457" operator="equal">
      <formula>0</formula>
    </cfRule>
    <cfRule type="cellIs" dxfId="587" priority="458" operator="equal">
      <formula>0</formula>
    </cfRule>
  </conditionalFormatting>
  <conditionalFormatting sqref="Q233:T233">
    <cfRule type="cellIs" dxfId="586" priority="451" operator="equal">
      <formula>0</formula>
    </cfRule>
    <cfRule type="cellIs" dxfId="585" priority="452" operator="equal">
      <formula>0</formula>
    </cfRule>
  </conditionalFormatting>
  <conditionalFormatting sqref="Q200:T200">
    <cfRule type="cellIs" dxfId="584" priority="453" operator="equal">
      <formula>0</formula>
    </cfRule>
    <cfRule type="cellIs" dxfId="583" priority="454" operator="equal">
      <formula>0</formula>
    </cfRule>
  </conditionalFormatting>
  <conditionalFormatting sqref="Q260:T260">
    <cfRule type="cellIs" dxfId="582" priority="449" operator="equal">
      <formula>0</formula>
    </cfRule>
    <cfRule type="cellIs" dxfId="581" priority="450" operator="equal">
      <formula>0</formula>
    </cfRule>
  </conditionalFormatting>
  <conditionalFormatting sqref="Q287:T287">
    <cfRule type="cellIs" dxfId="580" priority="447" operator="equal">
      <formula>0</formula>
    </cfRule>
    <cfRule type="cellIs" dxfId="579" priority="448" operator="equal">
      <formula>0</formula>
    </cfRule>
  </conditionalFormatting>
  <conditionalFormatting sqref="Q321:T321">
    <cfRule type="cellIs" dxfId="578" priority="445" operator="equal">
      <formula>0</formula>
    </cfRule>
    <cfRule type="cellIs" dxfId="577" priority="446" operator="equal">
      <formula>0</formula>
    </cfRule>
  </conditionalFormatting>
  <conditionalFormatting sqref="Q389:T389">
    <cfRule type="cellIs" dxfId="576" priority="441" operator="equal">
      <formula>0</formula>
    </cfRule>
    <cfRule type="cellIs" dxfId="575" priority="442" operator="equal">
      <formula>0</formula>
    </cfRule>
  </conditionalFormatting>
  <conditionalFormatting sqref="M46:T47">
    <cfRule type="cellIs" dxfId="574" priority="439" operator="equal">
      <formula>0</formula>
    </cfRule>
    <cfRule type="cellIs" dxfId="573" priority="440" operator="equal">
      <formula>0</formula>
    </cfRule>
  </conditionalFormatting>
  <conditionalFormatting sqref="M49:T50">
    <cfRule type="cellIs" dxfId="572" priority="437" operator="equal">
      <formula>0</formula>
    </cfRule>
    <cfRule type="cellIs" dxfId="571" priority="438" operator="equal">
      <formula>0</formula>
    </cfRule>
  </conditionalFormatting>
  <conditionalFormatting sqref="M52:P52 R52:T52">
    <cfRule type="cellIs" dxfId="570" priority="435" operator="equal">
      <formula>0</formula>
    </cfRule>
    <cfRule type="cellIs" dxfId="569" priority="436" operator="equal">
      <formula>0</formula>
    </cfRule>
  </conditionalFormatting>
  <conditionalFormatting sqref="M51:P51 R51:T51">
    <cfRule type="cellIs" dxfId="568" priority="433" operator="equal">
      <formula>0</formula>
    </cfRule>
    <cfRule type="cellIs" dxfId="567" priority="434" operator="equal">
      <formula>0</formula>
    </cfRule>
  </conditionalFormatting>
  <conditionalFormatting sqref="Q356:T356">
    <cfRule type="cellIs" dxfId="566" priority="431" operator="equal">
      <formula>0</formula>
    </cfRule>
    <cfRule type="cellIs" dxfId="565" priority="432" operator="equal">
      <formula>0</formula>
    </cfRule>
  </conditionalFormatting>
  <conditionalFormatting sqref="Q166:T166">
    <cfRule type="cellIs" dxfId="564" priority="429" operator="equal">
      <formula>0</formula>
    </cfRule>
    <cfRule type="cellIs" dxfId="563" priority="430" operator="equal">
      <formula>0</formula>
    </cfRule>
  </conditionalFormatting>
  <conditionalFormatting sqref="M2:T2">
    <cfRule type="cellIs" dxfId="562" priority="427" operator="equal">
      <formula>0</formula>
    </cfRule>
    <cfRule type="cellIs" dxfId="561" priority="428" operator="equal">
      <formula>0</formula>
    </cfRule>
  </conditionalFormatting>
  <conditionalFormatting sqref="M6:P6 R6:T6">
    <cfRule type="cellIs" dxfId="560" priority="425" operator="equal">
      <formula>0</formula>
    </cfRule>
    <cfRule type="cellIs" dxfId="559" priority="426" operator="equal">
      <formula>0</formula>
    </cfRule>
  </conditionalFormatting>
  <conditionalFormatting sqref="M7:P7 R7:T7">
    <cfRule type="cellIs" dxfId="558" priority="423" operator="equal">
      <formula>0</formula>
    </cfRule>
    <cfRule type="cellIs" dxfId="557" priority="424" operator="equal">
      <formula>0</formula>
    </cfRule>
  </conditionalFormatting>
  <conditionalFormatting sqref="M8:P8 R8:T8">
    <cfRule type="cellIs" dxfId="556" priority="421" operator="equal">
      <formula>0</formula>
    </cfRule>
    <cfRule type="cellIs" dxfId="555" priority="422" operator="equal">
      <formula>0</formula>
    </cfRule>
  </conditionalFormatting>
  <conditionalFormatting sqref="M9:P9 R9:T9">
    <cfRule type="cellIs" dxfId="554" priority="419" operator="equal">
      <formula>0</formula>
    </cfRule>
    <cfRule type="cellIs" dxfId="553" priority="420" operator="equal">
      <formula>0</formula>
    </cfRule>
  </conditionalFormatting>
  <conditionalFormatting sqref="M10:P10 R10:T10">
    <cfRule type="cellIs" dxfId="552" priority="417" operator="equal">
      <formula>0</formula>
    </cfRule>
    <cfRule type="cellIs" dxfId="551" priority="418" operator="equal">
      <formula>0</formula>
    </cfRule>
  </conditionalFormatting>
  <conditionalFormatting sqref="M389:P389">
    <cfRule type="cellIs" dxfId="550" priority="383" operator="equal">
      <formula>0</formula>
    </cfRule>
    <cfRule type="cellIs" dxfId="549" priority="384" operator="equal">
      <formula>0</formula>
    </cfRule>
  </conditionalFormatting>
  <conditionalFormatting sqref="M356:P356">
    <cfRule type="cellIs" dxfId="548" priority="385" operator="equal">
      <formula>0</formula>
    </cfRule>
    <cfRule type="cellIs" dxfId="547" priority="386" operator="equal">
      <formula>0</formula>
    </cfRule>
  </conditionalFormatting>
  <conditionalFormatting sqref="M15:P15">
    <cfRule type="cellIs" dxfId="546" priority="409" operator="equal">
      <formula>0</formula>
    </cfRule>
    <cfRule type="cellIs" dxfId="545" priority="410" operator="equal">
      <formula>0</formula>
    </cfRule>
  </conditionalFormatting>
  <conditionalFormatting sqref="M33:P33">
    <cfRule type="cellIs" dxfId="544" priority="407" operator="equal">
      <formula>0</formula>
    </cfRule>
    <cfRule type="cellIs" dxfId="543" priority="408" operator="equal">
      <formula>0</formula>
    </cfRule>
  </conditionalFormatting>
  <conditionalFormatting sqref="M55:P55">
    <cfRule type="cellIs" dxfId="542" priority="405" operator="equal">
      <formula>0</formula>
    </cfRule>
    <cfRule type="cellIs" dxfId="541" priority="406" operator="equal">
      <formula>0</formula>
    </cfRule>
  </conditionalFormatting>
  <conditionalFormatting sqref="M78:P78">
    <cfRule type="cellIs" dxfId="540" priority="403" operator="equal">
      <formula>0</formula>
    </cfRule>
    <cfRule type="cellIs" dxfId="539" priority="404" operator="equal">
      <formula>0</formula>
    </cfRule>
  </conditionalFormatting>
  <conditionalFormatting sqref="M105:P105">
    <cfRule type="cellIs" dxfId="538" priority="401" operator="equal">
      <formula>0</formula>
    </cfRule>
    <cfRule type="cellIs" dxfId="537" priority="402" operator="equal">
      <formula>0</formula>
    </cfRule>
  </conditionalFormatting>
  <conditionalFormatting sqref="M142:P142">
    <cfRule type="cellIs" dxfId="536" priority="399" operator="equal">
      <formula>0</formula>
    </cfRule>
    <cfRule type="cellIs" dxfId="535" priority="400" operator="equal">
      <formula>0</formula>
    </cfRule>
  </conditionalFormatting>
  <conditionalFormatting sqref="M166:P166">
    <cfRule type="cellIs" dxfId="534" priority="397" operator="equal">
      <formula>0</formula>
    </cfRule>
    <cfRule type="cellIs" dxfId="533" priority="398" operator="equal">
      <formula>0</formula>
    </cfRule>
  </conditionalFormatting>
  <conditionalFormatting sqref="M200:P200">
    <cfRule type="cellIs" dxfId="532" priority="395" operator="equal">
      <formula>0</formula>
    </cfRule>
    <cfRule type="cellIs" dxfId="531" priority="396" operator="equal">
      <formula>0</formula>
    </cfRule>
  </conditionalFormatting>
  <conditionalFormatting sqref="M233:P233">
    <cfRule type="cellIs" dxfId="530" priority="393" operator="equal">
      <formula>0</formula>
    </cfRule>
    <cfRule type="cellIs" dxfId="529" priority="394" operator="equal">
      <formula>0</formula>
    </cfRule>
  </conditionalFormatting>
  <conditionalFormatting sqref="M260:P260">
    <cfRule type="cellIs" dxfId="528" priority="391" operator="equal">
      <formula>0</formula>
    </cfRule>
    <cfRule type="cellIs" dxfId="527" priority="392" operator="equal">
      <formula>0</formula>
    </cfRule>
  </conditionalFormatting>
  <conditionalFormatting sqref="M287:P287">
    <cfRule type="cellIs" dxfId="526" priority="389" operator="equal">
      <formula>0</formula>
    </cfRule>
    <cfRule type="cellIs" dxfId="525" priority="390" operator="equal">
      <formula>0</formula>
    </cfRule>
  </conditionalFormatting>
  <conditionalFormatting sqref="M321:P321">
    <cfRule type="cellIs" dxfId="524" priority="387" operator="equal">
      <formula>0</formula>
    </cfRule>
    <cfRule type="cellIs" dxfId="523" priority="388" operator="equal">
      <formula>0</formula>
    </cfRule>
  </conditionalFormatting>
  <conditionalFormatting sqref="M422:P422">
    <cfRule type="cellIs" dxfId="522" priority="371" operator="equal">
      <formula>0</formula>
    </cfRule>
    <cfRule type="cellIs" dxfId="521" priority="372" operator="equal">
      <formula>0</formula>
    </cfRule>
  </conditionalFormatting>
  <conditionalFormatting sqref="M421:P424">
    <cfRule type="cellIs" dxfId="520" priority="375" operator="equal">
      <formula>0</formula>
    </cfRule>
    <cfRule type="cellIs" dxfId="519" priority="376" operator="equal">
      <formula>0</formula>
    </cfRule>
  </conditionalFormatting>
  <conditionalFormatting sqref="R421:T424">
    <cfRule type="cellIs" dxfId="518" priority="369" operator="equal">
      <formula>0</formula>
    </cfRule>
    <cfRule type="cellIs" dxfId="517" priority="370" operator="equal">
      <formula>0</formula>
    </cfRule>
  </conditionalFormatting>
  <conditionalFormatting sqref="R422:T422">
    <cfRule type="cellIs" dxfId="516" priority="365" operator="equal">
      <formula>0</formula>
    </cfRule>
    <cfRule type="cellIs" dxfId="515" priority="366" operator="equal">
      <formula>0</formula>
    </cfRule>
  </conditionalFormatting>
  <conditionalFormatting sqref="M423:P424 R423:T424">
    <cfRule type="cellIs" dxfId="510" priority="357" operator="equal">
      <formula>0</formula>
    </cfRule>
    <cfRule type="cellIs" dxfId="509" priority="358" operator="equal">
      <formula>0</formula>
    </cfRule>
  </conditionalFormatting>
  <conditionalFormatting sqref="M427:P427 R427:T427">
    <cfRule type="cellIs" dxfId="508" priority="355" operator="equal">
      <formula>0</formula>
    </cfRule>
    <cfRule type="cellIs" dxfId="507" priority="356" operator="equal">
      <formula>0</formula>
    </cfRule>
  </conditionalFormatting>
  <conditionalFormatting sqref="M429:P429 R429:T429">
    <cfRule type="cellIs" dxfId="506" priority="353" operator="equal">
      <formula>0</formula>
    </cfRule>
    <cfRule type="cellIs" dxfId="505" priority="354" operator="equal">
      <formula>0</formula>
    </cfRule>
  </conditionalFormatting>
  <conditionalFormatting sqref="Q6">
    <cfRule type="cellIs" dxfId="351" priority="351" operator="equal">
      <formula>0</formula>
    </cfRule>
    <cfRule type="cellIs" dxfId="350" priority="352" operator="equal">
      <formula>0</formula>
    </cfRule>
  </conditionalFormatting>
  <conditionalFormatting sqref="Q7">
    <cfRule type="cellIs" dxfId="349" priority="349" operator="equal">
      <formula>0</formula>
    </cfRule>
    <cfRule type="cellIs" dxfId="348" priority="350" operator="equal">
      <formula>0</formula>
    </cfRule>
  </conditionalFormatting>
  <conditionalFormatting sqref="Q8">
    <cfRule type="cellIs" dxfId="347" priority="347" operator="equal">
      <formula>0</formula>
    </cfRule>
    <cfRule type="cellIs" dxfId="346" priority="348" operator="equal">
      <formula>0</formula>
    </cfRule>
  </conditionalFormatting>
  <conditionalFormatting sqref="Q9">
    <cfRule type="cellIs" dxfId="345" priority="345" operator="equal">
      <formula>0</formula>
    </cfRule>
    <cfRule type="cellIs" dxfId="344" priority="346" operator="equal">
      <formula>0</formula>
    </cfRule>
  </conditionalFormatting>
  <conditionalFormatting sqref="Q10">
    <cfRule type="cellIs" dxfId="343" priority="343" operator="equal">
      <formula>0</formula>
    </cfRule>
    <cfRule type="cellIs" dxfId="342" priority="344" operator="equal">
      <formula>0</formula>
    </cfRule>
  </conditionalFormatting>
  <conditionalFormatting sqref="Q19">
    <cfRule type="cellIs" dxfId="341" priority="341" operator="equal">
      <formula>0</formula>
    </cfRule>
    <cfRule type="cellIs" dxfId="340" priority="342" operator="equal">
      <formula>0</formula>
    </cfRule>
  </conditionalFormatting>
  <conditionalFormatting sqref="Q20">
    <cfRule type="cellIs" dxfId="339" priority="339" operator="equal">
      <formula>0</formula>
    </cfRule>
    <cfRule type="cellIs" dxfId="338" priority="340" operator="equal">
      <formula>0</formula>
    </cfRule>
  </conditionalFormatting>
  <conditionalFormatting sqref="Q21">
    <cfRule type="cellIs" dxfId="337" priority="337" operator="equal">
      <formula>0</formula>
    </cfRule>
    <cfRule type="cellIs" dxfId="336" priority="338" operator="equal">
      <formula>0</formula>
    </cfRule>
  </conditionalFormatting>
  <conditionalFormatting sqref="Q22">
    <cfRule type="cellIs" dxfId="335" priority="335" operator="equal">
      <formula>0</formula>
    </cfRule>
    <cfRule type="cellIs" dxfId="334" priority="336" operator="equal">
      <formula>0</formula>
    </cfRule>
  </conditionalFormatting>
  <conditionalFormatting sqref="Q23">
    <cfRule type="cellIs" dxfId="333" priority="333" operator="equal">
      <formula>0</formula>
    </cfRule>
    <cfRule type="cellIs" dxfId="332" priority="334" operator="equal">
      <formula>0</formula>
    </cfRule>
  </conditionalFormatting>
  <conditionalFormatting sqref="Q29">
    <cfRule type="cellIs" dxfId="329" priority="329" operator="equal">
      <formula>0</formula>
    </cfRule>
    <cfRule type="cellIs" dxfId="328" priority="330" operator="equal">
      <formula>0</formula>
    </cfRule>
  </conditionalFormatting>
  <conditionalFormatting sqref="Q37">
    <cfRule type="cellIs" dxfId="327" priority="327" operator="equal">
      <formula>0</formula>
    </cfRule>
    <cfRule type="cellIs" dxfId="326" priority="328" operator="equal">
      <formula>0</formula>
    </cfRule>
  </conditionalFormatting>
  <conditionalFormatting sqref="Q38">
    <cfRule type="cellIs" dxfId="325" priority="325" operator="equal">
      <formula>0</formula>
    </cfRule>
    <cfRule type="cellIs" dxfId="324" priority="326" operator="equal">
      <formula>0</formula>
    </cfRule>
  </conditionalFormatting>
  <conditionalFormatting sqref="Q39">
    <cfRule type="cellIs" dxfId="323" priority="323" operator="equal">
      <formula>0</formula>
    </cfRule>
    <cfRule type="cellIs" dxfId="322" priority="324" operator="equal">
      <formula>0</formula>
    </cfRule>
  </conditionalFormatting>
  <conditionalFormatting sqref="Q42">
    <cfRule type="cellIs" dxfId="321" priority="321" operator="equal">
      <formula>0</formula>
    </cfRule>
    <cfRule type="cellIs" dxfId="320" priority="322" operator="equal">
      <formula>0</formula>
    </cfRule>
  </conditionalFormatting>
  <conditionalFormatting sqref="Q44">
    <cfRule type="cellIs" dxfId="317" priority="317" operator="equal">
      <formula>0</formula>
    </cfRule>
    <cfRule type="cellIs" dxfId="316" priority="318" operator="equal">
      <formula>0</formula>
    </cfRule>
  </conditionalFormatting>
  <conditionalFormatting sqref="Q45">
    <cfRule type="cellIs" dxfId="315" priority="315" operator="equal">
      <formula>0</formula>
    </cfRule>
    <cfRule type="cellIs" dxfId="314" priority="316" operator="equal">
      <formula>0</formula>
    </cfRule>
  </conditionalFormatting>
  <conditionalFormatting sqref="Q43">
    <cfRule type="cellIs" dxfId="313" priority="313" operator="equal">
      <formula>0</formula>
    </cfRule>
    <cfRule type="cellIs" dxfId="312" priority="314" operator="equal">
      <formula>0</formula>
    </cfRule>
  </conditionalFormatting>
  <conditionalFormatting sqref="Q48">
    <cfRule type="cellIs" dxfId="311" priority="311" operator="equal">
      <formula>0</formula>
    </cfRule>
    <cfRule type="cellIs" dxfId="310" priority="312" operator="equal">
      <formula>0</formula>
    </cfRule>
  </conditionalFormatting>
  <conditionalFormatting sqref="Q51">
    <cfRule type="cellIs" dxfId="309" priority="309" operator="equal">
      <formula>0</formula>
    </cfRule>
    <cfRule type="cellIs" dxfId="308" priority="310" operator="equal">
      <formula>0</formula>
    </cfRule>
  </conditionalFormatting>
  <conditionalFormatting sqref="Q52">
    <cfRule type="cellIs" dxfId="307" priority="307" operator="equal">
      <formula>0</formula>
    </cfRule>
    <cfRule type="cellIs" dxfId="306" priority="308" operator="equal">
      <formula>0</formula>
    </cfRule>
  </conditionalFormatting>
  <conditionalFormatting sqref="Q53">
    <cfRule type="cellIs" dxfId="305" priority="305" operator="equal">
      <formula>0</formula>
    </cfRule>
    <cfRule type="cellIs" dxfId="304" priority="306" operator="equal">
      <formula>0</formula>
    </cfRule>
  </conditionalFormatting>
  <conditionalFormatting sqref="Q59">
    <cfRule type="cellIs" dxfId="303" priority="303" operator="equal">
      <formula>0</formula>
    </cfRule>
    <cfRule type="cellIs" dxfId="302" priority="304" operator="equal">
      <formula>0</formula>
    </cfRule>
  </conditionalFormatting>
  <conditionalFormatting sqref="Q60">
    <cfRule type="cellIs" dxfId="301" priority="301" operator="equal">
      <formula>0</formula>
    </cfRule>
    <cfRule type="cellIs" dxfId="300" priority="302" operator="equal">
      <formula>0</formula>
    </cfRule>
  </conditionalFormatting>
  <conditionalFormatting sqref="Q63">
    <cfRule type="cellIs" dxfId="299" priority="299" operator="equal">
      <formula>0</formula>
    </cfRule>
    <cfRule type="cellIs" dxfId="298" priority="300" operator="equal">
      <formula>0</formula>
    </cfRule>
  </conditionalFormatting>
  <conditionalFormatting sqref="Q64">
    <cfRule type="cellIs" dxfId="297" priority="297" operator="equal">
      <formula>0</formula>
    </cfRule>
    <cfRule type="cellIs" dxfId="296" priority="298" operator="equal">
      <formula>0</formula>
    </cfRule>
  </conditionalFormatting>
  <conditionalFormatting sqref="Q67">
    <cfRule type="cellIs" dxfId="295" priority="295" operator="equal">
      <formula>0</formula>
    </cfRule>
    <cfRule type="cellIs" dxfId="294" priority="296" operator="equal">
      <formula>0</formula>
    </cfRule>
  </conditionalFormatting>
  <conditionalFormatting sqref="Q68">
    <cfRule type="cellIs" dxfId="293" priority="293" operator="equal">
      <formula>0</formula>
    </cfRule>
    <cfRule type="cellIs" dxfId="292" priority="294" operator="equal">
      <formula>0</formula>
    </cfRule>
  </conditionalFormatting>
  <conditionalFormatting sqref="Q69">
    <cfRule type="cellIs" dxfId="291" priority="291" operator="equal">
      <formula>0</formula>
    </cfRule>
    <cfRule type="cellIs" dxfId="290" priority="292" operator="equal">
      <formula>0</formula>
    </cfRule>
  </conditionalFormatting>
  <conditionalFormatting sqref="Q70">
    <cfRule type="cellIs" dxfId="289" priority="289" operator="equal">
      <formula>0</formula>
    </cfRule>
    <cfRule type="cellIs" dxfId="288" priority="290" operator="equal">
      <formula>0</formula>
    </cfRule>
  </conditionalFormatting>
  <conditionalFormatting sqref="Q71">
    <cfRule type="cellIs" dxfId="287" priority="287" operator="equal">
      <formula>0</formula>
    </cfRule>
    <cfRule type="cellIs" dxfId="286" priority="288" operator="equal">
      <formula>0</formula>
    </cfRule>
  </conditionalFormatting>
  <conditionalFormatting sqref="Q82">
    <cfRule type="cellIs" dxfId="285" priority="285" operator="equal">
      <formula>0</formula>
    </cfRule>
    <cfRule type="cellIs" dxfId="284" priority="286" operator="equal">
      <formula>0</formula>
    </cfRule>
  </conditionalFormatting>
  <conditionalFormatting sqref="Q85">
    <cfRule type="cellIs" dxfId="283" priority="283" operator="equal">
      <formula>0</formula>
    </cfRule>
    <cfRule type="cellIs" dxfId="282" priority="284" operator="equal">
      <formula>0</formula>
    </cfRule>
  </conditionalFormatting>
  <conditionalFormatting sqref="Q86">
    <cfRule type="cellIs" dxfId="281" priority="281" operator="equal">
      <formula>0</formula>
    </cfRule>
    <cfRule type="cellIs" dxfId="280" priority="282" operator="equal">
      <formula>0</formula>
    </cfRule>
  </conditionalFormatting>
  <conditionalFormatting sqref="Q87">
    <cfRule type="cellIs" dxfId="279" priority="279" operator="equal">
      <formula>0</formula>
    </cfRule>
    <cfRule type="cellIs" dxfId="278" priority="280" operator="equal">
      <formula>0</formula>
    </cfRule>
  </conditionalFormatting>
  <conditionalFormatting sqref="Q90">
    <cfRule type="cellIs" dxfId="277" priority="277" operator="equal">
      <formula>0</formula>
    </cfRule>
    <cfRule type="cellIs" dxfId="276" priority="278" operator="equal">
      <formula>0</formula>
    </cfRule>
  </conditionalFormatting>
  <conditionalFormatting sqref="Q91">
    <cfRule type="cellIs" dxfId="275" priority="275" operator="equal">
      <formula>0</formula>
    </cfRule>
    <cfRule type="cellIs" dxfId="274" priority="276" operator="equal">
      <formula>0</formula>
    </cfRule>
  </conditionalFormatting>
  <conditionalFormatting sqref="Q92">
    <cfRule type="cellIs" dxfId="273" priority="273" operator="equal">
      <formula>0</formula>
    </cfRule>
    <cfRule type="cellIs" dxfId="272" priority="274" operator="equal">
      <formula>0</formula>
    </cfRule>
  </conditionalFormatting>
  <conditionalFormatting sqref="Q93">
    <cfRule type="cellIs" dxfId="271" priority="271" operator="equal">
      <formula>0</formula>
    </cfRule>
    <cfRule type="cellIs" dxfId="270" priority="272" operator="equal">
      <formula>0</formula>
    </cfRule>
  </conditionalFormatting>
  <conditionalFormatting sqref="Q94">
    <cfRule type="cellIs" dxfId="269" priority="269" operator="equal">
      <formula>0</formula>
    </cfRule>
    <cfRule type="cellIs" dxfId="268" priority="270" operator="equal">
      <formula>0</formula>
    </cfRule>
  </conditionalFormatting>
  <conditionalFormatting sqref="Q95">
    <cfRule type="cellIs" dxfId="267" priority="267" operator="equal">
      <formula>0</formula>
    </cfRule>
    <cfRule type="cellIs" dxfId="266" priority="268" operator="equal">
      <formula>0</formula>
    </cfRule>
  </conditionalFormatting>
  <conditionalFormatting sqref="Q100">
    <cfRule type="cellIs" dxfId="265" priority="265" operator="equal">
      <formula>0</formula>
    </cfRule>
    <cfRule type="cellIs" dxfId="264" priority="266" operator="equal">
      <formula>0</formula>
    </cfRule>
  </conditionalFormatting>
  <conditionalFormatting sqref="Q109">
    <cfRule type="cellIs" dxfId="263" priority="263" operator="equal">
      <formula>0</formula>
    </cfRule>
    <cfRule type="cellIs" dxfId="262" priority="264" operator="equal">
      <formula>0</formula>
    </cfRule>
  </conditionalFormatting>
  <conditionalFormatting sqref="Q113">
    <cfRule type="cellIs" dxfId="261" priority="261" operator="equal">
      <formula>0</formula>
    </cfRule>
    <cfRule type="cellIs" dxfId="260" priority="262" operator="equal">
      <formula>0</formula>
    </cfRule>
  </conditionalFormatting>
  <conditionalFormatting sqref="Q114">
    <cfRule type="cellIs" dxfId="259" priority="259" operator="equal">
      <formula>0</formula>
    </cfRule>
    <cfRule type="cellIs" dxfId="258" priority="260" operator="equal">
      <formula>0</formula>
    </cfRule>
  </conditionalFormatting>
  <conditionalFormatting sqref="Q117">
    <cfRule type="cellIs" dxfId="257" priority="257" operator="equal">
      <formula>0</formula>
    </cfRule>
    <cfRule type="cellIs" dxfId="256" priority="258" operator="equal">
      <formula>0</formula>
    </cfRule>
  </conditionalFormatting>
  <conditionalFormatting sqref="Q118">
    <cfRule type="cellIs" dxfId="255" priority="255" operator="equal">
      <formula>0</formula>
    </cfRule>
    <cfRule type="cellIs" dxfId="254" priority="256" operator="equal">
      <formula>0</formula>
    </cfRule>
  </conditionalFormatting>
  <conditionalFormatting sqref="Q121">
    <cfRule type="cellIs" dxfId="253" priority="253" operator="equal">
      <formula>0</formula>
    </cfRule>
    <cfRule type="cellIs" dxfId="252" priority="254" operator="equal">
      <formula>0</formula>
    </cfRule>
  </conditionalFormatting>
  <conditionalFormatting sqref="Q122">
    <cfRule type="cellIs" dxfId="251" priority="251" operator="equal">
      <formula>0</formula>
    </cfRule>
    <cfRule type="cellIs" dxfId="250" priority="252" operator="equal">
      <formula>0</formula>
    </cfRule>
  </conditionalFormatting>
  <conditionalFormatting sqref="Q123">
    <cfRule type="cellIs" dxfId="249" priority="249" operator="equal">
      <formula>0</formula>
    </cfRule>
    <cfRule type="cellIs" dxfId="248" priority="250" operator="equal">
      <formula>0</formula>
    </cfRule>
  </conditionalFormatting>
  <conditionalFormatting sqref="Q131">
    <cfRule type="cellIs" dxfId="247" priority="247" operator="equal">
      <formula>0</formula>
    </cfRule>
    <cfRule type="cellIs" dxfId="246" priority="248" operator="equal">
      <formula>0</formula>
    </cfRule>
  </conditionalFormatting>
  <conditionalFormatting sqref="Q134">
    <cfRule type="cellIs" dxfId="245" priority="245" operator="equal">
      <formula>0</formula>
    </cfRule>
    <cfRule type="cellIs" dxfId="244" priority="246" operator="equal">
      <formula>0</formula>
    </cfRule>
  </conditionalFormatting>
  <conditionalFormatting sqref="Q135">
    <cfRule type="cellIs" dxfId="243" priority="243" operator="equal">
      <formula>0</formula>
    </cfRule>
    <cfRule type="cellIs" dxfId="242" priority="244" operator="equal">
      <formula>0</formula>
    </cfRule>
  </conditionalFormatting>
  <conditionalFormatting sqref="Q146">
    <cfRule type="cellIs" dxfId="241" priority="241" operator="equal">
      <formula>0</formula>
    </cfRule>
    <cfRule type="cellIs" dxfId="240" priority="242" operator="equal">
      <formula>0</formula>
    </cfRule>
  </conditionalFormatting>
  <conditionalFormatting sqref="Q147">
    <cfRule type="cellIs" dxfId="239" priority="239" operator="equal">
      <formula>0</formula>
    </cfRule>
    <cfRule type="cellIs" dxfId="238" priority="240" operator="equal">
      <formula>0</formula>
    </cfRule>
  </conditionalFormatting>
  <conditionalFormatting sqref="Q148">
    <cfRule type="cellIs" dxfId="237" priority="237" operator="equal">
      <formula>0</formula>
    </cfRule>
    <cfRule type="cellIs" dxfId="236" priority="238" operator="equal">
      <formula>0</formula>
    </cfRule>
  </conditionalFormatting>
  <conditionalFormatting sqref="Q151">
    <cfRule type="cellIs" dxfId="235" priority="235" operator="equal">
      <formula>0</formula>
    </cfRule>
    <cfRule type="cellIs" dxfId="234" priority="236" operator="equal">
      <formula>0</formula>
    </cfRule>
  </conditionalFormatting>
  <conditionalFormatting sqref="Q152">
    <cfRule type="cellIs" dxfId="233" priority="233" operator="equal">
      <formula>0</formula>
    </cfRule>
    <cfRule type="cellIs" dxfId="232" priority="234" operator="equal">
      <formula>0</formula>
    </cfRule>
  </conditionalFormatting>
  <conditionalFormatting sqref="Q153">
    <cfRule type="cellIs" dxfId="231" priority="231" operator="equal">
      <formula>0</formula>
    </cfRule>
    <cfRule type="cellIs" dxfId="230" priority="232" operator="equal">
      <formula>0</formula>
    </cfRule>
  </conditionalFormatting>
  <conditionalFormatting sqref="Q154">
    <cfRule type="cellIs" dxfId="229" priority="229" operator="equal">
      <formula>0</formula>
    </cfRule>
    <cfRule type="cellIs" dxfId="228" priority="230" operator="equal">
      <formula>0</formula>
    </cfRule>
  </conditionalFormatting>
  <conditionalFormatting sqref="Q155">
    <cfRule type="cellIs" dxfId="227" priority="227" operator="equal">
      <formula>0</formula>
    </cfRule>
    <cfRule type="cellIs" dxfId="226" priority="228" operator="equal">
      <formula>0</formula>
    </cfRule>
  </conditionalFormatting>
  <conditionalFormatting sqref="Q158">
    <cfRule type="cellIs" dxfId="225" priority="225" operator="equal">
      <formula>0</formula>
    </cfRule>
    <cfRule type="cellIs" dxfId="224" priority="226" operator="equal">
      <formula>0</formula>
    </cfRule>
  </conditionalFormatting>
  <conditionalFormatting sqref="Q171">
    <cfRule type="cellIs" dxfId="223" priority="223" operator="equal">
      <formula>0</formula>
    </cfRule>
    <cfRule type="cellIs" dxfId="222" priority="224" operator="equal">
      <formula>0</formula>
    </cfRule>
  </conditionalFormatting>
  <conditionalFormatting sqref="Q172">
    <cfRule type="cellIs" dxfId="221" priority="221" operator="equal">
      <formula>0</formula>
    </cfRule>
    <cfRule type="cellIs" dxfId="220" priority="222" operator="equal">
      <formula>0</formula>
    </cfRule>
  </conditionalFormatting>
  <conditionalFormatting sqref="Q175">
    <cfRule type="cellIs" dxfId="219" priority="219" operator="equal">
      <formula>0</formula>
    </cfRule>
    <cfRule type="cellIs" dxfId="218" priority="220" operator="equal">
      <formula>0</formula>
    </cfRule>
  </conditionalFormatting>
  <conditionalFormatting sqref="Q176">
    <cfRule type="cellIs" dxfId="217" priority="217" operator="equal">
      <formula>0</formula>
    </cfRule>
    <cfRule type="cellIs" dxfId="216" priority="218" operator="equal">
      <formula>0</formula>
    </cfRule>
  </conditionalFormatting>
  <conditionalFormatting sqref="Q177">
    <cfRule type="cellIs" dxfId="215" priority="215" operator="equal">
      <formula>0</formula>
    </cfRule>
    <cfRule type="cellIs" dxfId="214" priority="216" operator="equal">
      <formula>0</formula>
    </cfRule>
  </conditionalFormatting>
  <conditionalFormatting sqref="Q178">
    <cfRule type="cellIs" dxfId="213" priority="213" operator="equal">
      <formula>0</formula>
    </cfRule>
    <cfRule type="cellIs" dxfId="212" priority="214" operator="equal">
      <formula>0</formula>
    </cfRule>
  </conditionalFormatting>
  <conditionalFormatting sqref="Q179">
    <cfRule type="cellIs" dxfId="211" priority="211" operator="equal">
      <formula>0</formula>
    </cfRule>
    <cfRule type="cellIs" dxfId="210" priority="212" operator="equal">
      <formula>0</formula>
    </cfRule>
  </conditionalFormatting>
  <conditionalFormatting sqref="Q182">
    <cfRule type="cellIs" dxfId="209" priority="209" operator="equal">
      <formula>0</formula>
    </cfRule>
    <cfRule type="cellIs" dxfId="208" priority="210" operator="equal">
      <formula>0</formula>
    </cfRule>
  </conditionalFormatting>
  <conditionalFormatting sqref="Q183">
    <cfRule type="cellIs" dxfId="207" priority="207" operator="equal">
      <formula>0</formula>
    </cfRule>
    <cfRule type="cellIs" dxfId="206" priority="208" operator="equal">
      <formula>0</formula>
    </cfRule>
  </conditionalFormatting>
  <conditionalFormatting sqref="Q184">
    <cfRule type="cellIs" dxfId="205" priority="205" operator="equal">
      <formula>0</formula>
    </cfRule>
    <cfRule type="cellIs" dxfId="204" priority="206" operator="equal">
      <formula>0</formula>
    </cfRule>
  </conditionalFormatting>
  <conditionalFormatting sqref="Q185">
    <cfRule type="cellIs" dxfId="203" priority="203" operator="equal">
      <formula>0</formula>
    </cfRule>
    <cfRule type="cellIs" dxfId="202" priority="204" operator="equal">
      <formula>0</formula>
    </cfRule>
  </conditionalFormatting>
  <conditionalFormatting sqref="Q186">
    <cfRule type="cellIs" dxfId="201" priority="201" operator="equal">
      <formula>0</formula>
    </cfRule>
    <cfRule type="cellIs" dxfId="200" priority="202" operator="equal">
      <formula>0</formula>
    </cfRule>
  </conditionalFormatting>
  <conditionalFormatting sqref="Q189">
    <cfRule type="cellIs" dxfId="199" priority="199" operator="equal">
      <formula>0</formula>
    </cfRule>
    <cfRule type="cellIs" dxfId="198" priority="200" operator="equal">
      <formula>0</formula>
    </cfRule>
  </conditionalFormatting>
  <conditionalFormatting sqref="Q190">
    <cfRule type="cellIs" dxfId="197" priority="197" operator="equal">
      <formula>0</formula>
    </cfRule>
    <cfRule type="cellIs" dxfId="196" priority="198" operator="equal">
      <formula>0</formula>
    </cfRule>
  </conditionalFormatting>
  <conditionalFormatting sqref="Q191">
    <cfRule type="cellIs" dxfId="195" priority="195" operator="equal">
      <formula>0</formula>
    </cfRule>
    <cfRule type="cellIs" dxfId="194" priority="196" operator="equal">
      <formula>0</formula>
    </cfRule>
  </conditionalFormatting>
  <conditionalFormatting sqref="Q196">
    <cfRule type="cellIs" dxfId="193" priority="193" operator="equal">
      <formula>0</formula>
    </cfRule>
    <cfRule type="cellIs" dxfId="192" priority="194" operator="equal">
      <formula>0</formula>
    </cfRule>
  </conditionalFormatting>
  <conditionalFormatting sqref="Q204">
    <cfRule type="cellIs" dxfId="191" priority="191" operator="equal">
      <formula>0</formula>
    </cfRule>
    <cfRule type="cellIs" dxfId="190" priority="192" operator="equal">
      <formula>0</formula>
    </cfRule>
  </conditionalFormatting>
  <conditionalFormatting sqref="Q207">
    <cfRule type="cellIs" dxfId="189" priority="189" operator="equal">
      <formula>0</formula>
    </cfRule>
    <cfRule type="cellIs" dxfId="188" priority="190" operator="equal">
      <formula>0</formula>
    </cfRule>
  </conditionalFormatting>
  <conditionalFormatting sqref="Q208">
    <cfRule type="cellIs" dxfId="187" priority="187" operator="equal">
      <formula>0</formula>
    </cfRule>
    <cfRule type="cellIs" dxfId="186" priority="188" operator="equal">
      <formula>0</formula>
    </cfRule>
  </conditionalFormatting>
  <conditionalFormatting sqref="Q216">
    <cfRule type="cellIs" dxfId="185" priority="185" operator="equal">
      <formula>0</formula>
    </cfRule>
    <cfRule type="cellIs" dxfId="184" priority="186" operator="equal">
      <formula>0</formula>
    </cfRule>
  </conditionalFormatting>
  <conditionalFormatting sqref="Q217">
    <cfRule type="cellIs" dxfId="183" priority="183" operator="equal">
      <formula>0</formula>
    </cfRule>
    <cfRule type="cellIs" dxfId="182" priority="184" operator="equal">
      <formula>0</formula>
    </cfRule>
  </conditionalFormatting>
  <conditionalFormatting sqref="Q218">
    <cfRule type="cellIs" dxfId="181" priority="181" operator="equal">
      <formula>0</formula>
    </cfRule>
    <cfRule type="cellIs" dxfId="180" priority="182" operator="equal">
      <formula>0</formula>
    </cfRule>
  </conditionalFormatting>
  <conditionalFormatting sqref="Q221">
    <cfRule type="cellIs" dxfId="179" priority="179" operator="equal">
      <formula>0</formula>
    </cfRule>
    <cfRule type="cellIs" dxfId="178" priority="180" operator="equal">
      <formula>0</formula>
    </cfRule>
  </conditionalFormatting>
  <conditionalFormatting sqref="Q222">
    <cfRule type="cellIs" dxfId="177" priority="177" operator="equal">
      <formula>0</formula>
    </cfRule>
    <cfRule type="cellIs" dxfId="176" priority="178" operator="equal">
      <formula>0</formula>
    </cfRule>
  </conditionalFormatting>
  <conditionalFormatting sqref="Q237">
    <cfRule type="cellIs" dxfId="175" priority="175" operator="equal">
      <formula>0</formula>
    </cfRule>
    <cfRule type="cellIs" dxfId="174" priority="176" operator="equal">
      <formula>0</formula>
    </cfRule>
  </conditionalFormatting>
  <conditionalFormatting sqref="Q238">
    <cfRule type="cellIs" dxfId="173" priority="173" operator="equal">
      <formula>0</formula>
    </cfRule>
    <cfRule type="cellIs" dxfId="172" priority="174" operator="equal">
      <formula>0</formula>
    </cfRule>
  </conditionalFormatting>
  <conditionalFormatting sqref="Q241">
    <cfRule type="cellIs" dxfId="171" priority="171" operator="equal">
      <formula>0</formula>
    </cfRule>
    <cfRule type="cellIs" dxfId="170" priority="172" operator="equal">
      <formula>0</formula>
    </cfRule>
  </conditionalFormatting>
  <conditionalFormatting sqref="Q242">
    <cfRule type="cellIs" dxfId="169" priority="169" operator="equal">
      <formula>0</formula>
    </cfRule>
    <cfRule type="cellIs" dxfId="168" priority="170" operator="equal">
      <formula>0</formula>
    </cfRule>
  </conditionalFormatting>
  <conditionalFormatting sqref="Q245">
    <cfRule type="cellIs" dxfId="167" priority="167" operator="equal">
      <formula>0</formula>
    </cfRule>
    <cfRule type="cellIs" dxfId="166" priority="168" operator="equal">
      <formula>0</formula>
    </cfRule>
  </conditionalFormatting>
  <conditionalFormatting sqref="Q248">
    <cfRule type="cellIs" dxfId="165" priority="165" operator="equal">
      <formula>0</formula>
    </cfRule>
    <cfRule type="cellIs" dxfId="164" priority="166" operator="equal">
      <formula>0</formula>
    </cfRule>
  </conditionalFormatting>
  <conditionalFormatting sqref="Q249">
    <cfRule type="cellIs" dxfId="163" priority="163" operator="equal">
      <formula>0</formula>
    </cfRule>
    <cfRule type="cellIs" dxfId="162" priority="164" operator="equal">
      <formula>0</formula>
    </cfRule>
  </conditionalFormatting>
  <conditionalFormatting sqref="Q250">
    <cfRule type="cellIs" dxfId="161" priority="161" operator="equal">
      <formula>0</formula>
    </cfRule>
    <cfRule type="cellIs" dxfId="160" priority="162" operator="equal">
      <formula>0</formula>
    </cfRule>
  </conditionalFormatting>
  <conditionalFormatting sqref="Q253">
    <cfRule type="cellIs" dxfId="159" priority="159" operator="equal">
      <formula>0</formula>
    </cfRule>
    <cfRule type="cellIs" dxfId="158" priority="160" operator="equal">
      <formula>0</formula>
    </cfRule>
  </conditionalFormatting>
  <conditionalFormatting sqref="Q254">
    <cfRule type="cellIs" dxfId="157" priority="157" operator="equal">
      <formula>0</formula>
    </cfRule>
    <cfRule type="cellIs" dxfId="156" priority="158" operator="equal">
      <formula>0</formula>
    </cfRule>
  </conditionalFormatting>
  <conditionalFormatting sqref="Q255">
    <cfRule type="cellIs" dxfId="155" priority="155" operator="equal">
      <formula>0</formula>
    </cfRule>
    <cfRule type="cellIs" dxfId="154" priority="156" operator="equal">
      <formula>0</formula>
    </cfRule>
  </conditionalFormatting>
  <conditionalFormatting sqref="Q256">
    <cfRule type="cellIs" dxfId="153" priority="153" operator="equal">
      <formula>0</formula>
    </cfRule>
    <cfRule type="cellIs" dxfId="152" priority="154" operator="equal">
      <formula>0</formula>
    </cfRule>
  </conditionalFormatting>
  <conditionalFormatting sqref="Q264">
    <cfRule type="cellIs" dxfId="151" priority="151" operator="equal">
      <formula>0</formula>
    </cfRule>
    <cfRule type="cellIs" dxfId="150" priority="152" operator="equal">
      <formula>0</formula>
    </cfRule>
  </conditionalFormatting>
  <conditionalFormatting sqref="Q265">
    <cfRule type="cellIs" dxfId="149" priority="149" operator="equal">
      <formula>0</formula>
    </cfRule>
    <cfRule type="cellIs" dxfId="148" priority="150" operator="equal">
      <formula>0</formula>
    </cfRule>
  </conditionalFormatting>
  <conditionalFormatting sqref="Q266">
    <cfRule type="cellIs" dxfId="147" priority="147" operator="equal">
      <formula>0</formula>
    </cfRule>
    <cfRule type="cellIs" dxfId="146" priority="148" operator="equal">
      <formula>0</formula>
    </cfRule>
  </conditionalFormatting>
  <conditionalFormatting sqref="Q267">
    <cfRule type="cellIs" dxfId="145" priority="145" operator="equal">
      <formula>0</formula>
    </cfRule>
    <cfRule type="cellIs" dxfId="144" priority="146" operator="equal">
      <formula>0</formula>
    </cfRule>
  </conditionalFormatting>
  <conditionalFormatting sqref="Q270">
    <cfRule type="cellIs" dxfId="143" priority="143" operator="equal">
      <formula>0</formula>
    </cfRule>
    <cfRule type="cellIs" dxfId="142" priority="144" operator="equal">
      <formula>0</formula>
    </cfRule>
  </conditionalFormatting>
  <conditionalFormatting sqref="Q275">
    <cfRule type="cellIs" dxfId="141" priority="141" operator="equal">
      <formula>0</formula>
    </cfRule>
    <cfRule type="cellIs" dxfId="140" priority="142" operator="equal">
      <formula>0</formula>
    </cfRule>
  </conditionalFormatting>
  <conditionalFormatting sqref="Q278">
    <cfRule type="cellIs" dxfId="139" priority="139" operator="equal">
      <formula>0</formula>
    </cfRule>
    <cfRule type="cellIs" dxfId="138" priority="140" operator="equal">
      <formula>0</formula>
    </cfRule>
  </conditionalFormatting>
  <conditionalFormatting sqref="Q281">
    <cfRule type="cellIs" dxfId="137" priority="137" operator="equal">
      <formula>0</formula>
    </cfRule>
    <cfRule type="cellIs" dxfId="136" priority="138" operator="equal">
      <formula>0</formula>
    </cfRule>
  </conditionalFormatting>
  <conditionalFormatting sqref="Q293">
    <cfRule type="cellIs" dxfId="135" priority="135" operator="equal">
      <formula>0</formula>
    </cfRule>
    <cfRule type="cellIs" dxfId="134" priority="136" operator="equal">
      <formula>0</formula>
    </cfRule>
  </conditionalFormatting>
  <conditionalFormatting sqref="Q294">
    <cfRule type="cellIs" dxfId="133" priority="133" operator="equal">
      <formula>0</formula>
    </cfRule>
    <cfRule type="cellIs" dxfId="132" priority="134" operator="equal">
      <formula>0</formula>
    </cfRule>
  </conditionalFormatting>
  <conditionalFormatting sqref="Q297">
    <cfRule type="cellIs" dxfId="131" priority="131" operator="equal">
      <formula>0</formula>
    </cfRule>
    <cfRule type="cellIs" dxfId="130" priority="132" operator="equal">
      <formula>0</formula>
    </cfRule>
  </conditionalFormatting>
  <conditionalFormatting sqref="Q298">
    <cfRule type="cellIs" dxfId="129" priority="129" operator="equal">
      <formula>0</formula>
    </cfRule>
    <cfRule type="cellIs" dxfId="128" priority="130" operator="equal">
      <formula>0</formula>
    </cfRule>
  </conditionalFormatting>
  <conditionalFormatting sqref="Q299">
    <cfRule type="cellIs" dxfId="127" priority="127" operator="equal">
      <formula>0</formula>
    </cfRule>
    <cfRule type="cellIs" dxfId="126" priority="128" operator="equal">
      <formula>0</formula>
    </cfRule>
  </conditionalFormatting>
  <conditionalFormatting sqref="Q302">
    <cfRule type="cellIs" dxfId="125" priority="125" operator="equal">
      <formula>0</formula>
    </cfRule>
    <cfRule type="cellIs" dxfId="124" priority="126" operator="equal">
      <formula>0</formula>
    </cfRule>
  </conditionalFormatting>
  <conditionalFormatting sqref="Q311">
    <cfRule type="cellIs" dxfId="123" priority="123" operator="equal">
      <formula>0</formula>
    </cfRule>
    <cfRule type="cellIs" dxfId="122" priority="124" operator="equal">
      <formula>0</formula>
    </cfRule>
  </conditionalFormatting>
  <conditionalFormatting sqref="Q312">
    <cfRule type="cellIs" dxfId="121" priority="121" operator="equal">
      <formula>0</formula>
    </cfRule>
    <cfRule type="cellIs" dxfId="120" priority="122" operator="equal">
      <formula>0</formula>
    </cfRule>
  </conditionalFormatting>
  <conditionalFormatting sqref="Q313">
    <cfRule type="cellIs" dxfId="119" priority="119" operator="equal">
      <formula>0</formula>
    </cfRule>
    <cfRule type="cellIs" dxfId="118" priority="120" operator="equal">
      <formula>0</formula>
    </cfRule>
  </conditionalFormatting>
  <conditionalFormatting sqref="Q314">
    <cfRule type="cellIs" dxfId="117" priority="117" operator="equal">
      <formula>0</formula>
    </cfRule>
    <cfRule type="cellIs" dxfId="116" priority="118" operator="equal">
      <formula>0</formula>
    </cfRule>
  </conditionalFormatting>
  <conditionalFormatting sqref="Q315">
    <cfRule type="cellIs" dxfId="115" priority="115" operator="equal">
      <formula>0</formula>
    </cfRule>
    <cfRule type="cellIs" dxfId="114" priority="116" operator="equal">
      <formula>0</formula>
    </cfRule>
  </conditionalFormatting>
  <conditionalFormatting sqref="Q327">
    <cfRule type="cellIs" dxfId="113" priority="113" operator="equal">
      <formula>0</formula>
    </cfRule>
    <cfRule type="cellIs" dxfId="112" priority="114" operator="equal">
      <formula>0</formula>
    </cfRule>
  </conditionalFormatting>
  <conditionalFormatting sqref="Q330">
    <cfRule type="cellIs" dxfId="111" priority="111" operator="equal">
      <formula>0</formula>
    </cfRule>
    <cfRule type="cellIs" dxfId="110" priority="112" operator="equal">
      <formula>0</formula>
    </cfRule>
  </conditionalFormatting>
  <conditionalFormatting sqref="Q331">
    <cfRule type="cellIs" dxfId="109" priority="109" operator="equal">
      <formula>0</formula>
    </cfRule>
    <cfRule type="cellIs" dxfId="108" priority="110" operator="equal">
      <formula>0</formula>
    </cfRule>
  </conditionalFormatting>
  <conditionalFormatting sqref="Q332">
    <cfRule type="cellIs" dxfId="107" priority="107" operator="equal">
      <formula>0</formula>
    </cfRule>
    <cfRule type="cellIs" dxfId="106" priority="108" operator="equal">
      <formula>0</formula>
    </cfRule>
  </conditionalFormatting>
  <conditionalFormatting sqref="Q333">
    <cfRule type="cellIs" dxfId="105" priority="105" operator="equal">
      <formula>0</formula>
    </cfRule>
    <cfRule type="cellIs" dxfId="104" priority="106" operator="equal">
      <formula>0</formula>
    </cfRule>
  </conditionalFormatting>
  <conditionalFormatting sqref="Q334">
    <cfRule type="cellIs" dxfId="103" priority="103" operator="equal">
      <formula>0</formula>
    </cfRule>
    <cfRule type="cellIs" dxfId="102" priority="104" operator="equal">
      <formula>0</formula>
    </cfRule>
  </conditionalFormatting>
  <conditionalFormatting sqref="Q335">
    <cfRule type="cellIs" dxfId="101" priority="101" operator="equal">
      <formula>0</formula>
    </cfRule>
    <cfRule type="cellIs" dxfId="100" priority="102" operator="equal">
      <formula>0</formula>
    </cfRule>
  </conditionalFormatting>
  <conditionalFormatting sqref="Q336">
    <cfRule type="cellIs" dxfId="99" priority="99" operator="equal">
      <formula>0</formula>
    </cfRule>
    <cfRule type="cellIs" dxfId="98" priority="100" operator="equal">
      <formula>0</formula>
    </cfRule>
  </conditionalFormatting>
  <conditionalFormatting sqref="Q337">
    <cfRule type="cellIs" dxfId="97" priority="97" operator="equal">
      <formula>0</formula>
    </cfRule>
    <cfRule type="cellIs" dxfId="96" priority="98" operator="equal">
      <formula>0</formula>
    </cfRule>
  </conditionalFormatting>
  <conditionalFormatting sqref="Q340">
    <cfRule type="cellIs" dxfId="95" priority="95" operator="equal">
      <formula>0</formula>
    </cfRule>
    <cfRule type="cellIs" dxfId="94" priority="96" operator="equal">
      <formula>0</formula>
    </cfRule>
  </conditionalFormatting>
  <conditionalFormatting sqref="Q341">
    <cfRule type="cellIs" dxfId="93" priority="93" operator="equal">
      <formula>0</formula>
    </cfRule>
    <cfRule type="cellIs" dxfId="92" priority="94" operator="equal">
      <formula>0</formula>
    </cfRule>
  </conditionalFormatting>
  <conditionalFormatting sqref="Q342">
    <cfRule type="cellIs" dxfId="91" priority="91" operator="equal">
      <formula>0</formula>
    </cfRule>
    <cfRule type="cellIs" dxfId="90" priority="92" operator="equal">
      <formula>0</formula>
    </cfRule>
  </conditionalFormatting>
  <conditionalFormatting sqref="Q343">
    <cfRule type="cellIs" dxfId="89" priority="89" operator="equal">
      <formula>0</formula>
    </cfRule>
    <cfRule type="cellIs" dxfId="88" priority="90" operator="equal">
      <formula>0</formula>
    </cfRule>
  </conditionalFormatting>
  <conditionalFormatting sqref="Q348">
    <cfRule type="cellIs" dxfId="87" priority="87" operator="equal">
      <formula>0</formula>
    </cfRule>
    <cfRule type="cellIs" dxfId="86" priority="88" operator="equal">
      <formula>0</formula>
    </cfRule>
  </conditionalFormatting>
  <conditionalFormatting sqref="Q349">
    <cfRule type="cellIs" dxfId="85" priority="85" operator="equal">
      <formula>0</formula>
    </cfRule>
    <cfRule type="cellIs" dxfId="84" priority="86" operator="equal">
      <formula>0</formula>
    </cfRule>
  </conditionalFormatting>
  <conditionalFormatting sqref="Q360">
    <cfRule type="cellIs" dxfId="83" priority="83" operator="equal">
      <formula>0</formula>
    </cfRule>
    <cfRule type="cellIs" dxfId="82" priority="84" operator="equal">
      <formula>0</formula>
    </cfRule>
  </conditionalFormatting>
  <conditionalFormatting sqref="Q361">
    <cfRule type="cellIs" dxfId="81" priority="81" operator="equal">
      <formula>0</formula>
    </cfRule>
    <cfRule type="cellIs" dxfId="80" priority="82" operator="equal">
      <formula>0</formula>
    </cfRule>
  </conditionalFormatting>
  <conditionalFormatting sqref="Q362">
    <cfRule type="cellIs" dxfId="79" priority="79" operator="equal">
      <formula>0</formula>
    </cfRule>
    <cfRule type="cellIs" dxfId="78" priority="80" operator="equal">
      <formula>0</formula>
    </cfRule>
  </conditionalFormatting>
  <conditionalFormatting sqref="Q363">
    <cfRule type="cellIs" dxfId="77" priority="77" operator="equal">
      <formula>0</formula>
    </cfRule>
    <cfRule type="cellIs" dxfId="76" priority="78" operator="equal">
      <formula>0</formula>
    </cfRule>
  </conditionalFormatting>
  <conditionalFormatting sqref="Q364">
    <cfRule type="cellIs" dxfId="75" priority="75" operator="equal">
      <formula>0</formula>
    </cfRule>
    <cfRule type="cellIs" dxfId="74" priority="76" operator="equal">
      <formula>0</formula>
    </cfRule>
  </conditionalFormatting>
  <conditionalFormatting sqref="Q367">
    <cfRule type="cellIs" dxfId="73" priority="73" operator="equal">
      <formula>0</formula>
    </cfRule>
    <cfRule type="cellIs" dxfId="72" priority="74" operator="equal">
      <formula>0</formula>
    </cfRule>
  </conditionalFormatting>
  <conditionalFormatting sqref="Q368">
    <cfRule type="cellIs" dxfId="71" priority="71" operator="equal">
      <formula>0</formula>
    </cfRule>
    <cfRule type="cellIs" dxfId="70" priority="72" operator="equal">
      <formula>0</formula>
    </cfRule>
  </conditionalFormatting>
  <conditionalFormatting sqref="Q371">
    <cfRule type="cellIs" dxfId="69" priority="69" operator="equal">
      <formula>0</formula>
    </cfRule>
    <cfRule type="cellIs" dxfId="68" priority="70" operator="equal">
      <formula>0</formula>
    </cfRule>
  </conditionalFormatting>
  <conditionalFormatting sqref="Q372">
    <cfRule type="cellIs" dxfId="67" priority="67" operator="equal">
      <formula>0</formula>
    </cfRule>
    <cfRule type="cellIs" dxfId="66" priority="68" operator="equal">
      <formula>0</formula>
    </cfRule>
  </conditionalFormatting>
  <conditionalFormatting sqref="Q375">
    <cfRule type="cellIs" dxfId="65" priority="65" operator="equal">
      <formula>0</formula>
    </cfRule>
    <cfRule type="cellIs" dxfId="64" priority="66" operator="equal">
      <formula>0</formula>
    </cfRule>
  </conditionalFormatting>
  <conditionalFormatting sqref="Q376">
    <cfRule type="cellIs" dxfId="63" priority="63" operator="equal">
      <formula>0</formula>
    </cfRule>
    <cfRule type="cellIs" dxfId="62" priority="64" operator="equal">
      <formula>0</formula>
    </cfRule>
  </conditionalFormatting>
  <conditionalFormatting sqref="Q377">
    <cfRule type="cellIs" dxfId="61" priority="61" operator="equal">
      <formula>0</formula>
    </cfRule>
    <cfRule type="cellIs" dxfId="60" priority="62" operator="equal">
      <formula>0</formula>
    </cfRule>
  </conditionalFormatting>
  <conditionalFormatting sqref="Q378">
    <cfRule type="cellIs" dxfId="59" priority="59" operator="equal">
      <formula>0</formula>
    </cfRule>
    <cfRule type="cellIs" dxfId="58" priority="60" operator="equal">
      <formula>0</formula>
    </cfRule>
  </conditionalFormatting>
  <conditionalFormatting sqref="Q381">
    <cfRule type="cellIs" dxfId="57" priority="57" operator="equal">
      <formula>0</formula>
    </cfRule>
    <cfRule type="cellIs" dxfId="56" priority="58" operator="equal">
      <formula>0</formula>
    </cfRule>
  </conditionalFormatting>
  <conditionalFormatting sqref="Q382">
    <cfRule type="cellIs" dxfId="55" priority="55" operator="equal">
      <formula>0</formula>
    </cfRule>
    <cfRule type="cellIs" dxfId="54" priority="56" operator="equal">
      <formula>0</formula>
    </cfRule>
  </conditionalFormatting>
  <conditionalFormatting sqref="Q395">
    <cfRule type="cellIs" dxfId="53" priority="53" operator="equal">
      <formula>0</formula>
    </cfRule>
    <cfRule type="cellIs" dxfId="52" priority="54" operator="equal">
      <formula>0</formula>
    </cfRule>
  </conditionalFormatting>
  <conditionalFormatting sqref="Q398">
    <cfRule type="cellIs" dxfId="51" priority="51" operator="equal">
      <formula>0</formula>
    </cfRule>
    <cfRule type="cellIs" dxfId="50" priority="52" operator="equal">
      <formula>0</formula>
    </cfRule>
  </conditionalFormatting>
  <conditionalFormatting sqref="Q399">
    <cfRule type="cellIs" dxfId="49" priority="49" operator="equal">
      <formula>0</formula>
    </cfRule>
    <cfRule type="cellIs" dxfId="48" priority="50" operator="equal">
      <formula>0</formula>
    </cfRule>
  </conditionalFormatting>
  <conditionalFormatting sqref="Q400">
    <cfRule type="cellIs" dxfId="47" priority="47" operator="equal">
      <formula>0</formula>
    </cfRule>
    <cfRule type="cellIs" dxfId="46" priority="48" operator="equal">
      <formula>0</formula>
    </cfRule>
  </conditionalFormatting>
  <conditionalFormatting sqref="Q401">
    <cfRule type="cellIs" dxfId="45" priority="45" operator="equal">
      <formula>0</formula>
    </cfRule>
    <cfRule type="cellIs" dxfId="44" priority="46" operator="equal">
      <formula>0</formula>
    </cfRule>
  </conditionalFormatting>
  <conditionalFormatting sqref="Q402">
    <cfRule type="cellIs" dxfId="43" priority="43" operator="equal">
      <formula>0</formula>
    </cfRule>
    <cfRule type="cellIs" dxfId="42" priority="44" operator="equal">
      <formula>0</formula>
    </cfRule>
  </conditionalFormatting>
  <conditionalFormatting sqref="Q405">
    <cfRule type="cellIs" dxfId="41" priority="41" operator="equal">
      <formula>0</formula>
    </cfRule>
    <cfRule type="cellIs" dxfId="40" priority="42" operator="equal">
      <formula>0</formula>
    </cfRule>
  </conditionalFormatting>
  <conditionalFormatting sqref="Q406">
    <cfRule type="cellIs" dxfId="39" priority="39" operator="equal">
      <formula>0</formula>
    </cfRule>
    <cfRule type="cellIs" dxfId="38" priority="40" operator="equal">
      <formula>0</formula>
    </cfRule>
  </conditionalFormatting>
  <conditionalFormatting sqref="Q407">
    <cfRule type="cellIs" dxfId="37" priority="37" operator="equal">
      <formula>0</formula>
    </cfRule>
    <cfRule type="cellIs" dxfId="36" priority="38" operator="equal">
      <formula>0</formula>
    </cfRule>
  </conditionalFormatting>
  <conditionalFormatting sqref="Q408">
    <cfRule type="cellIs" dxfId="35" priority="35" operator="equal">
      <formula>0</formula>
    </cfRule>
    <cfRule type="cellIs" dxfId="34" priority="36" operator="equal">
      <formula>0</formula>
    </cfRule>
  </conditionalFormatting>
  <conditionalFormatting sqref="Q411">
    <cfRule type="cellIs" dxfId="33" priority="33" operator="equal">
      <formula>0</formula>
    </cfRule>
    <cfRule type="cellIs" dxfId="32" priority="34" operator="equal">
      <formula>0</formula>
    </cfRule>
  </conditionalFormatting>
  <conditionalFormatting sqref="Q420">
    <cfRule type="cellIs" dxfId="31" priority="31" operator="equal">
      <formula>0</formula>
    </cfRule>
    <cfRule type="cellIs" dxfId="30" priority="32" operator="equal">
      <formula>0</formula>
    </cfRule>
  </conditionalFormatting>
  <conditionalFormatting sqref="Q421">
    <cfRule type="cellIs" dxfId="19" priority="19" operator="equal">
      <formula>0</formula>
    </cfRule>
    <cfRule type="cellIs" dxfId="18" priority="20" operator="equal">
      <formula>0</formula>
    </cfRule>
  </conditionalFormatting>
  <conditionalFormatting sqref="Q422">
    <cfRule type="cellIs" dxfId="17" priority="17" operator="equal">
      <formula>0</formula>
    </cfRule>
    <cfRule type="cellIs" dxfId="16" priority="18" operator="equal">
      <formula>0</formula>
    </cfRule>
  </conditionalFormatting>
  <conditionalFormatting sqref="Q423">
    <cfRule type="cellIs" dxfId="15" priority="15" operator="equal">
      <formula>0</formula>
    </cfRule>
    <cfRule type="cellIs" dxfId="14" priority="16" operator="equal">
      <formula>0</formula>
    </cfRule>
  </conditionalFormatting>
  <conditionalFormatting sqref="Q424">
    <cfRule type="cellIs" dxfId="13" priority="13" operator="equal">
      <formula>0</formula>
    </cfRule>
    <cfRule type="cellIs" dxfId="12" priority="14" operator="equal">
      <formula>0</formula>
    </cfRule>
  </conditionalFormatting>
  <conditionalFormatting sqref="Q425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Q426">
    <cfRule type="cellIs" dxfId="9" priority="9" operator="equal">
      <formula>0</formula>
    </cfRule>
    <cfRule type="cellIs" dxfId="8" priority="10" operator="equal">
      <formula>0</formula>
    </cfRule>
  </conditionalFormatting>
  <conditionalFormatting sqref="Q427">
    <cfRule type="cellIs" dxfId="7" priority="7" operator="equal">
      <formula>0</formula>
    </cfRule>
    <cfRule type="cellIs" dxfId="6" priority="8" operator="equal">
      <formula>0</formula>
    </cfRule>
  </conditionalFormatting>
  <conditionalFormatting sqref="Q428">
    <cfRule type="cellIs" dxfId="5" priority="5" operator="equal">
      <formula>0</formula>
    </cfRule>
    <cfRule type="cellIs" dxfId="4" priority="6" operator="equal">
      <formula>0</formula>
    </cfRule>
  </conditionalFormatting>
  <conditionalFormatting sqref="Q429">
    <cfRule type="cellIs" dxfId="3" priority="3" operator="equal">
      <formula>0</formula>
    </cfRule>
    <cfRule type="cellIs" dxfId="2" priority="4" operator="equal">
      <formula>0</formula>
    </cfRule>
  </conditionalFormatting>
  <conditionalFormatting sqref="Q430">
    <cfRule type="cellIs" dxfId="1" priority="1" operator="equal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B9" sqref="B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270</v>
      </c>
    </row>
    <row r="2" spans="1:2" x14ac:dyDescent="0.25">
      <c r="A2" t="s">
        <v>266</v>
      </c>
    </row>
    <row r="3" spans="1:2" x14ac:dyDescent="0.25">
      <c r="A3" t="s">
        <v>267</v>
      </c>
    </row>
    <row r="4" spans="1:2" x14ac:dyDescent="0.25">
      <c r="A4" t="s">
        <v>268</v>
      </c>
    </row>
    <row r="5" spans="1:2" x14ac:dyDescent="0.25">
      <c r="A5" t="s">
        <v>269</v>
      </c>
    </row>
    <row r="6" spans="1:2" x14ac:dyDescent="0.25">
      <c r="A6" t="s">
        <v>282</v>
      </c>
      <c r="B6" t="s">
        <v>481</v>
      </c>
    </row>
    <row r="7" spans="1:2" x14ac:dyDescent="0.25">
      <c r="A7" t="s">
        <v>437</v>
      </c>
    </row>
    <row r="8" spans="1:2" x14ac:dyDescent="0.25">
      <c r="A8" t="s">
        <v>482</v>
      </c>
      <c r="B8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tabSelected="1" topLeftCell="A7" zoomScale="85" zoomScaleNormal="85" workbookViewId="0">
      <selection activeCell="D74" sqref="D74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8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120</v>
      </c>
      <c r="B1" s="29" t="s">
        <v>166</v>
      </c>
      <c r="C1" s="11" t="s">
        <v>121</v>
      </c>
      <c r="D1" s="102" t="s">
        <v>38</v>
      </c>
      <c r="E1" s="10" t="s">
        <v>114</v>
      </c>
      <c r="F1" s="10" t="s">
        <v>115</v>
      </c>
      <c r="G1" s="12" t="s">
        <v>116</v>
      </c>
      <c r="H1" s="12" t="s">
        <v>117</v>
      </c>
      <c r="I1" s="12" t="s">
        <v>87</v>
      </c>
      <c r="J1" s="12" t="s">
        <v>88</v>
      </c>
      <c r="K1" s="12" t="s">
        <v>86</v>
      </c>
      <c r="L1" s="74" t="s">
        <v>349</v>
      </c>
      <c r="M1" s="12"/>
      <c r="N1" s="11" t="s">
        <v>170</v>
      </c>
      <c r="P1" s="11" t="s">
        <v>100</v>
      </c>
      <c r="R1" s="11" t="s">
        <v>165</v>
      </c>
    </row>
    <row r="2" spans="1:18" ht="14.25" thickTop="1" thickBot="1" x14ac:dyDescent="0.25">
      <c r="A2" s="16" t="s">
        <v>356</v>
      </c>
      <c r="B2" s="30"/>
      <c r="C2" s="14" t="s">
        <v>356</v>
      </c>
      <c r="D2" s="103"/>
      <c r="E2" s="87"/>
      <c r="F2" s="87"/>
      <c r="G2" s="13">
        <f>IF(D2&lt;&gt;0, E2/D2, 0)</f>
        <v>0</v>
      </c>
      <c r="H2" s="13">
        <f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39</v>
      </c>
      <c r="L2" s="75">
        <f>COUNTIF(recipes!K:K,A2)</f>
        <v>1</v>
      </c>
      <c r="M2" s="3"/>
      <c r="N2" s="8" t="s">
        <v>16</v>
      </c>
      <c r="P2" s="8">
        <v>0.25</v>
      </c>
      <c r="R2" s="8" t="s">
        <v>167</v>
      </c>
    </row>
    <row r="3" spans="1:18" ht="13.5" thickBot="1" x14ac:dyDescent="0.25">
      <c r="A3" s="17" t="s">
        <v>360</v>
      </c>
      <c r="B3" s="31" t="s">
        <v>167</v>
      </c>
      <c r="C3" s="4" t="s">
        <v>356</v>
      </c>
      <c r="D3" s="80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6">
        <f>COUNTIF(recipes!K:K,A3)</f>
        <v>1</v>
      </c>
      <c r="M3" s="3"/>
      <c r="N3" s="9" t="s">
        <v>159</v>
      </c>
      <c r="P3" s="7" t="s">
        <v>101</v>
      </c>
      <c r="R3" s="8" t="s">
        <v>168</v>
      </c>
    </row>
    <row r="4" spans="1:18" ht="13.5" thickBot="1" x14ac:dyDescent="0.25">
      <c r="A4" s="17" t="s">
        <v>361</v>
      </c>
      <c r="B4" s="31" t="s">
        <v>167</v>
      </c>
      <c r="C4" s="4" t="s">
        <v>357</v>
      </c>
      <c r="D4" s="80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18</v>
      </c>
      <c r="L4" s="76">
        <f>COUNTIF(recipes!K:K,A4)</f>
        <v>1</v>
      </c>
      <c r="M4" s="3"/>
      <c r="N4" s="9" t="s">
        <v>0</v>
      </c>
      <c r="R4" s="7" t="s">
        <v>169</v>
      </c>
    </row>
    <row r="5" spans="1:18" x14ac:dyDescent="0.2">
      <c r="A5" s="17" t="s">
        <v>65</v>
      </c>
      <c r="B5" s="31"/>
      <c r="C5" s="4" t="s">
        <v>65</v>
      </c>
      <c r="D5" s="80"/>
      <c r="E5" s="4"/>
      <c r="F5" s="4"/>
      <c r="G5" s="3">
        <f>IF(D5&lt;&gt;0, E5/D5, 0)</f>
        <v>0</v>
      </c>
      <c r="H5" s="3">
        <f>IF(D5&lt;&gt;0, F5/D5, 0)</f>
        <v>0</v>
      </c>
      <c r="I5" s="3">
        <f>SUMIF(recipes!K:K,A5,recipes!R:R)</f>
        <v>0</v>
      </c>
      <c r="J5" s="3">
        <f>SUMIF(recipes!K:K,A5,recipes!S:S)</f>
        <v>0</v>
      </c>
      <c r="K5" s="3">
        <f>SUMIF(recipes!K:K,A5,recipes!T:T)</f>
        <v>5</v>
      </c>
      <c r="L5" s="76">
        <f>COUNTIF(recipes!K:K,A5)</f>
        <v>2</v>
      </c>
      <c r="M5" s="3"/>
      <c r="N5" s="9" t="s">
        <v>12</v>
      </c>
    </row>
    <row r="6" spans="1:18" x14ac:dyDescent="0.2">
      <c r="A6" s="17" t="s">
        <v>34</v>
      </c>
      <c r="B6" s="31"/>
      <c r="C6" s="4" t="s">
        <v>34</v>
      </c>
      <c r="D6" s="80">
        <v>1</v>
      </c>
      <c r="E6" s="4">
        <v>1.6E-2</v>
      </c>
      <c r="F6" s="4">
        <v>2.2180100000000001E-2</v>
      </c>
      <c r="G6" s="3">
        <f>IF(D6&lt;&gt;0, E6/D6, 0)</f>
        <v>1.6E-2</v>
      </c>
      <c r="H6" s="3">
        <f>IF(D6&lt;&gt;0, F6/D6, 0)</f>
        <v>2.2180100000000001E-2</v>
      </c>
      <c r="I6" s="3">
        <f>SUMIF(recipes!K:K,A6,recipes!R:R)</f>
        <v>2.1333378704334063E-2</v>
      </c>
      <c r="J6" s="3">
        <f>SUMIF(recipes!K:K,A6,recipes!S:S)</f>
        <v>0</v>
      </c>
      <c r="K6" s="3">
        <f>SUMIF(recipes!K:K,A6,recipes!T:T)</f>
        <v>0</v>
      </c>
      <c r="L6" s="76">
        <f>COUNTIF(recipes!K:K,A6)</f>
        <v>1</v>
      </c>
      <c r="M6" s="3"/>
      <c r="N6" s="9" t="s">
        <v>40</v>
      </c>
    </row>
    <row r="7" spans="1:18" x14ac:dyDescent="0.2">
      <c r="A7" s="17" t="s">
        <v>447</v>
      </c>
      <c r="B7" s="31" t="s">
        <v>167</v>
      </c>
      <c r="C7" s="4" t="s">
        <v>2</v>
      </c>
      <c r="D7" s="80">
        <v>1</v>
      </c>
      <c r="E7" s="3">
        <v>0.27300000000000002</v>
      </c>
      <c r="F7" s="3">
        <v>1.1000000000000001</v>
      </c>
      <c r="G7" s="3">
        <f>IF(D7&lt;&gt;0, E7/D7, 0)</f>
        <v>0.27300000000000002</v>
      </c>
      <c r="H7" s="3">
        <f>IF(D7&lt;&gt;0, F7/D7, 0)</f>
        <v>1.1000000000000001</v>
      </c>
      <c r="I7" s="3">
        <f>SUMIF(recipes!K:K,A7,recipes!R:R)</f>
        <v>1.5279897622762499</v>
      </c>
      <c r="J7" s="3">
        <f>SUMIF(recipes!K:K,A7,recipes!S:S)</f>
        <v>0</v>
      </c>
      <c r="K7" s="3">
        <f>SUMIF(recipes!K:K,A7,recipes!T:T)</f>
        <v>0</v>
      </c>
      <c r="L7" s="76">
        <f>COUNTIF(recipes!K:K,A7)</f>
        <v>3</v>
      </c>
      <c r="M7" s="3"/>
      <c r="N7" s="9" t="s">
        <v>1</v>
      </c>
    </row>
    <row r="8" spans="1:18" x14ac:dyDescent="0.2">
      <c r="A8" s="17" t="s">
        <v>454</v>
      </c>
      <c r="B8" s="31"/>
      <c r="C8" s="4" t="s">
        <v>454</v>
      </c>
      <c r="D8" s="80"/>
      <c r="E8" s="4"/>
      <c r="F8" s="4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9.226941223499999</v>
      </c>
      <c r="K8" s="3">
        <f>SUMIF(recipes!K:K,A8,recipes!T:T)</f>
        <v>0</v>
      </c>
      <c r="L8" s="76">
        <f>COUNTIF(recipes!K:K,A8)</f>
        <v>1</v>
      </c>
      <c r="M8" s="3"/>
      <c r="N8" s="9" t="s">
        <v>15</v>
      </c>
    </row>
    <row r="9" spans="1:18" x14ac:dyDescent="0.2">
      <c r="A9" s="17" t="s">
        <v>459</v>
      </c>
      <c r="B9" s="31"/>
      <c r="C9" s="4" t="s">
        <v>459</v>
      </c>
      <c r="D9" s="80"/>
      <c r="E9" s="4"/>
      <c r="F9" s="4"/>
      <c r="G9" s="3">
        <f>IF(D9&lt;&gt;0, E9/D9, 0)</f>
        <v>0</v>
      </c>
      <c r="H9" s="3">
        <f>IF(D9&lt;&gt;0, F9/D9, 0)</f>
        <v>0</v>
      </c>
      <c r="I9" s="3">
        <f>SUMIF(recipes!K:K,A9,recipes!R:R)</f>
        <v>1.4849999999999999</v>
      </c>
      <c r="J9" s="3">
        <f>SUMIF(recipes!K:K,A9,recipes!S:S)</f>
        <v>0</v>
      </c>
      <c r="K9" s="3">
        <f>SUMIF(recipes!K:K,A9,recipes!T:T)</f>
        <v>0</v>
      </c>
      <c r="L9" s="76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5</v>
      </c>
      <c r="B10" s="31" t="s">
        <v>167</v>
      </c>
      <c r="C10" s="4" t="s">
        <v>44</v>
      </c>
      <c r="D10" s="80">
        <v>3</v>
      </c>
      <c r="E10" s="3">
        <v>0.44500000000000001</v>
      </c>
      <c r="F10" s="3">
        <v>0.6</v>
      </c>
      <c r="G10" s="3">
        <f>IF(D10&lt;&gt;0, E10/D10, 0)</f>
        <v>0.14833333333333334</v>
      </c>
      <c r="H10" s="3">
        <f>IF(D10&lt;&gt;0, F10/D10, 0)</f>
        <v>0.19999999999999998</v>
      </c>
      <c r="I10" s="3">
        <f>SUMIF(recipes!K:K,A10,recipes!R:R)</f>
        <v>3.9919335987781253</v>
      </c>
      <c r="J10" s="3">
        <f>SUMIF(recipes!K:K,A10,recipes!S:S)</f>
        <v>0</v>
      </c>
      <c r="K10" s="3">
        <f>SUMIF(recipes!K:K,A10,recipes!T:T)</f>
        <v>0</v>
      </c>
      <c r="L10" s="76">
        <f>COUNTIF(recipes!K:K,A10)</f>
        <v>4</v>
      </c>
      <c r="M10" s="3"/>
      <c r="N10" s="7" t="s">
        <v>37</v>
      </c>
    </row>
    <row r="11" spans="1:18" s="27" customFormat="1" x14ac:dyDescent="0.2">
      <c r="A11" s="17" t="s">
        <v>74</v>
      </c>
      <c r="B11" s="31" t="s">
        <v>167</v>
      </c>
      <c r="C11" s="4" t="s">
        <v>44</v>
      </c>
      <c r="D11" s="80">
        <v>2</v>
      </c>
      <c r="E11" s="4">
        <v>0.253</v>
      </c>
      <c r="F11" s="4">
        <v>0.4</v>
      </c>
      <c r="G11" s="3">
        <f>IF(D11&lt;&gt;0, E11/D11, 0)</f>
        <v>0.1265</v>
      </c>
      <c r="H11" s="3">
        <f>IF(D11&lt;&gt;0, F11/D11, 0)</f>
        <v>0.2</v>
      </c>
      <c r="I11" s="3">
        <f>SUMIF(recipes!K:K,A11,recipes!R:R)</f>
        <v>2.7309675874490624</v>
      </c>
      <c r="J11" s="3">
        <f>SUMIF(recipes!K:K,A11,recipes!S:S)</f>
        <v>0</v>
      </c>
      <c r="K11" s="3">
        <f>SUMIF(recipes!K:K,A11,recipes!T:T)</f>
        <v>0</v>
      </c>
      <c r="L11" s="76">
        <f>COUNTIF(recipes!K:K,A11)</f>
        <v>3</v>
      </c>
      <c r="M11" s="3"/>
      <c r="N11" s="1"/>
    </row>
    <row r="12" spans="1:18" s="27" customFormat="1" x14ac:dyDescent="0.2">
      <c r="A12" s="17" t="s">
        <v>276</v>
      </c>
      <c r="B12" s="31" t="s">
        <v>167</v>
      </c>
      <c r="C12" s="4" t="s">
        <v>44</v>
      </c>
      <c r="D12" s="80">
        <v>1</v>
      </c>
      <c r="E12" s="4">
        <v>0.157</v>
      </c>
      <c r="F12" s="4">
        <v>0.29573529999999998</v>
      </c>
      <c r="G12" s="3">
        <f>IF(D12&lt;&gt;0, E12/D12, 0)</f>
        <v>0.157</v>
      </c>
      <c r="H12" s="3">
        <f>IF(D12&lt;&gt;0, F12/D12, 0)</f>
        <v>0.29573529999999998</v>
      </c>
      <c r="I12" s="3">
        <f>SUMIF(recipes!K:K,A12,recipes!R:R)</f>
        <v>0.6531199903379814</v>
      </c>
      <c r="J12" s="3">
        <f>SUMIF(recipes!K:K,A12,recipes!S:S)</f>
        <v>0</v>
      </c>
      <c r="K12" s="3">
        <f>SUMIF(recipes!K:K,A12,recipes!T:T)</f>
        <v>0</v>
      </c>
      <c r="L12" s="76">
        <f>COUNTIF(recipes!K:K,A12)</f>
        <v>1</v>
      </c>
      <c r="M12" s="3"/>
    </row>
    <row r="13" spans="1:18" s="27" customFormat="1" x14ac:dyDescent="0.2">
      <c r="A13" s="17" t="s">
        <v>440</v>
      </c>
      <c r="B13" s="31" t="s">
        <v>167</v>
      </c>
      <c r="C13" s="4" t="s">
        <v>44</v>
      </c>
      <c r="D13" s="80">
        <v>2</v>
      </c>
      <c r="E13" s="4">
        <v>0.28999999999999998</v>
      </c>
      <c r="F13" s="4">
        <v>0.55000000000000004</v>
      </c>
      <c r="G13" s="3">
        <f>IF(D13&lt;&gt;0, E13/D13, 0)</f>
        <v>0.14499999999999999</v>
      </c>
      <c r="H13" s="3">
        <f>IF(D13&lt;&gt;0, F13/D13, 0)</f>
        <v>0.27500000000000002</v>
      </c>
      <c r="I13" s="3">
        <f>SUMIF(recipes!K:K,A13,recipes!R:R)</f>
        <v>0.9667855664249998</v>
      </c>
      <c r="J13" s="3">
        <f>SUMIF(recipes!K:K,A13,recipes!S:S)</f>
        <v>0</v>
      </c>
      <c r="K13" s="3">
        <f>SUMIF(recipes!K:K,A13,recipes!T:T)</f>
        <v>0</v>
      </c>
      <c r="L13" s="76">
        <f>COUNTIF(recipes!K:K,A13)</f>
        <v>1</v>
      </c>
      <c r="M13" s="3"/>
    </row>
    <row r="14" spans="1:18" s="27" customFormat="1" x14ac:dyDescent="0.2">
      <c r="A14" s="17" t="s">
        <v>152</v>
      </c>
      <c r="B14" s="31"/>
      <c r="C14" s="4" t="s">
        <v>152</v>
      </c>
      <c r="D14" s="80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0.47317647299999999</v>
      </c>
      <c r="K14" s="3">
        <f>SUMIF(recipes!K:K,A14,recipes!T:T)</f>
        <v>0</v>
      </c>
      <c r="L14" s="76">
        <f>COUNTIF(recipes!K:K,A14)</f>
        <v>1</v>
      </c>
      <c r="M14" s="3"/>
    </row>
    <row r="15" spans="1:18" s="27" customFormat="1" x14ac:dyDescent="0.2">
      <c r="A15" s="17" t="s">
        <v>136</v>
      </c>
      <c r="B15" s="31" t="s">
        <v>167</v>
      </c>
      <c r="C15" s="4" t="s">
        <v>133</v>
      </c>
      <c r="D15" s="80"/>
      <c r="E15" s="4"/>
      <c r="F15" s="4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3</v>
      </c>
      <c r="L15" s="76">
        <f>COUNTIF(recipes!K:K,A15)</f>
        <v>3</v>
      </c>
      <c r="M15" s="3"/>
    </row>
    <row r="16" spans="1:18" s="27" customFormat="1" x14ac:dyDescent="0.2">
      <c r="A16" s="17" t="s">
        <v>125</v>
      </c>
      <c r="B16" s="31" t="s">
        <v>167</v>
      </c>
      <c r="C16" s="4" t="s">
        <v>438</v>
      </c>
      <c r="D16" s="80">
        <v>2</v>
      </c>
      <c r="E16" s="4">
        <v>0.20899999999999999</v>
      </c>
      <c r="F16" s="4">
        <v>0.4</v>
      </c>
      <c r="G16" s="3">
        <f>IF(D16&lt;&gt;0, E16/D16, 0)</f>
        <v>0.1045</v>
      </c>
      <c r="H16" s="3">
        <f>IF(D16&lt;&gt;0, F16/D16, 0)</f>
        <v>0.2</v>
      </c>
      <c r="I16" s="3">
        <f>SUMIF(recipes!K:K,A16,recipes!R:R)</f>
        <v>1.489125</v>
      </c>
      <c r="J16" s="3">
        <f>SUMIF(recipes!K:K,A16,recipes!S:S)</f>
        <v>0</v>
      </c>
      <c r="K16" s="3">
        <f>SUMIF(recipes!K:K,A16,recipes!T:T)</f>
        <v>0</v>
      </c>
      <c r="L16" s="76">
        <f>COUNTIF(recipes!K:K,A16)</f>
        <v>2</v>
      </c>
      <c r="M16" s="3"/>
    </row>
    <row r="17" spans="1:13" s="27" customFormat="1" x14ac:dyDescent="0.2">
      <c r="A17" s="17" t="s">
        <v>75</v>
      </c>
      <c r="B17" s="31" t="s">
        <v>167</v>
      </c>
      <c r="C17" s="4" t="s">
        <v>438</v>
      </c>
      <c r="D17" s="80">
        <v>3</v>
      </c>
      <c r="E17" s="4">
        <v>0.16400000000000001</v>
      </c>
      <c r="F17" s="4">
        <v>0.33</v>
      </c>
      <c r="G17" s="3">
        <f>IF(D17&lt;&gt;0, E17/D17, 0)</f>
        <v>5.4666666666666669E-2</v>
      </c>
      <c r="H17" s="3">
        <f>IF(D17&lt;&gt;0, F17/D17, 0)</f>
        <v>0.11</v>
      </c>
      <c r="I17" s="3">
        <f>SUMIF(recipes!K:K,A17,recipes!R:R)</f>
        <v>0.58766666666666667</v>
      </c>
      <c r="J17" s="3">
        <f>SUMIF(recipes!K:K,A17,recipes!S:S)</f>
        <v>0</v>
      </c>
      <c r="K17" s="3">
        <f>SUMIF(recipes!K:K,A17,recipes!T:T)</f>
        <v>0</v>
      </c>
      <c r="L17" s="76">
        <f>COUNTIF(recipes!K:K,A17)</f>
        <v>3</v>
      </c>
      <c r="M17" s="3"/>
    </row>
    <row r="18" spans="1:13" x14ac:dyDescent="0.2">
      <c r="A18" s="17" t="s">
        <v>146</v>
      </c>
      <c r="B18" s="31" t="s">
        <v>167</v>
      </c>
      <c r="C18" s="4" t="s">
        <v>438</v>
      </c>
      <c r="D18" s="80">
        <v>2</v>
      </c>
      <c r="E18" s="4">
        <v>0.2</v>
      </c>
      <c r="F18" s="4">
        <v>0.4</v>
      </c>
      <c r="G18" s="3">
        <f>IF(D18&lt;&gt;0, E18/D18, 0)</f>
        <v>0.1</v>
      </c>
      <c r="H18" s="3">
        <f>IF(D18&lt;&gt;0, F18/D18, 0)</f>
        <v>0.2</v>
      </c>
      <c r="I18" s="3">
        <f>SUMIF(recipes!K:K,A18,recipes!R:R)</f>
        <v>2.12</v>
      </c>
      <c r="J18" s="3">
        <f>SUMIF(recipes!K:K,A18,recipes!S:S)</f>
        <v>0</v>
      </c>
      <c r="K18" s="3">
        <f>SUMIF(recipes!K:K,A18,recipes!T:T)</f>
        <v>0</v>
      </c>
      <c r="L18" s="76">
        <f>COUNTIF(recipes!K:K,A18)</f>
        <v>3</v>
      </c>
      <c r="M18" s="3"/>
    </row>
    <row r="19" spans="1:13" s="27" customFormat="1" x14ac:dyDescent="0.2">
      <c r="A19" s="17" t="s">
        <v>163</v>
      </c>
      <c r="B19" s="31"/>
      <c r="C19" s="4" t="s">
        <v>163</v>
      </c>
      <c r="D19" s="80"/>
      <c r="E19" s="4"/>
      <c r="F19" s="4"/>
      <c r="G19" s="3">
        <f>IF(D19&lt;&gt;0, E19/D19, 0)</f>
        <v>0</v>
      </c>
      <c r="H19" s="3">
        <f>IF(D19&lt;&gt;0, F19/D19, 0)</f>
        <v>0</v>
      </c>
      <c r="I19" s="3">
        <f>SUMIF(recipes!K:K,A19,recipes!R:R)</f>
        <v>1.98</v>
      </c>
      <c r="J19" s="3">
        <f>SUMIF(recipes!K:K,A19,recipes!S:S)</f>
        <v>0</v>
      </c>
      <c r="K19" s="3">
        <f>SUMIF(recipes!K:K,A19,recipes!T:T)</f>
        <v>0</v>
      </c>
      <c r="L19" s="76">
        <f>COUNTIF(recipes!K:K,A19)</f>
        <v>1</v>
      </c>
      <c r="M19" s="3"/>
    </row>
    <row r="20" spans="1:13" x14ac:dyDescent="0.2">
      <c r="A20" s="17" t="s">
        <v>90</v>
      </c>
      <c r="B20" s="31"/>
      <c r="C20" s="4" t="s">
        <v>90</v>
      </c>
      <c r="D20" s="80"/>
      <c r="E20" s="4"/>
      <c r="F20" s="4"/>
      <c r="G20" s="3">
        <f>IF(D20&lt;&gt;0, E20/D20, 0)</f>
        <v>0</v>
      </c>
      <c r="H20" s="3">
        <f>IF(D20&lt;&gt;0, F20/D20, 0)</f>
        <v>0</v>
      </c>
      <c r="I20" s="3">
        <f>SUMIF(recipes!K:K,A20,recipes!R:R)</f>
        <v>0</v>
      </c>
      <c r="J20" s="3">
        <f>SUMIF(recipes!K:K,A20,recipes!S:S)</f>
        <v>5.9147059124999998E-2</v>
      </c>
      <c r="K20" s="3">
        <f>SUMIF(recipes!K:K,A20,recipes!T:T)</f>
        <v>0</v>
      </c>
      <c r="L20" s="76">
        <f>COUNTIF(recipes!K:K,A20)</f>
        <v>1</v>
      </c>
      <c r="M20" s="3"/>
    </row>
    <row r="21" spans="1:13" x14ac:dyDescent="0.2">
      <c r="A21" s="17" t="s">
        <v>79</v>
      </c>
      <c r="B21" s="31"/>
      <c r="C21" s="4" t="s">
        <v>79</v>
      </c>
      <c r="D21" s="80">
        <v>1</v>
      </c>
      <c r="E21" s="4">
        <v>1.0999999999999999E-2</v>
      </c>
      <c r="F21" s="4">
        <v>2.2180100000000001E-2</v>
      </c>
      <c r="G21" s="3">
        <f>IF(D21&lt;&gt;0, E21/D21, 0)</f>
        <v>1.0999999999999999E-2</v>
      </c>
      <c r="H21" s="3">
        <f>IF(D21&lt;&gt;0, F21/D21, 0)</f>
        <v>2.2180100000000001E-2</v>
      </c>
      <c r="I21" s="3">
        <f>SUMIF(recipes!K:K,A21,recipes!R:R)</f>
        <v>1.0388910983621014E-2</v>
      </c>
      <c r="J21" s="3">
        <f>SUMIF(recipes!K:K,A21,recipes!S:S)</f>
        <v>0</v>
      </c>
      <c r="K21" s="3">
        <f>SUMIF(recipes!K:K,A21,recipes!T:T)</f>
        <v>0</v>
      </c>
      <c r="L21" s="76">
        <f>COUNTIF(recipes!K:K,A21)</f>
        <v>3</v>
      </c>
      <c r="M21" s="3"/>
    </row>
    <row r="22" spans="1:13" x14ac:dyDescent="0.2">
      <c r="A22" s="17" t="s">
        <v>275</v>
      </c>
      <c r="B22" s="31" t="s">
        <v>167</v>
      </c>
      <c r="C22" s="4" t="s">
        <v>132</v>
      </c>
      <c r="D22" s="80">
        <v>1</v>
      </c>
      <c r="E22" s="3">
        <v>0.30599999999999999</v>
      </c>
      <c r="F22" s="3"/>
      <c r="G22" s="3">
        <f>IF(D22&lt;&gt;0, E22/D22, 0)</f>
        <v>0.30599999999999999</v>
      </c>
      <c r="H22" s="3">
        <f>IF(D22&lt;&gt;0, F22/D22, 0)</f>
        <v>0</v>
      </c>
      <c r="I22" s="3">
        <f>SUMIF(recipes!K:K,A22,recipes!R:R)</f>
        <v>1.1934</v>
      </c>
      <c r="J22" s="3">
        <f>SUMIF(recipes!K:K,A22,recipes!S:S)</f>
        <v>0</v>
      </c>
      <c r="K22" s="3">
        <f>SUMIF(recipes!K:K,A22,recipes!T:T)</f>
        <v>0</v>
      </c>
      <c r="L22" s="76">
        <f>COUNTIF(recipes!K:K,A22)</f>
        <v>1</v>
      </c>
      <c r="M22" s="3"/>
    </row>
    <row r="23" spans="1:13" x14ac:dyDescent="0.2">
      <c r="A23" s="17" t="s">
        <v>35</v>
      </c>
      <c r="B23" s="31"/>
      <c r="C23" s="4" t="s">
        <v>35</v>
      </c>
      <c r="D23" s="80">
        <v>1</v>
      </c>
      <c r="E23" s="4">
        <v>1.0999999999999999E-2</v>
      </c>
      <c r="F23" s="4">
        <v>2.2180100000000001E-2</v>
      </c>
      <c r="G23" s="3">
        <f>IF(D23&lt;&gt;0, E23/D23, 0)</f>
        <v>1.0999999999999999E-2</v>
      </c>
      <c r="H23" s="3">
        <f>IF(D23&lt;&gt;0, F23/D23, 0)</f>
        <v>2.2180100000000001E-2</v>
      </c>
      <c r="I23" s="3">
        <f>SUMIF(recipes!K:K,A23,recipes!R:R)</f>
        <v>3.1166732950863047E-2</v>
      </c>
      <c r="J23" s="3">
        <f>SUMIF(recipes!K:K,A23,recipes!S:S)</f>
        <v>0</v>
      </c>
      <c r="K23" s="3">
        <f>SUMIF(recipes!K:K,A23,recipes!T:T)</f>
        <v>0</v>
      </c>
      <c r="L23" s="76">
        <f>COUNTIF(recipes!K:K,A23)</f>
        <v>1</v>
      </c>
      <c r="M23" s="3"/>
    </row>
    <row r="24" spans="1:13" x14ac:dyDescent="0.2">
      <c r="A24" s="17" t="s">
        <v>9</v>
      </c>
      <c r="B24" s="31"/>
      <c r="C24" s="4" t="s">
        <v>9</v>
      </c>
      <c r="D24" s="80">
        <v>1</v>
      </c>
      <c r="E24" s="4">
        <v>1.2E-2</v>
      </c>
      <c r="F24" s="4">
        <v>2.2180100000000001E-2</v>
      </c>
      <c r="G24" s="3">
        <f>IF(D24&lt;&gt;0, E24/D24, 0)</f>
        <v>1.2E-2</v>
      </c>
      <c r="H24" s="3">
        <f>IF(D24&lt;&gt;0, F24/D24, 0)</f>
        <v>2.2180100000000001E-2</v>
      </c>
      <c r="I24" s="3">
        <f>SUMIF(recipes!K:K,A24,recipes!R:R)</f>
        <v>5.0000106338282967E-2</v>
      </c>
      <c r="J24" s="3">
        <f>SUMIF(recipes!K:K,A24,recipes!S:S)</f>
        <v>0</v>
      </c>
      <c r="K24" s="3">
        <f>SUMIF(recipes!K:K,A24,recipes!T:T)</f>
        <v>0</v>
      </c>
      <c r="L24" s="76">
        <f>COUNTIF(recipes!K:K,A24)</f>
        <v>2</v>
      </c>
      <c r="M24" s="3"/>
    </row>
    <row r="25" spans="1:13" x14ac:dyDescent="0.2">
      <c r="A25" s="17" t="s">
        <v>51</v>
      </c>
      <c r="B25" s="31"/>
      <c r="C25" s="4" t="s">
        <v>51</v>
      </c>
      <c r="D25" s="80"/>
      <c r="E25" s="4"/>
      <c r="F25" s="4"/>
      <c r="G25" s="3">
        <f>IF(D25&lt;&gt;0, E25/D25, 0)</f>
        <v>0</v>
      </c>
      <c r="H25" s="3">
        <f>IF(D25&lt;&gt;0, F25/D25, 0)</f>
        <v>0</v>
      </c>
      <c r="I25" s="3">
        <f>SUMIF(recipes!K:K,A25,recipes!R:R)</f>
        <v>0</v>
      </c>
      <c r="J25" s="3">
        <f>SUMIF(recipes!K:K,A25,recipes!S:S)</f>
        <v>8.7488358289062484E-2</v>
      </c>
      <c r="K25" s="3">
        <f>SUMIF(recipes!K:K,A25,recipes!T:T)</f>
        <v>0</v>
      </c>
      <c r="L25" s="76">
        <f>COUNTIF(recipes!K:K,A25)</f>
        <v>2</v>
      </c>
      <c r="M25" s="3"/>
    </row>
    <row r="26" spans="1:13" s="27" customFormat="1" x14ac:dyDescent="0.2">
      <c r="A26" s="17" t="s">
        <v>78</v>
      </c>
      <c r="B26" s="31"/>
      <c r="C26" s="4" t="s">
        <v>78</v>
      </c>
      <c r="D26" s="80">
        <v>1</v>
      </c>
      <c r="E26" s="4">
        <v>3.0000000000000001E-3</v>
      </c>
      <c r="F26" s="4">
        <v>2.2180100000000001E-2</v>
      </c>
      <c r="G26" s="3">
        <f>IF(D26&lt;&gt;0, E26/D26, 0)</f>
        <v>3.0000000000000001E-3</v>
      </c>
      <c r="H26" s="3">
        <f>IF(D26&lt;&gt;0, F26/D26, 0)</f>
        <v>2.2180100000000001E-2</v>
      </c>
      <c r="I26" s="3">
        <f>SUMIF(recipes!K:K,A26,recipes!R:R)</f>
        <v>1.5000031901484889E-3</v>
      </c>
      <c r="J26" s="3">
        <f>SUMIF(recipes!K:K,A26,recipes!S:S)</f>
        <v>0</v>
      </c>
      <c r="K26" s="3">
        <f>SUMIF(recipes!K:K,A26,recipes!T:T)</f>
        <v>0</v>
      </c>
      <c r="L26" s="76">
        <f>COUNTIF(recipes!K:K,A26)</f>
        <v>1</v>
      </c>
      <c r="M26" s="3"/>
    </row>
    <row r="27" spans="1:13" s="27" customFormat="1" x14ac:dyDescent="0.2">
      <c r="A27" s="17" t="s">
        <v>248</v>
      </c>
      <c r="B27" s="31"/>
      <c r="C27" s="4" t="s">
        <v>248</v>
      </c>
      <c r="D27" s="80">
        <v>1</v>
      </c>
      <c r="E27" s="4">
        <v>1.02</v>
      </c>
      <c r="F27" s="4">
        <v>1.2</v>
      </c>
      <c r="G27" s="3">
        <f>IF(D27&lt;&gt;0, E27/D27, 0)</f>
        <v>1.02</v>
      </c>
      <c r="H27" s="3">
        <f>IF(D27&lt;&gt;0, F27/D27, 0)</f>
        <v>1.2</v>
      </c>
      <c r="I27" s="3">
        <f>SUMIF(recipes!K:K,A27,recipes!R:R)</f>
        <v>0.40220000205000001</v>
      </c>
      <c r="J27" s="3">
        <f>SUMIF(recipes!K:K,A27,recipes!S:S)</f>
        <v>0</v>
      </c>
      <c r="K27" s="3">
        <f>SUMIF(recipes!K:K,A27,recipes!T:T)</f>
        <v>0</v>
      </c>
      <c r="L27" s="76">
        <f>COUNTIF(recipes!K:K,A27)</f>
        <v>1</v>
      </c>
      <c r="M27" s="3"/>
    </row>
    <row r="28" spans="1:13" x14ac:dyDescent="0.2">
      <c r="A28" s="17" t="s">
        <v>71</v>
      </c>
      <c r="B28" s="31" t="s">
        <v>168</v>
      </c>
      <c r="C28" s="4" t="s">
        <v>72</v>
      </c>
      <c r="D28" s="80">
        <v>1</v>
      </c>
      <c r="E28" s="4">
        <v>0.76300000000000001</v>
      </c>
      <c r="F28" s="4">
        <v>0.946353</v>
      </c>
      <c r="G28" s="3">
        <f>IF(D28&lt;&gt;0, E28/D28, 0)</f>
        <v>0.76300000000000001</v>
      </c>
      <c r="H28" s="3">
        <f>IF(D28&lt;&gt;0, F28/D28, 0)</f>
        <v>0.946353</v>
      </c>
      <c r="I28" s="3">
        <f>SUMIF(recipes!K:K,A28,recipes!R:R)</f>
        <v>0.38149997823116744</v>
      </c>
      <c r="J28" s="3">
        <f>SUMIF(recipes!K:K,A28,recipes!S:S)</f>
        <v>0</v>
      </c>
      <c r="K28" s="3">
        <f>SUMIF(recipes!K:K,A28,recipes!T:T)</f>
        <v>0</v>
      </c>
      <c r="L28" s="76">
        <f>COUNTIF(recipes!K:K,A28)</f>
        <v>1</v>
      </c>
      <c r="M28" s="3"/>
    </row>
    <row r="29" spans="1:13" s="27" customFormat="1" x14ac:dyDescent="0.2">
      <c r="A29" s="17" t="s">
        <v>31</v>
      </c>
      <c r="B29" s="31" t="s">
        <v>168</v>
      </c>
      <c r="C29" s="4" t="s">
        <v>73</v>
      </c>
      <c r="D29" s="80">
        <v>1</v>
      </c>
      <c r="E29" s="4">
        <v>0.80800000000000005</v>
      </c>
      <c r="F29" s="4">
        <v>0.946353</v>
      </c>
      <c r="G29" s="3">
        <f>IF(D29&lt;&gt;0, E29/D29, 0)</f>
        <v>0.80800000000000005</v>
      </c>
      <c r="H29" s="3">
        <f>IF(D29&lt;&gt;0, F29/D29, 0)</f>
        <v>0.946353</v>
      </c>
      <c r="I29" s="3">
        <f>SUMIF(recipes!K:K,A29,recipes!R:R)</f>
        <v>0.85849995101299414</v>
      </c>
      <c r="J29" s="3">
        <f>SUMIF(recipes!K:K,A29,recipes!S:S)</f>
        <v>0</v>
      </c>
      <c r="K29" s="3">
        <f>SUMIF(recipes!K:K,A29,recipes!T:T)</f>
        <v>0</v>
      </c>
      <c r="L29" s="76">
        <f>COUNTIF(recipes!K:K,A29)</f>
        <v>1</v>
      </c>
      <c r="M29" s="3"/>
    </row>
    <row r="30" spans="1:13" x14ac:dyDescent="0.2">
      <c r="A30" s="17" t="s">
        <v>250</v>
      </c>
      <c r="B30" s="31"/>
      <c r="C30" s="4" t="s">
        <v>250</v>
      </c>
      <c r="D30" s="80">
        <v>1</v>
      </c>
      <c r="E30" s="4">
        <v>3.0000000000000001E-3</v>
      </c>
      <c r="F30" s="4">
        <v>2.2180100000000001E-2</v>
      </c>
      <c r="G30" s="3">
        <f>IF(D30&lt;&gt;0, E30/D30, 0)</f>
        <v>3.0000000000000001E-3</v>
      </c>
      <c r="H30" s="3">
        <f>IF(D30&lt;&gt;0, F30/D30, 0)</f>
        <v>2.2180100000000001E-2</v>
      </c>
      <c r="I30" s="3">
        <f>SUMIF(recipes!K:K,A30,recipes!R:R)</f>
        <v>2.0000042535313184E-3</v>
      </c>
      <c r="J30" s="3">
        <f>SUMIF(recipes!K:K,A30,recipes!S:S)</f>
        <v>0</v>
      </c>
      <c r="K30" s="3">
        <f>SUMIF(recipes!K:K,A30,recipes!T:T)</f>
        <v>0</v>
      </c>
      <c r="L30" s="76">
        <f>COUNTIF(recipes!K:K,A30)</f>
        <v>1</v>
      </c>
      <c r="M30" s="3"/>
    </row>
    <row r="31" spans="1:13" x14ac:dyDescent="0.2">
      <c r="A31" s="17" t="s">
        <v>7</v>
      </c>
      <c r="B31" s="31" t="s">
        <v>168</v>
      </c>
      <c r="C31" s="4" t="s">
        <v>164</v>
      </c>
      <c r="D31" s="80">
        <v>1</v>
      </c>
      <c r="E31" s="4">
        <v>0.84699999999999998</v>
      </c>
      <c r="F31" s="4">
        <v>0.946353</v>
      </c>
      <c r="G31" s="3">
        <f>IF(D31&lt;&gt;0, E31/D31, 0)</f>
        <v>0.84699999999999998</v>
      </c>
      <c r="H31" s="3">
        <f>IF(D31&lt;&gt;0, F31/D31, 0)</f>
        <v>0.946353</v>
      </c>
      <c r="I31" s="3">
        <f>SUMIF(recipes!K:K,A31,recipes!R:R)</f>
        <v>1.1646249335451464</v>
      </c>
      <c r="J31" s="3">
        <f>SUMIF(recipes!K:K,A31,recipes!S:S)</f>
        <v>0</v>
      </c>
      <c r="K31" s="3">
        <f>SUMIF(recipes!K:K,A31,recipes!T:T)</f>
        <v>0</v>
      </c>
      <c r="L31" s="76">
        <f>COUNTIF(recipes!K:K,A31)</f>
        <v>2</v>
      </c>
      <c r="M31" s="3"/>
    </row>
    <row r="32" spans="1:13" x14ac:dyDescent="0.2">
      <c r="A32" s="17" t="s">
        <v>59</v>
      </c>
      <c r="B32" s="31" t="s">
        <v>167</v>
      </c>
      <c r="C32" s="4" t="s">
        <v>60</v>
      </c>
      <c r="D32" s="80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76">
        <f>COUNTIF(recipes!K:K,A32)</f>
        <v>1</v>
      </c>
      <c r="M32" s="3"/>
    </row>
    <row r="33" spans="1:14" s="27" customFormat="1" x14ac:dyDescent="0.2">
      <c r="A33" s="17" t="s">
        <v>329</v>
      </c>
      <c r="B33" s="31" t="s">
        <v>167</v>
      </c>
      <c r="C33" s="4" t="s">
        <v>55</v>
      </c>
      <c r="D33" s="80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9.6113971078124999E-2</v>
      </c>
      <c r="K33" s="3">
        <f>SUMIF(recipes!K:K,A33,recipes!T:T)</f>
        <v>0</v>
      </c>
      <c r="L33" s="76">
        <f>COUNTIF(recipes!K:K,A33)</f>
        <v>1</v>
      </c>
      <c r="M33" s="3"/>
    </row>
    <row r="34" spans="1:14" s="27" customFormat="1" x14ac:dyDescent="0.2">
      <c r="A34" s="17" t="s">
        <v>62</v>
      </c>
      <c r="B34" s="31"/>
      <c r="C34" s="4" t="s">
        <v>55</v>
      </c>
      <c r="D34" s="80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6">
        <f>COUNTIF(recipes!K:K,A34)</f>
        <v>2</v>
      </c>
      <c r="M34" s="3"/>
    </row>
    <row r="35" spans="1:14" x14ac:dyDescent="0.2">
      <c r="A35" s="17" t="s">
        <v>279</v>
      </c>
      <c r="B35" s="31"/>
      <c r="C35" s="4" t="s">
        <v>279</v>
      </c>
      <c r="D35" s="80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0</v>
      </c>
      <c r="L35" s="76">
        <f>COUNTIF(recipes!K:K,A35)</f>
        <v>1</v>
      </c>
      <c r="M35" s="3"/>
    </row>
    <row r="36" spans="1:14" x14ac:dyDescent="0.2">
      <c r="A36" s="17" t="s">
        <v>63</v>
      </c>
      <c r="B36" s="31"/>
      <c r="C36" s="4" t="s">
        <v>66</v>
      </c>
      <c r="D36" s="80"/>
      <c r="E36" s="4"/>
      <c r="F36" s="4"/>
      <c r="G36" s="3">
        <f>IF(D36&lt;&gt;0, E36/D36, 0)</f>
        <v>0</v>
      </c>
      <c r="H36" s="3">
        <f>IF(D36&lt;&gt;0, F36/D36, 0)</f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2.75</v>
      </c>
      <c r="L36" s="76">
        <f>COUNTIF(recipes!K:K,A36)</f>
        <v>1</v>
      </c>
      <c r="M36" s="3"/>
    </row>
    <row r="37" spans="1:14" x14ac:dyDescent="0.2">
      <c r="A37" s="17" t="s">
        <v>278</v>
      </c>
      <c r="B37" s="31"/>
      <c r="C37" s="4" t="s">
        <v>278</v>
      </c>
      <c r="D37" s="80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0</v>
      </c>
      <c r="L37" s="76">
        <f>COUNTIF(recipes!K:K,A37)</f>
        <v>1</v>
      </c>
      <c r="M37" s="3"/>
    </row>
    <row r="38" spans="1:14" x14ac:dyDescent="0.2">
      <c r="A38" s="17" t="s">
        <v>64</v>
      </c>
      <c r="B38" s="31"/>
      <c r="C38" s="4" t="s">
        <v>67</v>
      </c>
      <c r="D38" s="80"/>
      <c r="E38" s="4"/>
      <c r="F38" s="4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</v>
      </c>
      <c r="K38" s="3">
        <f>SUMIF(recipes!K:K,A38,recipes!T:T)</f>
        <v>2.75</v>
      </c>
      <c r="L38" s="76">
        <f>COUNTIF(recipes!K:K,A38)</f>
        <v>1</v>
      </c>
      <c r="M38" s="3"/>
    </row>
    <row r="39" spans="1:14" x14ac:dyDescent="0.2">
      <c r="A39" s="17" t="s">
        <v>434</v>
      </c>
      <c r="B39" s="31"/>
      <c r="C39" s="4" t="s">
        <v>434</v>
      </c>
      <c r="D39" s="80"/>
      <c r="E39" s="4"/>
      <c r="F39" s="4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0.75</v>
      </c>
      <c r="J39" s="3">
        <f>SUMIF(recipes!K:K,A39,recipes!S:S)</f>
        <v>0</v>
      </c>
      <c r="K39" s="3">
        <f>SUMIF(recipes!K:K,A39,recipes!T:T)</f>
        <v>0</v>
      </c>
      <c r="L39" s="76">
        <f>COUNTIF(recipes!K:K,A39)</f>
        <v>1</v>
      </c>
      <c r="M39" s="3"/>
    </row>
    <row r="40" spans="1:14" s="27" customFormat="1" x14ac:dyDescent="0.2">
      <c r="A40" s="17" t="s">
        <v>10</v>
      </c>
      <c r="B40" s="31"/>
      <c r="C40" s="4" t="s">
        <v>10</v>
      </c>
      <c r="D40" s="80">
        <v>1</v>
      </c>
      <c r="E40" s="4">
        <v>0.01</v>
      </c>
      <c r="F40" s="4">
        <v>2.2180100000000001E-2</v>
      </c>
      <c r="G40" s="3">
        <f>IF(D40&lt;&gt;0, E40/D40, 0)</f>
        <v>0.01</v>
      </c>
      <c r="H40" s="3">
        <f>IF(D40&lt;&gt;0, F40/D40, 0)</f>
        <v>2.2180100000000001E-2</v>
      </c>
      <c r="I40" s="3">
        <f>SUMIF(recipes!K:K,A40,recipes!R:R)</f>
        <v>2.8333393591693682E-2</v>
      </c>
      <c r="J40" s="3">
        <f>SUMIF(recipes!K:K,A40,recipes!S:S)</f>
        <v>0</v>
      </c>
      <c r="K40" s="3">
        <f>SUMIF(recipes!K:K,A40,recipes!T:T)</f>
        <v>0</v>
      </c>
      <c r="L40" s="76">
        <f>COUNTIF(recipes!K:K,A40)</f>
        <v>1</v>
      </c>
      <c r="M40" s="3"/>
    </row>
    <row r="41" spans="1:14" x14ac:dyDescent="0.2">
      <c r="A41" s="17" t="s">
        <v>8</v>
      </c>
      <c r="B41" s="31"/>
      <c r="C41" s="4" t="s">
        <v>8</v>
      </c>
      <c r="D41" s="80"/>
      <c r="E41" s="4"/>
      <c r="F41" s="4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27.5</v>
      </c>
      <c r="L41" s="76">
        <f>COUNTIF(recipes!K:K,A41)</f>
        <v>5</v>
      </c>
      <c r="M41" s="3"/>
    </row>
    <row r="42" spans="1:14" x14ac:dyDescent="0.2">
      <c r="A42" s="17" t="s">
        <v>192</v>
      </c>
      <c r="B42" s="31" t="s">
        <v>167</v>
      </c>
      <c r="C42" s="4" t="s">
        <v>48</v>
      </c>
      <c r="D42" s="80"/>
      <c r="E42" s="3"/>
      <c r="F42" s="3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0.52862684092968748</v>
      </c>
      <c r="K42" s="3">
        <f>SUMIF(recipes!K:K,A42,recipes!T:T)</f>
        <v>0</v>
      </c>
      <c r="L42" s="76">
        <f>COUNTIF(recipes!K:K,A42)</f>
        <v>8</v>
      </c>
      <c r="M42" s="3"/>
    </row>
    <row r="43" spans="1:14" x14ac:dyDescent="0.2">
      <c r="A43" s="17" t="s">
        <v>160</v>
      </c>
      <c r="B43" s="31"/>
      <c r="C43" s="4" t="s">
        <v>160</v>
      </c>
      <c r="D43" s="80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0.76891176862499999</v>
      </c>
      <c r="K43" s="3">
        <f>SUMIF(recipes!K:K,A43,recipes!T:T)</f>
        <v>0</v>
      </c>
      <c r="L43" s="76">
        <f>COUNTIF(recipes!K:K,A43)</f>
        <v>1</v>
      </c>
      <c r="M43" s="3"/>
    </row>
    <row r="44" spans="1:14" x14ac:dyDescent="0.2">
      <c r="A44" s="17" t="s">
        <v>365</v>
      </c>
      <c r="B44" s="31"/>
      <c r="C44" s="4" t="s">
        <v>365</v>
      </c>
      <c r="D44" s="80"/>
      <c r="E44" s="4"/>
      <c r="F44" s="4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76">
        <f>COUNTIF(recipes!K:K,A44)</f>
        <v>1</v>
      </c>
      <c r="M44" s="3"/>
    </row>
    <row r="45" spans="1:14" s="27" customFormat="1" x14ac:dyDescent="0.2">
      <c r="A45" s="17" t="s">
        <v>186</v>
      </c>
      <c r="B45" s="31" t="s">
        <v>167</v>
      </c>
      <c r="C45" s="4" t="s">
        <v>134</v>
      </c>
      <c r="D45" s="80">
        <v>1</v>
      </c>
      <c r="E45" s="4">
        <v>0.223</v>
      </c>
      <c r="F45" s="4">
        <v>0.29573529999999998</v>
      </c>
      <c r="G45" s="3">
        <f>IF(D45&lt;&gt;0, E45/D45, 0)</f>
        <v>0.223</v>
      </c>
      <c r="H45" s="3">
        <f>IF(D45&lt;&gt;0, F45/D45, 0)</f>
        <v>0.29573529999999998</v>
      </c>
      <c r="I45" s="3">
        <f>SUMIF(recipes!K:K,A45,recipes!R:R)</f>
        <v>0.49059999274224286</v>
      </c>
      <c r="J45" s="3">
        <f>SUMIF(recipes!K:K,A45,recipes!S:S)</f>
        <v>0</v>
      </c>
      <c r="K45" s="3">
        <f>SUMIF(recipes!K:K,A45,recipes!T:T)</f>
        <v>0</v>
      </c>
      <c r="L45" s="76">
        <f>COUNTIF(recipes!K:K,A45)</f>
        <v>1</v>
      </c>
      <c r="M45" s="3"/>
      <c r="N45" s="1"/>
    </row>
    <row r="46" spans="1:14" s="27" customFormat="1" x14ac:dyDescent="0.2">
      <c r="A46" s="17" t="s">
        <v>277</v>
      </c>
      <c r="B46" s="31" t="s">
        <v>167</v>
      </c>
      <c r="C46" s="4" t="s">
        <v>134</v>
      </c>
      <c r="D46" s="80">
        <v>1</v>
      </c>
      <c r="E46" s="4">
        <v>0.19900000000000001</v>
      </c>
      <c r="F46" s="4">
        <v>0.45</v>
      </c>
      <c r="G46" s="3">
        <f>IF(D46&lt;&gt;0, E46/D46, 0)</f>
        <v>0.19900000000000001</v>
      </c>
      <c r="H46" s="3">
        <f>IF(D46&lt;&gt;0, F46/D46, 0)</f>
        <v>0.45</v>
      </c>
      <c r="I46" s="3">
        <f>SUMIF(recipes!K:K,A46,recipes!R:R)</f>
        <v>0.77610000000000001</v>
      </c>
      <c r="J46" s="3">
        <f>SUMIF(recipes!K:K,A46,recipes!S:S)</f>
        <v>0</v>
      </c>
      <c r="K46" s="3">
        <f>SUMIF(recipes!K:K,A46,recipes!T:T)</f>
        <v>0</v>
      </c>
      <c r="L46" s="76">
        <f>COUNTIF(recipes!K:K,A46)</f>
        <v>1</v>
      </c>
      <c r="M46" s="3"/>
    </row>
    <row r="47" spans="1:14" x14ac:dyDescent="0.2">
      <c r="A47" s="17" t="s">
        <v>56</v>
      </c>
      <c r="B47" s="31"/>
      <c r="C47" s="4" t="s">
        <v>56</v>
      </c>
      <c r="D47" s="80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0</v>
      </c>
      <c r="L47" s="76">
        <f>COUNTIF(recipes!K:K,A47)</f>
        <v>4</v>
      </c>
      <c r="M47" s="3"/>
      <c r="N47" s="27"/>
    </row>
    <row r="48" spans="1:14" x14ac:dyDescent="0.2">
      <c r="A48" s="17" t="s">
        <v>126</v>
      </c>
      <c r="B48" s="31"/>
      <c r="C48" s="4" t="s">
        <v>126</v>
      </c>
      <c r="D48" s="80">
        <v>1</v>
      </c>
      <c r="E48" s="4">
        <v>1.0999999999999999E-2</v>
      </c>
      <c r="F48" s="4">
        <v>2.2180100000000001E-2</v>
      </c>
      <c r="G48" s="3">
        <f>IF(D48&lt;&gt;0, E48/D48, 0)</f>
        <v>1.0999999999999999E-2</v>
      </c>
      <c r="H48" s="3">
        <f>IF(D48&lt;&gt;0, F48/D48, 0)</f>
        <v>2.2180100000000001E-2</v>
      </c>
      <c r="I48" s="3">
        <f>SUMIF(recipes!K:K,A48,recipes!R:R)</f>
        <v>4.0944531523682826E-2</v>
      </c>
      <c r="J48" s="3">
        <f>SUMIF(recipes!K:K,A48,recipes!S:S)</f>
        <v>0</v>
      </c>
      <c r="K48" s="3">
        <f>SUMIF(recipes!K:K,A48,recipes!T:T)</f>
        <v>0</v>
      </c>
      <c r="L48" s="76">
        <f>COUNTIF(recipes!K:K,A48)</f>
        <v>2</v>
      </c>
      <c r="M48" s="3"/>
    </row>
    <row r="49" spans="1:14" x14ac:dyDescent="0.2">
      <c r="A49" s="17" t="s">
        <v>14</v>
      </c>
      <c r="B49" s="31"/>
      <c r="C49" s="4" t="s">
        <v>14</v>
      </c>
      <c r="D49" s="80">
        <v>1</v>
      </c>
      <c r="E49" s="4">
        <v>1.0999999999999999E-2</v>
      </c>
      <c r="F49" s="4">
        <v>2.2180100000000001E-2</v>
      </c>
      <c r="G49" s="3">
        <f>IF(D49&lt;&gt;0, E49/D49, 0)</f>
        <v>1.0999999999999999E-2</v>
      </c>
      <c r="H49" s="3">
        <f>IF(D49&lt;&gt;0, F49/D49, 0)</f>
        <v>2.2180100000000001E-2</v>
      </c>
      <c r="I49" s="3">
        <f>SUMIF(recipes!K:K,A49,recipes!R:R)</f>
        <v>2.688894607525439E-2</v>
      </c>
      <c r="J49" s="3">
        <f>SUMIF(recipes!K:K,A49,recipes!S:S)</f>
        <v>0</v>
      </c>
      <c r="K49" s="3">
        <f>SUMIF(recipes!K:K,A49,recipes!T:T)</f>
        <v>0</v>
      </c>
      <c r="L49" s="76">
        <f>COUNTIF(recipes!K:K,A49)</f>
        <v>3</v>
      </c>
      <c r="M49" s="3"/>
    </row>
    <row r="50" spans="1:14" x14ac:dyDescent="0.2">
      <c r="A50" s="17" t="s">
        <v>274</v>
      </c>
      <c r="B50" s="31"/>
      <c r="C50" s="4" t="s">
        <v>274</v>
      </c>
      <c r="D50" s="80">
        <v>1</v>
      </c>
      <c r="E50" s="4">
        <v>1.4E-2</v>
      </c>
      <c r="F50" s="4">
        <v>2.2180100000000001E-2</v>
      </c>
      <c r="G50" s="3">
        <f>IF(D50&lt;&gt;0, E50/D50, 0)</f>
        <v>1.4E-2</v>
      </c>
      <c r="H50" s="3">
        <f>IF(D50&lt;&gt;0, F50/D50, 0)</f>
        <v>2.2180100000000001E-2</v>
      </c>
      <c r="I50" s="3">
        <f>SUMIF(recipes!K:K,A50,recipes!R:R)</f>
        <v>7.4666825465169229E-2</v>
      </c>
      <c r="J50" s="3">
        <f>SUMIF(recipes!K:K,A50,recipes!S:S)</f>
        <v>0</v>
      </c>
      <c r="K50" s="3">
        <f>SUMIF(recipes!K:K,A50,recipes!T:T)</f>
        <v>0</v>
      </c>
      <c r="L50" s="76">
        <f>COUNTIF(recipes!K:K,A50)</f>
        <v>6</v>
      </c>
      <c r="M50" s="3"/>
    </row>
    <row r="51" spans="1:14" s="27" customFormat="1" x14ac:dyDescent="0.2">
      <c r="A51" s="17" t="s">
        <v>128</v>
      </c>
      <c r="B51" s="31" t="s">
        <v>167</v>
      </c>
      <c r="C51" s="4" t="s">
        <v>3</v>
      </c>
      <c r="D51" s="80">
        <v>2</v>
      </c>
      <c r="E51" s="3">
        <v>0.60299999999999998</v>
      </c>
      <c r="F51" s="3">
        <v>1.1499999999999999</v>
      </c>
      <c r="G51" s="3">
        <f>IF(D51&lt;&gt;0, E51/D51, 0)</f>
        <v>0.30149999999999999</v>
      </c>
      <c r="H51" s="3">
        <f>IF(D51&lt;&gt;0, F51/D51, 0)</f>
        <v>0.57499999999999996</v>
      </c>
      <c r="I51" s="3">
        <f>SUMIF(recipes!K:K,A51,recipes!R:R)</f>
        <v>5.6146471433119558</v>
      </c>
      <c r="J51" s="3">
        <f>SUMIF(recipes!K:K,A51,recipes!S:S)</f>
        <v>0</v>
      </c>
      <c r="K51" s="3">
        <f>SUMIF(recipes!K:K,A51,recipes!T:T)</f>
        <v>0</v>
      </c>
      <c r="L51" s="76">
        <f>COUNTIF(recipes!K:K,A51)</f>
        <v>4</v>
      </c>
      <c r="M51" s="3"/>
    </row>
    <row r="52" spans="1:14" s="27" customFormat="1" x14ac:dyDescent="0.2">
      <c r="A52" s="17" t="s">
        <v>326</v>
      </c>
      <c r="B52" s="31" t="s">
        <v>167</v>
      </c>
      <c r="C52" s="4" t="s">
        <v>131</v>
      </c>
      <c r="D52" s="80"/>
      <c r="E52" s="4"/>
      <c r="F52" s="4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4.25</v>
      </c>
      <c r="L52" s="76">
        <f>COUNTIF(recipes!K:K,A52)</f>
        <v>2</v>
      </c>
      <c r="M52" s="3"/>
    </row>
    <row r="53" spans="1:14" s="27" customFormat="1" x14ac:dyDescent="0.2">
      <c r="A53" s="17" t="s">
        <v>340</v>
      </c>
      <c r="B53" s="31" t="s">
        <v>167</v>
      </c>
      <c r="C53" s="4" t="s">
        <v>135</v>
      </c>
      <c r="D53" s="80">
        <v>1</v>
      </c>
      <c r="E53" s="3">
        <v>0.84399999999999997</v>
      </c>
      <c r="F53" s="3"/>
      <c r="G53" s="3">
        <f>IF(D53&lt;&gt;0, E53/D53, 0)</f>
        <v>0.84399999999999997</v>
      </c>
      <c r="H53" s="3">
        <f>IF(D53&lt;&gt;0, F53/D53, 0)</f>
        <v>0</v>
      </c>
      <c r="I53" s="3">
        <f>SUMIF(recipes!K:K,A53,recipes!R:R)</f>
        <v>6.5832000000000006</v>
      </c>
      <c r="J53" s="3">
        <f>SUMIF(recipes!K:K,A53,recipes!S:S)</f>
        <v>0</v>
      </c>
      <c r="K53" s="3">
        <f>SUMIF(recipes!K:K,A53,recipes!T:T)</f>
        <v>0</v>
      </c>
      <c r="L53" s="76">
        <f>COUNTIF(recipes!K:K,A53)</f>
        <v>1</v>
      </c>
      <c r="M53" s="3"/>
    </row>
    <row r="54" spans="1:14" x14ac:dyDescent="0.2">
      <c r="A54" s="17" t="s">
        <v>451</v>
      </c>
      <c r="B54" s="31"/>
      <c r="C54" s="4" t="s">
        <v>451</v>
      </c>
      <c r="D54" s="80"/>
      <c r="E54" s="4"/>
      <c r="F54" s="4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15.458675372910001</v>
      </c>
      <c r="K54" s="3">
        <f>SUMIF(recipes!K:K,A54,recipes!T:T)</f>
        <v>0</v>
      </c>
      <c r="L54" s="76">
        <f>COUNTIF(recipes!K:K,A54)</f>
        <v>1</v>
      </c>
      <c r="M54" s="3"/>
      <c r="N54" s="27"/>
    </row>
    <row r="55" spans="1:14" s="27" customFormat="1" x14ac:dyDescent="0.2">
      <c r="A55" s="17" t="s">
        <v>42</v>
      </c>
      <c r="B55" s="31"/>
      <c r="C55" s="4" t="s">
        <v>42</v>
      </c>
      <c r="D55" s="80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4.8056985539062499E-2</v>
      </c>
      <c r="K55" s="3">
        <f>SUMIF(recipes!K:K,A55,recipes!T:T)</f>
        <v>0</v>
      </c>
      <c r="L55" s="76">
        <f>COUNTIF(recipes!K:K,A55)</f>
        <v>1</v>
      </c>
      <c r="M55" s="3"/>
    </row>
    <row r="56" spans="1:14" s="27" customFormat="1" x14ac:dyDescent="0.2">
      <c r="A56" s="17" t="s">
        <v>52</v>
      </c>
      <c r="B56" s="31"/>
      <c r="C56" s="4" t="s">
        <v>52</v>
      </c>
      <c r="D56" s="80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5.9147059124999998E-2</v>
      </c>
      <c r="K56" s="3">
        <f>SUMIF(recipes!K:K,A56,recipes!T:T)</f>
        <v>0</v>
      </c>
      <c r="L56" s="76">
        <f>COUNTIF(recipes!K:K,A56)</f>
        <v>1</v>
      </c>
      <c r="M56" s="3"/>
    </row>
    <row r="57" spans="1:14" s="27" customFormat="1" x14ac:dyDescent="0.2">
      <c r="A57" s="17" t="s">
        <v>32</v>
      </c>
      <c r="B57" s="31"/>
      <c r="C57" s="4" t="s">
        <v>32</v>
      </c>
      <c r="D57" s="80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0.58407720885937497</v>
      </c>
      <c r="K57" s="3">
        <f>SUMIF(recipes!K:K,A57,recipes!T:T)</f>
        <v>0</v>
      </c>
      <c r="L57" s="76">
        <f>COUNTIF(recipes!K:K,A57)</f>
        <v>7</v>
      </c>
      <c r="M57" s="3"/>
    </row>
    <row r="58" spans="1:14" x14ac:dyDescent="0.2">
      <c r="A58" s="17" t="s">
        <v>460</v>
      </c>
      <c r="B58" s="31"/>
      <c r="C58" s="4" t="s">
        <v>460</v>
      </c>
      <c r="D58" s="80"/>
      <c r="E58" s="4"/>
      <c r="F58" s="4"/>
      <c r="G58" s="3">
        <f>IF(D58&lt;&gt;0, E58/D58, 0)</f>
        <v>0</v>
      </c>
      <c r="H58" s="3">
        <f>IF(D58&lt;&gt;0, F58/D58, 0)</f>
        <v>0</v>
      </c>
      <c r="I58" s="3">
        <f>SUMIF(recipes!K:K,A58,recipes!R:R)</f>
        <v>0.97499999999999998</v>
      </c>
      <c r="J58" s="3">
        <f>SUMIF(recipes!K:K,A58,recipes!S:S)</f>
        <v>0</v>
      </c>
      <c r="K58" s="3">
        <f>SUMIF(recipes!K:K,A58,recipes!T:T)</f>
        <v>0</v>
      </c>
      <c r="L58" s="76">
        <f>COUNTIF(recipes!K:K,A58)</f>
        <v>1</v>
      </c>
      <c r="M58" s="3"/>
    </row>
    <row r="59" spans="1:14" s="27" customFormat="1" x14ac:dyDescent="0.2">
      <c r="A59" s="17" t="s">
        <v>53</v>
      </c>
      <c r="B59" s="31"/>
      <c r="C59" s="4" t="s">
        <v>53</v>
      </c>
      <c r="D59" s="80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5.9147059124999998E-2</v>
      </c>
      <c r="K59" s="3">
        <f>SUMIF(recipes!K:K,A59,recipes!T:T)</f>
        <v>0</v>
      </c>
      <c r="L59" s="76">
        <f>COUNTIF(recipes!K:K,A59)</f>
        <v>1</v>
      </c>
      <c r="M59" s="3"/>
    </row>
    <row r="60" spans="1:14" s="27" customFormat="1" x14ac:dyDescent="0.2">
      <c r="A60" s="17" t="s">
        <v>6</v>
      </c>
      <c r="B60" s="31" t="s">
        <v>167</v>
      </c>
      <c r="C60" s="4" t="s">
        <v>45</v>
      </c>
      <c r="D60" s="80">
        <v>2</v>
      </c>
      <c r="E60" s="3">
        <v>0.37</v>
      </c>
      <c r="F60" s="3">
        <v>0.6</v>
      </c>
      <c r="G60" s="3">
        <f>IF(D60&lt;&gt;0, E60/D60, 0)</f>
        <v>0.185</v>
      </c>
      <c r="H60" s="3">
        <f>IF(D60&lt;&gt;0, F60/D60, 0)</f>
        <v>0.3</v>
      </c>
      <c r="I60" s="3">
        <f>SUMIF(recipes!K:K,A60,recipes!R:R)</f>
        <v>1.665</v>
      </c>
      <c r="J60" s="3">
        <f>SUMIF(recipes!K:K,A60,recipes!S:S)</f>
        <v>0</v>
      </c>
      <c r="K60" s="3">
        <f>SUMIF(recipes!K:K,A60,recipes!T:T)</f>
        <v>0</v>
      </c>
      <c r="L60" s="76">
        <f>COUNTIF(recipes!K:K,A60)</f>
        <v>4</v>
      </c>
      <c r="M60" s="3"/>
    </row>
    <row r="61" spans="1:14" s="27" customFormat="1" x14ac:dyDescent="0.2">
      <c r="A61" s="17" t="s">
        <v>363</v>
      </c>
      <c r="B61" s="31" t="s">
        <v>167</v>
      </c>
      <c r="C61" s="4" t="s">
        <v>359</v>
      </c>
      <c r="D61" s="80"/>
      <c r="E61" s="4"/>
      <c r="F61" s="4"/>
      <c r="G61" s="3">
        <f>IF(D61&lt;&gt;0, E61/D61, 0)</f>
        <v>0</v>
      </c>
      <c r="H61" s="3">
        <f>IF(D61&lt;&gt;0, F61/D61, 0)</f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18</v>
      </c>
      <c r="L61" s="76">
        <f>COUNTIF(recipes!K:K,A61)</f>
        <v>1</v>
      </c>
      <c r="M61" s="3"/>
    </row>
    <row r="62" spans="1:14" s="27" customFormat="1" x14ac:dyDescent="0.2">
      <c r="A62" s="17" t="s">
        <v>443</v>
      </c>
      <c r="B62" s="31"/>
      <c r="C62" s="4" t="s">
        <v>443</v>
      </c>
      <c r="D62" s="80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</v>
      </c>
      <c r="L62" s="76">
        <f>COUNTIF(recipes!K:K,A62)</f>
        <v>1</v>
      </c>
      <c r="M62" s="3"/>
    </row>
    <row r="63" spans="1:14" s="27" customFormat="1" x14ac:dyDescent="0.2">
      <c r="A63" s="17" t="s">
        <v>77</v>
      </c>
      <c r="B63" s="31"/>
      <c r="C63" s="4" t="s">
        <v>77</v>
      </c>
      <c r="D63" s="80">
        <v>1</v>
      </c>
      <c r="E63" s="4">
        <v>1.2E-2</v>
      </c>
      <c r="F63" s="4">
        <v>2.2180100000000001E-2</v>
      </c>
      <c r="G63" s="3">
        <f>IF(D63&lt;&gt;0, E63/D63, 0)</f>
        <v>1.2E-2</v>
      </c>
      <c r="H63" s="3">
        <f>IF(D63&lt;&gt;0, F63/D63, 0)</f>
        <v>2.2180100000000001E-2</v>
      </c>
      <c r="I63" s="3">
        <f>SUMIF(recipes!K:K,A63,recipes!R:R)</f>
        <v>8.6666850986357128E-3</v>
      </c>
      <c r="J63" s="3">
        <f>SUMIF(recipes!K:K,A63,recipes!S:S)</f>
        <v>0</v>
      </c>
      <c r="K63" s="3">
        <f>SUMIF(recipes!K:K,A63,recipes!T:T)</f>
        <v>0</v>
      </c>
      <c r="L63" s="76">
        <f>COUNTIF(recipes!K:K,A63)</f>
        <v>1</v>
      </c>
      <c r="M63" s="3"/>
    </row>
    <row r="64" spans="1:14" x14ac:dyDescent="0.2">
      <c r="A64" s="17" t="s">
        <v>82</v>
      </c>
      <c r="B64" s="31"/>
      <c r="C64" s="4" t="s">
        <v>82</v>
      </c>
      <c r="D64" s="80"/>
      <c r="E64" s="4"/>
      <c r="F64" s="4"/>
      <c r="G64" s="3">
        <f>IF(D64&lt;&gt;0, E64/D64, 0)</f>
        <v>0</v>
      </c>
      <c r="H64" s="3">
        <f>IF(D64&lt;&gt;0, F64/D64, 0)</f>
        <v>0</v>
      </c>
      <c r="I64" s="3">
        <f>SUMIF(recipes!K:K,A64,recipes!R:R)</f>
        <v>0</v>
      </c>
      <c r="J64" s="3">
        <f>SUMIF(recipes!K:K,A64,recipes!S:S)</f>
        <v>0.70976470949999992</v>
      </c>
      <c r="K64" s="3">
        <f>SUMIF(recipes!K:K,A64,recipes!T:T)</f>
        <v>0</v>
      </c>
      <c r="L64" s="76">
        <f>COUNTIF(recipes!K:K,A64)</f>
        <v>2</v>
      </c>
      <c r="M64" s="3"/>
    </row>
    <row r="65" spans="1:14" x14ac:dyDescent="0.2">
      <c r="A65" s="17" t="s">
        <v>92</v>
      </c>
      <c r="B65" s="31"/>
      <c r="C65" s="4" t="s">
        <v>92</v>
      </c>
      <c r="D65" s="80"/>
      <c r="E65" s="4"/>
      <c r="F65" s="4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0.23658823649999999</v>
      </c>
      <c r="K65" s="3">
        <f>SUMIF(recipes!K:K,A65,recipes!T:T)</f>
        <v>0</v>
      </c>
      <c r="L65" s="76">
        <f>COUNTIF(recipes!K:K,A65)</f>
        <v>1</v>
      </c>
      <c r="M65" s="3"/>
    </row>
    <row r="66" spans="1:14" x14ac:dyDescent="0.2">
      <c r="A66" s="17" t="s">
        <v>362</v>
      </c>
      <c r="B66" s="31" t="s">
        <v>167</v>
      </c>
      <c r="C66" s="4" t="s">
        <v>358</v>
      </c>
      <c r="D66" s="80"/>
      <c r="E66" s="4"/>
      <c r="F66" s="4"/>
      <c r="G66" s="3">
        <f>IF(D66&lt;&gt;0, E66/D66, 0)</f>
        <v>0</v>
      </c>
      <c r="H66" s="3">
        <f>IF(D66&lt;&gt;0, F66/D66, 0)</f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18</v>
      </c>
      <c r="L66" s="76">
        <f>COUNTIF(recipes!K:K,A66)</f>
        <v>1</v>
      </c>
      <c r="M66" s="3"/>
    </row>
    <row r="67" spans="1:14" x14ac:dyDescent="0.2">
      <c r="A67" s="17" t="s">
        <v>4</v>
      </c>
      <c r="B67" s="31" t="s">
        <v>167</v>
      </c>
      <c r="C67" s="4" t="s">
        <v>46</v>
      </c>
      <c r="D67" s="80">
        <v>4</v>
      </c>
      <c r="E67" s="3">
        <v>0.9</v>
      </c>
      <c r="F67" s="3">
        <v>1.35</v>
      </c>
      <c r="G67" s="3">
        <f>IF(D67&lt;&gt;0, E67/D67, 0)</f>
        <v>0.22500000000000001</v>
      </c>
      <c r="H67" s="3">
        <f>IF(D67&lt;&gt;0, F67/D67, 0)</f>
        <v>0.33750000000000002</v>
      </c>
      <c r="I67" s="3">
        <f>SUMIF(recipes!K:K,A67,recipes!R:R)</f>
        <v>5.0937255012499998</v>
      </c>
      <c r="J67" s="3">
        <f>SUMIF(recipes!K:K,A67,recipes!S:S)</f>
        <v>0</v>
      </c>
      <c r="K67" s="3">
        <f>SUMIF(recipes!K:K,A67,recipes!T:T)</f>
        <v>0</v>
      </c>
      <c r="L67" s="76">
        <f>COUNTIF(recipes!K:K,A67)</f>
        <v>3</v>
      </c>
      <c r="M67" s="3"/>
    </row>
    <row r="68" spans="1:14" s="27" customFormat="1" x14ac:dyDescent="0.2">
      <c r="A68" s="17" t="s">
        <v>330</v>
      </c>
      <c r="B68" s="31" t="s">
        <v>167</v>
      </c>
      <c r="C68" s="4" t="s">
        <v>331</v>
      </c>
      <c r="D68" s="80">
        <v>2</v>
      </c>
      <c r="E68" s="3">
        <v>0.377</v>
      </c>
      <c r="F68" s="3">
        <v>0.5</v>
      </c>
      <c r="G68" s="3">
        <f>IF(D68&lt;&gt;0, E68/D68, 0)</f>
        <v>0.1885</v>
      </c>
      <c r="H68" s="3">
        <f>IF(D68&lt;&gt;0, F68/D68, 0)</f>
        <v>0.25</v>
      </c>
      <c r="I68" s="3">
        <f>SUMIF(recipes!K:K,A68,recipes!R:R)</f>
        <v>1.1595189470864999</v>
      </c>
      <c r="J68" s="3">
        <f>SUMIF(recipes!K:K,A68,recipes!S:S)</f>
        <v>0</v>
      </c>
      <c r="K68" s="3">
        <f>SUMIF(recipes!K:K,A68,recipes!T:T)</f>
        <v>0</v>
      </c>
      <c r="L68" s="76">
        <f>COUNTIF(recipes!K:K,A68)</f>
        <v>1</v>
      </c>
      <c r="M68" s="3"/>
    </row>
    <row r="69" spans="1:14" x14ac:dyDescent="0.2">
      <c r="A69" s="17" t="s">
        <v>452</v>
      </c>
      <c r="B69" s="31"/>
      <c r="C69" s="4" t="s">
        <v>452</v>
      </c>
      <c r="D69" s="80"/>
      <c r="E69" s="4"/>
      <c r="F69" s="4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7.3342353314999995</v>
      </c>
      <c r="K69" s="3">
        <f>SUMIF(recipes!K:K,A69,recipes!T:T)</f>
        <v>0</v>
      </c>
      <c r="L69" s="76">
        <f>COUNTIF(recipes!K:K,A69)</f>
        <v>1</v>
      </c>
      <c r="M69" s="3"/>
    </row>
    <row r="70" spans="1:14" x14ac:dyDescent="0.2">
      <c r="A70" s="17" t="s">
        <v>453</v>
      </c>
      <c r="B70" s="31"/>
      <c r="C70" s="4" t="s">
        <v>453</v>
      </c>
      <c r="D70" s="80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3.3122353109999998</v>
      </c>
      <c r="K70" s="3">
        <f>SUMIF(recipes!K:K,A70,recipes!T:T)</f>
        <v>0</v>
      </c>
      <c r="L70" s="76">
        <f>COUNTIF(recipes!K:K,A70)</f>
        <v>1</v>
      </c>
      <c r="M70" s="3"/>
    </row>
    <row r="71" spans="1:14" s="27" customFormat="1" x14ac:dyDescent="0.2">
      <c r="A71" s="17" t="s">
        <v>11</v>
      </c>
      <c r="B71" s="31"/>
      <c r="C71" s="4" t="s">
        <v>11</v>
      </c>
      <c r="D71" s="80">
        <v>1</v>
      </c>
      <c r="E71" s="4">
        <v>2.5000000000000001E-2</v>
      </c>
      <c r="F71" s="4">
        <v>2.2180100000000001E-2</v>
      </c>
      <c r="G71" s="3">
        <f>IF(D71&lt;&gt;0, E71/D71, 0)</f>
        <v>2.5000000000000001E-2</v>
      </c>
      <c r="H71" s="3">
        <f>IF(D71&lt;&gt;0, F71/D71, 0)</f>
        <v>2.2180100000000001E-2</v>
      </c>
      <c r="I71" s="3">
        <f>SUMIF(recipes!K:K,A71,recipes!R:R)</f>
        <v>6.3889024765583793E-2</v>
      </c>
      <c r="J71" s="3">
        <f>SUMIF(recipes!K:K,A71,recipes!S:S)</f>
        <v>0</v>
      </c>
      <c r="K71" s="3">
        <f>SUMIF(recipes!K:K,A71,recipes!T:T)</f>
        <v>0</v>
      </c>
      <c r="L71" s="76">
        <f>COUNTIF(recipes!K:K,A71)</f>
        <v>10</v>
      </c>
      <c r="M71" s="3"/>
      <c r="N71" s="1"/>
    </row>
    <row r="72" spans="1:14" x14ac:dyDescent="0.2">
      <c r="A72" s="17" t="s">
        <v>142</v>
      </c>
      <c r="B72" s="31"/>
      <c r="C72" s="4" t="s">
        <v>142</v>
      </c>
      <c r="D72" s="80"/>
      <c r="E72" s="4"/>
      <c r="F72" s="4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9.2417279882812495E-2</v>
      </c>
      <c r="K72" s="3">
        <f>SUMIF(recipes!K:K,A72,recipes!T:T)</f>
        <v>0</v>
      </c>
      <c r="L72" s="76">
        <f>COUNTIF(recipes!K:K,A72)</f>
        <v>1</v>
      </c>
      <c r="M72" s="3"/>
      <c r="N72" s="27"/>
    </row>
    <row r="73" spans="1:14" x14ac:dyDescent="0.2">
      <c r="A73" s="17" t="s">
        <v>156</v>
      </c>
      <c r="B73" s="31" t="s">
        <v>167</v>
      </c>
      <c r="C73" s="4" t="s">
        <v>435</v>
      </c>
      <c r="D73" s="80">
        <v>5</v>
      </c>
      <c r="E73" s="4">
        <v>0.16800000000000001</v>
      </c>
      <c r="F73" s="4">
        <v>1.3</v>
      </c>
      <c r="G73" s="3">
        <f>IF(D73&lt;&gt;0, E73/D73, 0)</f>
        <v>3.3600000000000005E-2</v>
      </c>
      <c r="H73" s="3">
        <f>IF(D73&lt;&gt;0, F73/D73, 0)</f>
        <v>0.26</v>
      </c>
      <c r="I73" s="3">
        <f>SUMIF(recipes!K:K,A73,recipes!R:R)</f>
        <v>0.23520000000000002</v>
      </c>
      <c r="J73" s="3">
        <f>SUMIF(recipes!K:K,A73,recipes!S:S)</f>
        <v>0</v>
      </c>
      <c r="K73" s="3">
        <f>SUMIF(recipes!K:K,A73,recipes!T:T)</f>
        <v>0</v>
      </c>
      <c r="L73" s="76">
        <f>COUNTIF(recipes!K:K,A73)</f>
        <v>1</v>
      </c>
      <c r="M73" s="3"/>
    </row>
    <row r="74" spans="1:14" s="27" customFormat="1" x14ac:dyDescent="0.2">
      <c r="A74" s="17" t="s">
        <v>84</v>
      </c>
      <c r="B74" s="31" t="s">
        <v>167</v>
      </c>
      <c r="C74" s="4" t="s">
        <v>435</v>
      </c>
      <c r="D74" s="80">
        <v>5</v>
      </c>
      <c r="E74" s="4">
        <v>0.155</v>
      </c>
      <c r="F74" s="4">
        <v>1</v>
      </c>
      <c r="G74" s="3">
        <f>IF(D74&lt;&gt;0, E74/D74, 0)</f>
        <v>3.1E-2</v>
      </c>
      <c r="H74" s="3">
        <f>IF(D74&lt;&gt;0, F74/D74, 0)</f>
        <v>0.2</v>
      </c>
      <c r="I74" s="3">
        <f>SUMIF(recipes!K:K,A74,recipes!R:R)</f>
        <v>1.085</v>
      </c>
      <c r="J74" s="3">
        <f>SUMIF(recipes!K:K,A74,recipes!S:S)</f>
        <v>0</v>
      </c>
      <c r="K74" s="3">
        <f>SUMIF(recipes!K:K,A74,recipes!T:T)</f>
        <v>0</v>
      </c>
      <c r="L74" s="76">
        <f>COUNTIF(recipes!K:K,A74)</f>
        <v>2</v>
      </c>
      <c r="M74" s="3"/>
      <c r="N74" s="1"/>
    </row>
    <row r="75" spans="1:14" s="27" customFormat="1" x14ac:dyDescent="0.2">
      <c r="A75" s="17" t="s">
        <v>456</v>
      </c>
      <c r="B75" s="31"/>
      <c r="C75" s="4" t="s">
        <v>456</v>
      </c>
      <c r="D75" s="80"/>
      <c r="E75" s="4"/>
      <c r="F75" s="4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65</v>
      </c>
      <c r="L75" s="76">
        <f>COUNTIF(recipes!K:K,A75)</f>
        <v>1</v>
      </c>
      <c r="M75" s="3"/>
    </row>
    <row r="76" spans="1:14" x14ac:dyDescent="0.2">
      <c r="A76" s="17" t="s">
        <v>455</v>
      </c>
      <c r="B76" s="31"/>
      <c r="C76" s="4" t="s">
        <v>455</v>
      </c>
      <c r="D76" s="80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140</v>
      </c>
      <c r="L76" s="76">
        <f>COUNTIF(recipes!K:K,A76)</f>
        <v>1</v>
      </c>
      <c r="M76" s="3"/>
      <c r="N76" s="27"/>
    </row>
    <row r="77" spans="1:14" s="27" customFormat="1" x14ac:dyDescent="0.2">
      <c r="A77" s="17" t="s">
        <v>91</v>
      </c>
      <c r="B77" s="31"/>
      <c r="C77" s="4" t="s">
        <v>91</v>
      </c>
      <c r="D77" s="80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5.9147059124999998E-2</v>
      </c>
      <c r="K77" s="3">
        <f>SUMIF(recipes!K:K,A77,recipes!T:T)</f>
        <v>0</v>
      </c>
      <c r="L77" s="76">
        <f>COUNTIF(recipes!K:K,A77)</f>
        <v>1</v>
      </c>
      <c r="M77" s="3"/>
    </row>
    <row r="78" spans="1:14" s="27" customFormat="1" x14ac:dyDescent="0.2">
      <c r="A78" s="17" t="s">
        <v>256</v>
      </c>
      <c r="B78" s="31"/>
      <c r="C78" s="4" t="s">
        <v>256</v>
      </c>
      <c r="D78" s="80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10.622811818850002</v>
      </c>
      <c r="K78" s="3">
        <f>SUMIF(recipes!K:K,A78,recipes!T:T)</f>
        <v>0</v>
      </c>
      <c r="L78" s="76">
        <f>COUNTIF(recipes!K:K,A78)</f>
        <v>2</v>
      </c>
      <c r="M78" s="3"/>
      <c r="N78" s="1"/>
    </row>
    <row r="79" spans="1:14" s="27" customFormat="1" x14ac:dyDescent="0.2">
      <c r="A79" s="17" t="s">
        <v>335</v>
      </c>
      <c r="B79" s="31" t="s">
        <v>167</v>
      </c>
      <c r="C79" s="4" t="s">
        <v>334</v>
      </c>
      <c r="D79" s="80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1.53782353725</v>
      </c>
      <c r="K79" s="3">
        <f>SUMIF(recipes!K:K,A79,recipes!T:T)</f>
        <v>0</v>
      </c>
      <c r="L79" s="76">
        <f>COUNTIF(recipes!K:K,A79)</f>
        <v>1</v>
      </c>
      <c r="M79" s="3"/>
    </row>
    <row r="80" spans="1:14" s="27" customFormat="1" x14ac:dyDescent="0.2">
      <c r="A80" s="17" t="s">
        <v>280</v>
      </c>
      <c r="B80" s="31"/>
      <c r="C80" s="4" t="s">
        <v>280</v>
      </c>
      <c r="D80" s="80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0</v>
      </c>
      <c r="L80" s="76">
        <f>COUNTIF(recipes!K:K,A80)</f>
        <v>1</v>
      </c>
      <c r="M80" s="3"/>
    </row>
    <row r="81" spans="1:14" s="27" customFormat="1" x14ac:dyDescent="0.2">
      <c r="A81" s="17" t="s">
        <v>255</v>
      </c>
      <c r="B81" s="31"/>
      <c r="C81" s="4" t="s">
        <v>255</v>
      </c>
      <c r="D81" s="80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2.9573529562499999E-2</v>
      </c>
      <c r="K81" s="3">
        <f>SUMIF(recipes!K:K,A81,recipes!T:T)</f>
        <v>0</v>
      </c>
      <c r="L81" s="76">
        <f>COUNTIF(recipes!K:K,A81)</f>
        <v>1</v>
      </c>
      <c r="M81" s="3"/>
    </row>
    <row r="82" spans="1:14" s="27" customFormat="1" x14ac:dyDescent="0.2">
      <c r="A82" s="17" t="s">
        <v>140</v>
      </c>
      <c r="B82" s="31"/>
      <c r="C82" s="4" t="s">
        <v>140</v>
      </c>
      <c r="D82" s="80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4.4360294343749995E-2</v>
      </c>
      <c r="K82" s="3">
        <f>SUMIF(recipes!K:K,A82,recipes!T:T)</f>
        <v>0</v>
      </c>
      <c r="L82" s="76">
        <f>COUNTIF(recipes!K:K,A82)</f>
        <v>1</v>
      </c>
      <c r="M82" s="3"/>
    </row>
    <row r="83" spans="1:14" s="27" customFormat="1" x14ac:dyDescent="0.2">
      <c r="A83" s="17" t="s">
        <v>143</v>
      </c>
      <c r="B83" s="31"/>
      <c r="C83" s="4" t="s">
        <v>143</v>
      </c>
      <c r="D83" s="80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6">
        <f>COUNTIF(recipes!K:K,A83)</f>
        <v>2</v>
      </c>
      <c r="M83" s="3"/>
    </row>
    <row r="84" spans="1:14" s="27" customFormat="1" x14ac:dyDescent="0.2">
      <c r="A84" s="17" t="s">
        <v>377</v>
      </c>
      <c r="B84" s="31"/>
      <c r="C84" s="4" t="s">
        <v>377</v>
      </c>
      <c r="D84" s="80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3.75</v>
      </c>
      <c r="L84" s="76">
        <f>COUNTIF(recipes!K:K,A84)</f>
        <v>1</v>
      </c>
      <c r="M84" s="3"/>
    </row>
    <row r="85" spans="1:14" s="27" customFormat="1" x14ac:dyDescent="0.2">
      <c r="A85" s="17" t="s">
        <v>378</v>
      </c>
      <c r="B85" s="31"/>
      <c r="C85" s="4" t="s">
        <v>378</v>
      </c>
      <c r="D85" s="80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2</v>
      </c>
      <c r="L85" s="76">
        <f>COUNTIF(recipes!K:K,A85)</f>
        <v>1</v>
      </c>
      <c r="M85" s="3"/>
    </row>
    <row r="86" spans="1:14" s="27" customFormat="1" x14ac:dyDescent="0.2">
      <c r="A86" s="17" t="s">
        <v>379</v>
      </c>
      <c r="B86" s="31"/>
      <c r="C86" s="4" t="s">
        <v>379</v>
      </c>
      <c r="D86" s="80"/>
      <c r="E86" s="4"/>
      <c r="F86" s="4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4</v>
      </c>
      <c r="L86" s="76">
        <f>COUNTIF(recipes!K:K,A86)</f>
        <v>1</v>
      </c>
      <c r="M86" s="3"/>
    </row>
    <row r="87" spans="1:14" x14ac:dyDescent="0.2">
      <c r="A87" s="17" t="s">
        <v>380</v>
      </c>
      <c r="B87" s="31"/>
      <c r="C87" s="4" t="s">
        <v>380</v>
      </c>
      <c r="D87" s="80"/>
      <c r="E87" s="4"/>
      <c r="F87" s="4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4.5</v>
      </c>
      <c r="L87" s="76">
        <f>COUNTIF(recipes!K:K,A87)</f>
        <v>2</v>
      </c>
      <c r="M87" s="3"/>
      <c r="N87" s="27"/>
    </row>
    <row r="88" spans="1:14" s="27" customFormat="1" x14ac:dyDescent="0.2">
      <c r="A88" s="17" t="s">
        <v>381</v>
      </c>
      <c r="B88" s="31"/>
      <c r="C88" s="4" t="s">
        <v>381</v>
      </c>
      <c r="D88" s="80"/>
      <c r="E88" s="4"/>
      <c r="F88" s="4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4.75</v>
      </c>
      <c r="L88" s="76">
        <f>COUNTIF(recipes!K:K,A88)</f>
        <v>4</v>
      </c>
      <c r="M88" s="3"/>
      <c r="N88" s="1"/>
    </row>
    <row r="89" spans="1:14" x14ac:dyDescent="0.2">
      <c r="A89" s="17" t="s">
        <v>382</v>
      </c>
      <c r="B89" s="31"/>
      <c r="C89" s="4" t="s">
        <v>382</v>
      </c>
      <c r="D89" s="80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2.0701470693749999</v>
      </c>
      <c r="K89" s="3">
        <f>SUMIF(recipes!K:K,A89,recipes!T:T)</f>
        <v>0</v>
      </c>
      <c r="L89" s="76">
        <f>COUNTIF(recipes!K:K,A89)</f>
        <v>2</v>
      </c>
      <c r="M89" s="3"/>
      <c r="N89" s="27"/>
    </row>
    <row r="90" spans="1:14" x14ac:dyDescent="0.2">
      <c r="A90" s="17" t="s">
        <v>383</v>
      </c>
      <c r="B90" s="31"/>
      <c r="C90" s="4" t="s">
        <v>383</v>
      </c>
      <c r="D90" s="80"/>
      <c r="E90" s="4"/>
      <c r="F90" s="4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0</v>
      </c>
      <c r="K90" s="3">
        <f>SUMIF(recipes!K:K,A90,recipes!T:T)</f>
        <v>2</v>
      </c>
      <c r="L90" s="76">
        <f>COUNTIF(recipes!K:K,A90)</f>
        <v>1</v>
      </c>
      <c r="M90" s="3"/>
    </row>
    <row r="91" spans="1:14" s="27" customFormat="1" x14ac:dyDescent="0.2">
      <c r="A91" s="17" t="s">
        <v>542</v>
      </c>
      <c r="B91" s="31"/>
      <c r="C91" s="4" t="s">
        <v>542</v>
      </c>
      <c r="D91" s="80"/>
      <c r="E91" s="4"/>
      <c r="F91" s="4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22.5</v>
      </c>
      <c r="L91" s="76">
        <f>COUNTIF(recipes!K:K,A91)</f>
        <v>1</v>
      </c>
      <c r="M91" s="3"/>
    </row>
    <row r="92" spans="1:14" x14ac:dyDescent="0.2">
      <c r="A92" s="17" t="s">
        <v>384</v>
      </c>
      <c r="B92" s="31"/>
      <c r="C92" s="4" t="s">
        <v>384</v>
      </c>
      <c r="D92" s="80"/>
      <c r="E92" s="4"/>
      <c r="F92" s="4"/>
      <c r="G92" s="3">
        <f>IF(D92&lt;&gt;0, E92/D92, 0)</f>
        <v>0</v>
      </c>
      <c r="H92" s="3">
        <f>IF(D92&lt;&gt;0, F92/D92, 0)</f>
        <v>0</v>
      </c>
      <c r="I92" s="3">
        <f>SUMIF(recipes!K:K,A92,recipes!R:R)</f>
        <v>0</v>
      </c>
      <c r="J92" s="3">
        <f>SUMIF(recipes!K:K,A92,recipes!S:S)</f>
        <v>0.94635294599999997</v>
      </c>
      <c r="K92" s="3">
        <f>SUMIF(recipes!K:K,A92,recipes!T:T)</f>
        <v>0</v>
      </c>
      <c r="L92" s="76">
        <f>COUNTIF(recipes!K:K,A92)</f>
        <v>1</v>
      </c>
      <c r="M92" s="3"/>
    </row>
    <row r="93" spans="1:14" x14ac:dyDescent="0.2">
      <c r="A93" s="17" t="s">
        <v>231</v>
      </c>
      <c r="B93" s="31" t="s">
        <v>167</v>
      </c>
      <c r="C93" s="4" t="s">
        <v>43</v>
      </c>
      <c r="D93" s="80">
        <v>1</v>
      </c>
      <c r="E93" s="4">
        <v>0.311</v>
      </c>
      <c r="F93" s="4">
        <v>0.5</v>
      </c>
      <c r="G93" s="3">
        <f>IF(D93&lt;&gt;0, E93/D93, 0)</f>
        <v>0.311</v>
      </c>
      <c r="H93" s="3">
        <f>IF(D93&lt;&gt;0, F93/D93, 0)</f>
        <v>0.5</v>
      </c>
      <c r="I93" s="3">
        <f>SUMIF(recipes!K:K,A93,recipes!R:R)</f>
        <v>4.1985000000000001</v>
      </c>
      <c r="J93" s="3">
        <f>SUMIF(recipes!K:K,A93,recipes!S:S)</f>
        <v>0</v>
      </c>
      <c r="K93" s="3">
        <f>SUMIF(recipes!K:K,A93,recipes!T:T)</f>
        <v>0</v>
      </c>
      <c r="L93" s="76">
        <f>COUNTIF(recipes!K:K,A93)</f>
        <v>3</v>
      </c>
      <c r="M93" s="3"/>
    </row>
    <row r="94" spans="1:14" x14ac:dyDescent="0.2">
      <c r="A94" s="17" t="s">
        <v>232</v>
      </c>
      <c r="B94" s="31" t="s">
        <v>167</v>
      </c>
      <c r="C94" s="4" t="s">
        <v>43</v>
      </c>
      <c r="D94" s="80">
        <v>1</v>
      </c>
      <c r="E94" s="4">
        <v>0.315</v>
      </c>
      <c r="F94" s="4">
        <v>0.55000000000000004</v>
      </c>
      <c r="G94" s="3">
        <f>IF(D94&lt;&gt;0, E94/D94, 0)</f>
        <v>0.315</v>
      </c>
      <c r="H94" s="3">
        <f>IF(D94&lt;&gt;0, F94/D94, 0)</f>
        <v>0.55000000000000004</v>
      </c>
      <c r="I94" s="3">
        <f>SUMIF(recipes!K:K,A94,recipes!R:R)</f>
        <v>0.63</v>
      </c>
      <c r="J94" s="3">
        <f>SUMIF(recipes!K:K,A94,recipes!S:S)</f>
        <v>0</v>
      </c>
      <c r="K94" s="3">
        <f>SUMIF(recipes!K:K,A94,recipes!T:T)</f>
        <v>0</v>
      </c>
      <c r="L94" s="76">
        <f>COUNTIF(recipes!K:K,A94)</f>
        <v>1</v>
      </c>
      <c r="M94" s="3"/>
    </row>
    <row r="95" spans="1:14" x14ac:dyDescent="0.2">
      <c r="A95" s="17" t="s">
        <v>273</v>
      </c>
      <c r="B95" s="31" t="s">
        <v>167</v>
      </c>
      <c r="C95" s="4" t="s">
        <v>49</v>
      </c>
      <c r="D95" s="80">
        <v>4</v>
      </c>
      <c r="E95" s="3">
        <v>0.53</v>
      </c>
      <c r="F95" s="3"/>
      <c r="G95" s="3">
        <f>IF(D95&lt;&gt;0, E95/D95, 0)</f>
        <v>0.13250000000000001</v>
      </c>
      <c r="H95" s="3">
        <f>IF(D95&lt;&gt;0, F95/D95, 0)</f>
        <v>0</v>
      </c>
      <c r="I95" s="3">
        <f>SUMIF(recipes!K:K,A95,recipes!R:R)</f>
        <v>4.1340000000000003</v>
      </c>
      <c r="J95" s="3">
        <f>SUMIF(recipes!K:K,A95,recipes!S:S)</f>
        <v>0</v>
      </c>
      <c r="K95" s="3">
        <f>SUMIF(recipes!K:K,A95,recipes!T:T)</f>
        <v>0</v>
      </c>
      <c r="L95" s="76">
        <f>COUNTIF(recipes!K:K,A95)</f>
        <v>1</v>
      </c>
      <c r="M95" s="3"/>
    </row>
    <row r="96" spans="1:14" x14ac:dyDescent="0.2">
      <c r="A96" s="17" t="s">
        <v>41</v>
      </c>
      <c r="B96" s="31"/>
      <c r="C96" s="4" t="s">
        <v>41</v>
      </c>
      <c r="D96" s="80"/>
      <c r="E96" s="4"/>
      <c r="F96" s="4"/>
      <c r="G96" s="3">
        <f>IF(D96&lt;&gt;0, E96/D96, 0)</f>
        <v>0</v>
      </c>
      <c r="H96" s="3">
        <f>IF(D96&lt;&gt;0, F96/D96, 0)</f>
        <v>0</v>
      </c>
      <c r="I96" s="3">
        <f>SUMIF(recipes!K:K,A96,recipes!R:R)</f>
        <v>0</v>
      </c>
      <c r="J96" s="3">
        <f>SUMIF(recipes!K:K,A96,recipes!S:S)</f>
        <v>10.374470622</v>
      </c>
      <c r="K96" s="3">
        <f>SUMIF(recipes!K:K,A96,recipes!T:T)</f>
        <v>0</v>
      </c>
      <c r="L96" s="76">
        <f>COUNTIF(recipes!K:K,A96)</f>
        <v>5</v>
      </c>
      <c r="M96" s="3"/>
    </row>
    <row r="97" spans="1:13" x14ac:dyDescent="0.2">
      <c r="A97" s="17" t="s">
        <v>89</v>
      </c>
      <c r="B97" s="31"/>
      <c r="C97" s="4" t="s">
        <v>33</v>
      </c>
      <c r="D97" s="80">
        <v>1</v>
      </c>
      <c r="E97" s="4">
        <v>1</v>
      </c>
      <c r="F97" s="4">
        <v>1</v>
      </c>
      <c r="G97" s="3">
        <f>IF(D97&lt;&gt;0, E97/D97, 0)</f>
        <v>1</v>
      </c>
      <c r="H97" s="3">
        <f>IF(D97&lt;&gt;0, F97/D97, 0)</f>
        <v>1</v>
      </c>
      <c r="I97" s="3">
        <f>SUMIF(recipes!K:K,A97,recipes!R:R)</f>
        <v>0.65061765037499997</v>
      </c>
      <c r="J97" s="3">
        <f>SUMIF(recipes!K:K,A97,recipes!S:S)</f>
        <v>0</v>
      </c>
      <c r="K97" s="3">
        <f>SUMIF(recipes!K:K,A97,recipes!T:T)</f>
        <v>0</v>
      </c>
      <c r="L97" s="76">
        <f>COUNTIF(recipes!K:K,A97)</f>
        <v>1</v>
      </c>
      <c r="M97" s="3"/>
    </row>
    <row r="98" spans="1:13" x14ac:dyDescent="0.2">
      <c r="A98" s="17" t="s">
        <v>33</v>
      </c>
      <c r="B98" s="31"/>
      <c r="C98" s="4" t="s">
        <v>33</v>
      </c>
      <c r="D98" s="80">
        <v>1</v>
      </c>
      <c r="E98" s="4">
        <v>1</v>
      </c>
      <c r="F98" s="4">
        <v>1</v>
      </c>
      <c r="G98" s="3">
        <f>IF(D98&lt;&gt;0, E98/D98, 0)</f>
        <v>1</v>
      </c>
      <c r="H98" s="3">
        <f>IF(D98&lt;&gt;0, F98/D98, 0)</f>
        <v>1</v>
      </c>
      <c r="I98" s="3">
        <f>SUMIF(recipes!K:K,A98,recipes!R:R)</f>
        <v>6.4092059073750001</v>
      </c>
      <c r="J98" s="3">
        <f>SUMIF(recipes!K:K,A98,recipes!S:S)</f>
        <v>0</v>
      </c>
      <c r="K98" s="3">
        <f>SUMIF(recipes!K:K,A98,recipes!T:T)</f>
        <v>0</v>
      </c>
      <c r="L98" s="76">
        <f>COUNTIF(recipes!K:K,A98)</f>
        <v>8</v>
      </c>
      <c r="M98" s="3"/>
    </row>
    <row r="99" spans="1:13" x14ac:dyDescent="0.2">
      <c r="A99" s="17" t="s">
        <v>76</v>
      </c>
      <c r="B99" s="31" t="s">
        <v>167</v>
      </c>
      <c r="C99" s="4" t="s">
        <v>441</v>
      </c>
      <c r="D99" s="80">
        <v>2</v>
      </c>
      <c r="E99" s="4">
        <v>0.15</v>
      </c>
      <c r="F99" s="3">
        <v>0.65</v>
      </c>
      <c r="G99" s="3">
        <f>IF(D99&lt;&gt;0, E99/D99, 0)</f>
        <v>7.4999999999999997E-2</v>
      </c>
      <c r="H99" s="3">
        <f>IF(D99&lt;&gt;0, F99/D99, 0)</f>
        <v>0.32500000000000001</v>
      </c>
      <c r="I99" s="3">
        <f>SUMIF(recipes!K:K,A99,recipes!R:R)</f>
        <v>0.99374999999999991</v>
      </c>
      <c r="J99" s="3">
        <f>SUMIF(recipes!K:K,A99,recipes!S:S)</f>
        <v>0</v>
      </c>
      <c r="K99" s="3">
        <f>SUMIF(recipes!K:K,A99,recipes!T:T)</f>
        <v>0</v>
      </c>
      <c r="L99" s="76">
        <f>COUNTIF(recipes!K:K,A99)</f>
        <v>1</v>
      </c>
      <c r="M99" s="3"/>
    </row>
    <row r="100" spans="1:13" x14ac:dyDescent="0.2">
      <c r="A100" s="17" t="s">
        <v>145</v>
      </c>
      <c r="B100" s="31" t="s">
        <v>167</v>
      </c>
      <c r="C100" s="4" t="s">
        <v>144</v>
      </c>
      <c r="D100" s="80">
        <v>2</v>
      </c>
      <c r="E100" s="3">
        <v>0.377</v>
      </c>
      <c r="F100" s="3">
        <v>0.5</v>
      </c>
      <c r="G100" s="3">
        <f>IF(D100&lt;&gt;0, E100/D100, 0)</f>
        <v>0.1885</v>
      </c>
      <c r="H100" s="3">
        <f>IF(D100&lt;&gt;0, F100/D100, 0)</f>
        <v>0.25</v>
      </c>
      <c r="I100" s="3">
        <f>SUMIF(recipes!K:K,A100,recipes!R:R)</f>
        <v>0.47125</v>
      </c>
      <c r="J100" s="3">
        <f>SUMIF(recipes!K:K,A100,recipes!S:S)</f>
        <v>0</v>
      </c>
      <c r="K100" s="3">
        <f>SUMIF(recipes!K:K,A100,recipes!T:T)</f>
        <v>0</v>
      </c>
      <c r="L100" s="76">
        <f>COUNTIF(recipes!K:K,A100)</f>
        <v>1</v>
      </c>
      <c r="M100" s="3"/>
    </row>
    <row r="101" spans="1:13" s="27" customFormat="1" x14ac:dyDescent="0.2">
      <c r="A101" s="17" t="s">
        <v>161</v>
      </c>
      <c r="B101" s="31" t="s">
        <v>167</v>
      </c>
      <c r="C101" s="4" t="s">
        <v>47</v>
      </c>
      <c r="D101" s="80"/>
      <c r="E101" s="4"/>
      <c r="F101" s="4"/>
      <c r="G101" s="3">
        <f>IF(D101&lt;&gt;0, E101/D101, 0)</f>
        <v>0</v>
      </c>
      <c r="H101" s="3">
        <f>IF(D101&lt;&gt;0, F101/D101, 0)</f>
        <v>0</v>
      </c>
      <c r="I101" s="3">
        <f>SUMIF(recipes!K:K,A101,recipes!R:R)</f>
        <v>0</v>
      </c>
      <c r="J101" s="3">
        <f>SUMIF(recipes!K:K,A101,recipes!S:S)</f>
        <v>0</v>
      </c>
      <c r="K101" s="3">
        <f>SUMIF(recipes!K:K,A101,recipes!T:T)</f>
        <v>5.75</v>
      </c>
      <c r="L101" s="76">
        <f>COUNTIF(recipes!K:K,A101)</f>
        <v>1</v>
      </c>
      <c r="M101" s="3"/>
    </row>
    <row r="102" spans="1:13" ht="13.5" thickBot="1" x14ac:dyDescent="0.25">
      <c r="A102" s="18" t="s">
        <v>83</v>
      </c>
      <c r="B102" s="32" t="s">
        <v>167</v>
      </c>
      <c r="C102" s="15" t="s">
        <v>47</v>
      </c>
      <c r="D102" s="104"/>
      <c r="E102" s="88"/>
      <c r="F102" s="88"/>
      <c r="G102" s="6">
        <f>IF(D102&lt;&gt;0, E102/D102, 0)</f>
        <v>0</v>
      </c>
      <c r="H102" s="6">
        <f>IF(D102&lt;&gt;0, F102/D102, 0)</f>
        <v>0</v>
      </c>
      <c r="I102" s="6">
        <f>SUMIF(recipes!K:K,A102,recipes!R:R)</f>
        <v>0</v>
      </c>
      <c r="J102" s="6">
        <f>SUMIF(recipes!K:K,A102,recipes!S:S)</f>
        <v>0</v>
      </c>
      <c r="K102" s="6">
        <f>SUMIF(recipes!K:K,A102,recipes!T:T)</f>
        <v>5.25</v>
      </c>
      <c r="L102" s="77">
        <f>COUNTIF(recipes!K:K,A102)</f>
        <v>1</v>
      </c>
      <c r="M102" s="3"/>
    </row>
    <row r="103" spans="1:13" ht="14.25" thickTop="1" thickBot="1" x14ac:dyDescent="0.25">
      <c r="A103" s="7" t="s">
        <v>36</v>
      </c>
      <c r="B103" s="33"/>
      <c r="M103" s="3"/>
    </row>
  </sheetData>
  <sortState xmlns:xlrd2="http://schemas.microsoft.com/office/spreadsheetml/2017/richdata2" ref="A2:L102">
    <sortCondition ref="C2:C102"/>
    <sortCondition ref="A2:A102"/>
  </sortState>
  <conditionalFormatting sqref="G29:J31 G26:J27 G57:J57 G34:J39 G46:J50 M47:M50 M35:M39 M58 M27:M28 M30:M32 G2:M11 M92:M103 G91:L102 M64:M67 G63:L66 M18:M25 G17:L24 G41:J42 M41:M45 G44:L44 M52:M54 G52:L53 M69:M90 G68:L89">
    <cfRule type="cellIs" dxfId="504" priority="97" operator="equal">
      <formula>0</formula>
    </cfRule>
  </conditionalFormatting>
  <conditionalFormatting sqref="G28:J28 M29">
    <cfRule type="cellIs" dxfId="503" priority="95" operator="equal">
      <formula>0</formula>
    </cfRule>
  </conditionalFormatting>
  <conditionalFormatting sqref="G67:J67 M68">
    <cfRule type="cellIs" dxfId="502" priority="94" operator="equal">
      <formula>0</formula>
    </cfRule>
  </conditionalFormatting>
  <conditionalFormatting sqref="G25:J25 M26">
    <cfRule type="cellIs" dxfId="501" priority="93" operator="equal">
      <formula>0</formula>
    </cfRule>
  </conditionalFormatting>
  <conditionalFormatting sqref="G90:J90 M91">
    <cfRule type="cellIs" dxfId="500" priority="92" operator="equal">
      <formula>0</formula>
    </cfRule>
  </conditionalFormatting>
  <conditionalFormatting sqref="G58:J58 M59">
    <cfRule type="cellIs" dxfId="499" priority="90" operator="equal">
      <formula>0</formula>
    </cfRule>
  </conditionalFormatting>
  <conditionalFormatting sqref="G61:J61 M62">
    <cfRule type="cellIs" dxfId="498" priority="89" operator="equal">
      <formula>0</formula>
    </cfRule>
  </conditionalFormatting>
  <conditionalFormatting sqref="G62:J62 M63">
    <cfRule type="cellIs" dxfId="497" priority="88" operator="equal">
      <formula>0</formula>
    </cfRule>
  </conditionalFormatting>
  <conditionalFormatting sqref="M17">
    <cfRule type="cellIs" dxfId="496" priority="87" operator="equal">
      <formula>0</formula>
    </cfRule>
  </conditionalFormatting>
  <conditionalFormatting sqref="G43:J43">
    <cfRule type="cellIs" dxfId="495" priority="86" operator="equal">
      <formula>0</formula>
    </cfRule>
  </conditionalFormatting>
  <conditionalFormatting sqref="G54:J54 M57">
    <cfRule type="cellIs" dxfId="494" priority="85" operator="equal">
      <formula>0</formula>
    </cfRule>
  </conditionalFormatting>
  <conditionalFormatting sqref="G59:J59 M60">
    <cfRule type="cellIs" dxfId="493" priority="84" operator="equal">
      <formula>0</formula>
    </cfRule>
  </conditionalFormatting>
  <conditionalFormatting sqref="G60:J60 M61">
    <cfRule type="cellIs" dxfId="492" priority="83" operator="equal">
      <formula>0</formula>
    </cfRule>
  </conditionalFormatting>
  <conditionalFormatting sqref="G33:J33 M34">
    <cfRule type="cellIs" dxfId="491" priority="82" operator="equal">
      <formula>0</formula>
    </cfRule>
  </conditionalFormatting>
  <conditionalFormatting sqref="G45:J45 M46">
    <cfRule type="cellIs" dxfId="490" priority="81" operator="equal">
      <formula>0</formula>
    </cfRule>
  </conditionalFormatting>
  <conditionalFormatting sqref="G32:J32 M33">
    <cfRule type="cellIs" dxfId="489" priority="80" operator="equal">
      <formula>0</formula>
    </cfRule>
  </conditionalFormatting>
  <conditionalFormatting sqref="K32">
    <cfRule type="cellIs" dxfId="488" priority="45" operator="equal">
      <formula>0</formula>
    </cfRule>
  </conditionalFormatting>
  <conditionalFormatting sqref="L29:L31 L26:L27 L57 L34:L39 L46:L50 L41:L42">
    <cfRule type="cellIs" dxfId="487" priority="78" operator="equal">
      <formula>0</formula>
    </cfRule>
  </conditionalFormatting>
  <conditionalFormatting sqref="L28">
    <cfRule type="cellIs" dxfId="486" priority="76" operator="equal">
      <formula>0</formula>
    </cfRule>
  </conditionalFormatting>
  <conditionalFormatting sqref="L67">
    <cfRule type="cellIs" dxfId="485" priority="75" operator="equal">
      <formula>0</formula>
    </cfRule>
  </conditionalFormatting>
  <conditionalFormatting sqref="L25">
    <cfRule type="cellIs" dxfId="484" priority="74" operator="equal">
      <formula>0</formula>
    </cfRule>
  </conditionalFormatting>
  <conditionalFormatting sqref="L90">
    <cfRule type="cellIs" dxfId="483" priority="73" operator="equal">
      <formula>0</formula>
    </cfRule>
  </conditionalFormatting>
  <conditionalFormatting sqref="L58">
    <cfRule type="cellIs" dxfId="482" priority="72" operator="equal">
      <formula>0</formula>
    </cfRule>
  </conditionalFormatting>
  <conditionalFormatting sqref="L61">
    <cfRule type="cellIs" dxfId="481" priority="71" operator="equal">
      <formula>0</formula>
    </cfRule>
  </conditionalFormatting>
  <conditionalFormatting sqref="L62">
    <cfRule type="cellIs" dxfId="480" priority="70" operator="equal">
      <formula>0</formula>
    </cfRule>
  </conditionalFormatting>
  <conditionalFormatting sqref="L43">
    <cfRule type="cellIs" dxfId="479" priority="68" operator="equal">
      <formula>0</formula>
    </cfRule>
  </conditionalFormatting>
  <conditionalFormatting sqref="L54">
    <cfRule type="cellIs" dxfId="478" priority="67" operator="equal">
      <formula>0</formula>
    </cfRule>
  </conditionalFormatting>
  <conditionalFormatting sqref="L59">
    <cfRule type="cellIs" dxfId="477" priority="66" operator="equal">
      <formula>0</formula>
    </cfRule>
  </conditionalFormatting>
  <conditionalFormatting sqref="L60">
    <cfRule type="cellIs" dxfId="476" priority="65" operator="equal">
      <formula>0</formula>
    </cfRule>
  </conditionalFormatting>
  <conditionalFormatting sqref="L33">
    <cfRule type="cellIs" dxfId="475" priority="64" operator="equal">
      <formula>0</formula>
    </cfRule>
  </conditionalFormatting>
  <conditionalFormatting sqref="L45">
    <cfRule type="cellIs" dxfId="474" priority="63" operator="equal">
      <formula>0</formula>
    </cfRule>
  </conditionalFormatting>
  <conditionalFormatting sqref="L32">
    <cfRule type="cellIs" dxfId="473" priority="62" operator="equal">
      <formula>0</formula>
    </cfRule>
  </conditionalFormatting>
  <conditionalFormatting sqref="K29:K31 K26:K27 K57 K34:K39 K46:K50 K41:K42">
    <cfRule type="cellIs" dxfId="472" priority="61" operator="equal">
      <formula>0</formula>
    </cfRule>
  </conditionalFormatting>
  <conditionalFormatting sqref="K28">
    <cfRule type="cellIs" dxfId="471" priority="59" operator="equal">
      <formula>0</formula>
    </cfRule>
  </conditionalFormatting>
  <conditionalFormatting sqref="K67">
    <cfRule type="cellIs" dxfId="470" priority="58" operator="equal">
      <formula>0</formula>
    </cfRule>
  </conditionalFormatting>
  <conditionalFormatting sqref="K25">
    <cfRule type="cellIs" dxfId="469" priority="57" operator="equal">
      <formula>0</formula>
    </cfRule>
  </conditionalFormatting>
  <conditionalFormatting sqref="K90">
    <cfRule type="cellIs" dxfId="468" priority="56" operator="equal">
      <formula>0</formula>
    </cfRule>
  </conditionalFormatting>
  <conditionalFormatting sqref="K58">
    <cfRule type="cellIs" dxfId="467" priority="55" operator="equal">
      <formula>0</formula>
    </cfRule>
  </conditionalFormatting>
  <conditionalFormatting sqref="K61">
    <cfRule type="cellIs" dxfId="466" priority="54" operator="equal">
      <formula>0</formula>
    </cfRule>
  </conditionalFormatting>
  <conditionalFormatting sqref="K62">
    <cfRule type="cellIs" dxfId="465" priority="53" operator="equal">
      <formula>0</formula>
    </cfRule>
  </conditionalFormatting>
  <conditionalFormatting sqref="K43">
    <cfRule type="cellIs" dxfId="464" priority="51" operator="equal">
      <formula>0</formula>
    </cfRule>
  </conditionalFormatting>
  <conditionalFormatting sqref="K54">
    <cfRule type="cellIs" dxfId="463" priority="50" operator="equal">
      <formula>0</formula>
    </cfRule>
  </conditionalFormatting>
  <conditionalFormatting sqref="K59">
    <cfRule type="cellIs" dxfId="462" priority="49" operator="equal">
      <formula>0</formula>
    </cfRule>
  </conditionalFormatting>
  <conditionalFormatting sqref="K60">
    <cfRule type="cellIs" dxfId="461" priority="48" operator="equal">
      <formula>0</formula>
    </cfRule>
  </conditionalFormatting>
  <conditionalFormatting sqref="K33">
    <cfRule type="cellIs" dxfId="460" priority="47" operator="equal">
      <formula>0</formula>
    </cfRule>
  </conditionalFormatting>
  <conditionalFormatting sqref="K45">
    <cfRule type="cellIs" dxfId="459" priority="46" operator="equal">
      <formula>0</formula>
    </cfRule>
  </conditionalFormatting>
  <conditionalFormatting sqref="L2:L11 L41:L50 L17:L39 L52:L54 L57:L102">
    <cfRule type="cellIs" dxfId="458" priority="44" operator="equal">
      <formula>0</formula>
    </cfRule>
  </conditionalFormatting>
  <conditionalFormatting sqref="M51 G51:J51">
    <cfRule type="cellIs" dxfId="457" priority="43" operator="equal">
      <formula>0</formula>
    </cfRule>
  </conditionalFormatting>
  <conditionalFormatting sqref="L51">
    <cfRule type="cellIs" dxfId="456" priority="42" operator="equal">
      <formula>0</formula>
    </cfRule>
  </conditionalFormatting>
  <conditionalFormatting sqref="K51">
    <cfRule type="cellIs" dxfId="455" priority="41" operator="equal">
      <formula>0</formula>
    </cfRule>
  </conditionalFormatting>
  <conditionalFormatting sqref="L51">
    <cfRule type="cellIs" dxfId="454" priority="40" operator="equal">
      <formula>0</formula>
    </cfRule>
  </conditionalFormatting>
  <conditionalFormatting sqref="M16">
    <cfRule type="cellIs" dxfId="453" priority="39" operator="equal">
      <formula>0</formula>
    </cfRule>
  </conditionalFormatting>
  <conditionalFormatting sqref="G16:J16">
    <cfRule type="cellIs" dxfId="452" priority="38" operator="equal">
      <formula>0</formula>
    </cfRule>
  </conditionalFormatting>
  <conditionalFormatting sqref="L16">
    <cfRule type="cellIs" dxfId="451" priority="37" operator="equal">
      <formula>0</formula>
    </cfRule>
  </conditionalFormatting>
  <conditionalFormatting sqref="K16">
    <cfRule type="cellIs" dxfId="450" priority="36" operator="equal">
      <formula>0</formula>
    </cfRule>
  </conditionalFormatting>
  <conditionalFormatting sqref="L16">
    <cfRule type="cellIs" dxfId="449" priority="35" operator="equal">
      <formula>0</formula>
    </cfRule>
  </conditionalFormatting>
  <conditionalFormatting sqref="M13">
    <cfRule type="cellIs" dxfId="448" priority="34" operator="equal">
      <formula>0</formula>
    </cfRule>
  </conditionalFormatting>
  <conditionalFormatting sqref="G13:J13">
    <cfRule type="cellIs" dxfId="447" priority="33" operator="equal">
      <formula>0</formula>
    </cfRule>
  </conditionalFormatting>
  <conditionalFormatting sqref="L13">
    <cfRule type="cellIs" dxfId="446" priority="32" operator="equal">
      <formula>0</formula>
    </cfRule>
  </conditionalFormatting>
  <conditionalFormatting sqref="K13">
    <cfRule type="cellIs" dxfId="445" priority="31" operator="equal">
      <formula>0</formula>
    </cfRule>
  </conditionalFormatting>
  <conditionalFormatting sqref="L13">
    <cfRule type="cellIs" dxfId="444" priority="30" operator="equal">
      <formula>0</formula>
    </cfRule>
  </conditionalFormatting>
  <conditionalFormatting sqref="M12">
    <cfRule type="cellIs" dxfId="443" priority="29" operator="equal">
      <formula>0</formula>
    </cfRule>
  </conditionalFormatting>
  <conditionalFormatting sqref="G12:J12">
    <cfRule type="cellIs" dxfId="442" priority="28" operator="equal">
      <formula>0</formula>
    </cfRule>
  </conditionalFormatting>
  <conditionalFormatting sqref="L12">
    <cfRule type="cellIs" dxfId="441" priority="27" operator="equal">
      <formula>0</formula>
    </cfRule>
  </conditionalFormatting>
  <conditionalFormatting sqref="K12">
    <cfRule type="cellIs" dxfId="440" priority="26" operator="equal">
      <formula>0</formula>
    </cfRule>
  </conditionalFormatting>
  <conditionalFormatting sqref="L12">
    <cfRule type="cellIs" dxfId="439" priority="25" operator="equal">
      <formula>0</formula>
    </cfRule>
  </conditionalFormatting>
  <conditionalFormatting sqref="M14">
    <cfRule type="cellIs" dxfId="438" priority="24" operator="equal">
      <formula>0</formula>
    </cfRule>
  </conditionalFormatting>
  <conditionalFormatting sqref="G14:J14">
    <cfRule type="cellIs" dxfId="437" priority="23" operator="equal">
      <formula>0</formula>
    </cfRule>
  </conditionalFormatting>
  <conditionalFormatting sqref="L14">
    <cfRule type="cellIs" dxfId="436" priority="22" operator="equal">
      <formula>0</formula>
    </cfRule>
  </conditionalFormatting>
  <conditionalFormatting sqref="K14">
    <cfRule type="cellIs" dxfId="435" priority="21" operator="equal">
      <formula>0</formula>
    </cfRule>
  </conditionalFormatting>
  <conditionalFormatting sqref="L14">
    <cfRule type="cellIs" dxfId="434" priority="20" operator="equal">
      <formula>0</formula>
    </cfRule>
  </conditionalFormatting>
  <conditionalFormatting sqref="M40 G40:J40">
    <cfRule type="cellIs" dxfId="433" priority="19" operator="equal">
      <formula>0</formula>
    </cfRule>
  </conditionalFormatting>
  <conditionalFormatting sqref="L40">
    <cfRule type="cellIs" dxfId="432" priority="18" operator="equal">
      <formula>0</formula>
    </cfRule>
  </conditionalFormatting>
  <conditionalFormatting sqref="K40">
    <cfRule type="cellIs" dxfId="431" priority="17" operator="equal">
      <formula>0</formula>
    </cfRule>
  </conditionalFormatting>
  <conditionalFormatting sqref="L40">
    <cfRule type="cellIs" dxfId="430" priority="16" operator="equal">
      <formula>0</formula>
    </cfRule>
  </conditionalFormatting>
  <conditionalFormatting sqref="G56:J56">
    <cfRule type="cellIs" dxfId="429" priority="15" operator="equal">
      <formula>0</formula>
    </cfRule>
  </conditionalFormatting>
  <conditionalFormatting sqref="M56">
    <cfRule type="cellIs" dxfId="428" priority="14" operator="equal">
      <formula>0</formula>
    </cfRule>
  </conditionalFormatting>
  <conditionalFormatting sqref="L56">
    <cfRule type="cellIs" dxfId="427" priority="13" operator="equal">
      <formula>0</formula>
    </cfRule>
  </conditionalFormatting>
  <conditionalFormatting sqref="K56">
    <cfRule type="cellIs" dxfId="426" priority="12" operator="equal">
      <formula>0</formula>
    </cfRule>
  </conditionalFormatting>
  <conditionalFormatting sqref="L56">
    <cfRule type="cellIs" dxfId="425" priority="11" operator="equal">
      <formula>0</formula>
    </cfRule>
  </conditionalFormatting>
  <conditionalFormatting sqref="G55:J55">
    <cfRule type="cellIs" dxfId="424" priority="10" operator="equal">
      <formula>0</formula>
    </cfRule>
  </conditionalFormatting>
  <conditionalFormatting sqref="M55">
    <cfRule type="cellIs" dxfId="423" priority="9" operator="equal">
      <formula>0</formula>
    </cfRule>
  </conditionalFormatting>
  <conditionalFormatting sqref="L55">
    <cfRule type="cellIs" dxfId="422" priority="8" operator="equal">
      <formula>0</formula>
    </cfRule>
  </conditionalFormatting>
  <conditionalFormatting sqref="K55">
    <cfRule type="cellIs" dxfId="421" priority="7" operator="equal">
      <formula>0</formula>
    </cfRule>
  </conditionalFormatting>
  <conditionalFormatting sqref="L55">
    <cfRule type="cellIs" dxfId="420" priority="6" operator="equal">
      <formula>0</formula>
    </cfRule>
  </conditionalFormatting>
  <conditionalFormatting sqref="M15">
    <cfRule type="cellIs" dxfId="419" priority="5" operator="equal">
      <formula>0</formula>
    </cfRule>
  </conditionalFormatting>
  <conditionalFormatting sqref="G15:J15">
    <cfRule type="cellIs" dxfId="418" priority="4" operator="equal">
      <formula>0</formula>
    </cfRule>
  </conditionalFormatting>
  <conditionalFormatting sqref="L15">
    <cfRule type="cellIs" dxfId="417" priority="3" operator="equal">
      <formula>0</formula>
    </cfRule>
  </conditionalFormatting>
  <conditionalFormatting sqref="K15">
    <cfRule type="cellIs" dxfId="416" priority="2" operator="equal">
      <formula>0</formula>
    </cfRule>
  </conditionalFormatting>
  <conditionalFormatting sqref="L15">
    <cfRule type="cellIs" dxfId="415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topLeftCell="A40" zoomScale="85" zoomScaleNormal="85" workbookViewId="0">
      <selection activeCell="O102" sqref="O102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customWidth="1"/>
    <col min="4" max="4" width="5.42578125" style="27" customWidth="1"/>
    <col min="5" max="5" width="8.140625" style="114" bestFit="1" customWidth="1"/>
    <col min="6" max="7" width="8.140625" style="2" bestFit="1" customWidth="1"/>
    <col min="8" max="8" width="31.7109375" style="2" bestFit="1" customWidth="1"/>
    <col min="9" max="9" width="5.85546875" style="78" customWidth="1"/>
    <col min="10" max="10" width="8.28515625" style="78" customWidth="1"/>
    <col min="11" max="11" width="9.140625" style="1"/>
    <col min="12" max="12" width="14.85546875" style="1" customWidth="1"/>
    <col min="13" max="16384" width="9.140625" style="1"/>
  </cols>
  <sheetData>
    <row r="1" spans="1:12" ht="26.25" thickBot="1" x14ac:dyDescent="0.25">
      <c r="A1" s="72" t="s">
        <v>393</v>
      </c>
      <c r="B1" s="11" t="s">
        <v>50</v>
      </c>
      <c r="C1" s="11" t="s">
        <v>445</v>
      </c>
      <c r="D1" s="11" t="s">
        <v>446</v>
      </c>
      <c r="E1" s="110" t="s">
        <v>87</v>
      </c>
      <c r="F1" s="12" t="s">
        <v>88</v>
      </c>
      <c r="G1" s="12" t="s">
        <v>86</v>
      </c>
      <c r="H1" s="12" t="s">
        <v>147</v>
      </c>
      <c r="I1" s="74" t="s">
        <v>349</v>
      </c>
      <c r="J1" s="74" t="s">
        <v>350</v>
      </c>
    </row>
    <row r="2" spans="1:12" x14ac:dyDescent="0.2">
      <c r="A2" s="95" t="s">
        <v>387</v>
      </c>
      <c r="B2" s="93" t="s">
        <v>278</v>
      </c>
      <c r="C2" s="19">
        <v>1</v>
      </c>
      <c r="D2" s="20">
        <f>SUMIF(support!C:C,B2,support!I:I)</f>
        <v>0</v>
      </c>
      <c r="E2" s="111">
        <f>D2 / C2</f>
        <v>0</v>
      </c>
      <c r="F2" s="106">
        <f>SUMIF(support!C:C,B2,support!J:J)</f>
        <v>0</v>
      </c>
      <c r="G2" s="106">
        <f>SUMIF(support!C:C,B2,support!K:K)</f>
        <v>0</v>
      </c>
      <c r="H2" s="20"/>
      <c r="I2" s="79">
        <f>SUMIF(support!C:C,B2,support!L:L)</f>
        <v>1</v>
      </c>
      <c r="J2" s="21" t="b">
        <f>OR(COUNTIF(E2:G2, "&lt;&gt;0") &gt; 1, I2 = 0)</f>
        <v>0</v>
      </c>
      <c r="L2" s="91" t="s">
        <v>385</v>
      </c>
    </row>
    <row r="3" spans="1:12" x14ac:dyDescent="0.2">
      <c r="A3" s="96" t="s">
        <v>387</v>
      </c>
      <c r="B3" s="90" t="s">
        <v>443</v>
      </c>
      <c r="C3" s="22">
        <v>1</v>
      </c>
      <c r="D3" s="3">
        <f>SUMIF(support!C:C,B3,support!I:I)</f>
        <v>0</v>
      </c>
      <c r="E3" s="112">
        <f>D3 / C3</f>
        <v>0</v>
      </c>
      <c r="F3" s="107">
        <f>SUMIF(support!C:C,B3,support!J:J)</f>
        <v>0</v>
      </c>
      <c r="G3" s="107">
        <f>SUMIF(support!C:C,B3,support!K:K)</f>
        <v>1</v>
      </c>
      <c r="H3" s="3" t="s">
        <v>444</v>
      </c>
      <c r="I3" s="80">
        <f>SUMIF(support!C:C,B3,support!L:L)</f>
        <v>1</v>
      </c>
      <c r="J3" s="23" t="b">
        <f>OR(COUNTIF(E3:G3, "&lt;&gt;0") &gt; 1, I3 = 0)</f>
        <v>0</v>
      </c>
      <c r="L3" s="92" t="s">
        <v>386</v>
      </c>
    </row>
    <row r="4" spans="1:12" x14ac:dyDescent="0.2">
      <c r="A4" s="96" t="s">
        <v>387</v>
      </c>
      <c r="B4" s="90" t="s">
        <v>43</v>
      </c>
      <c r="C4" s="22">
        <v>1</v>
      </c>
      <c r="D4" s="3">
        <f>SUMIF(support!C:C,B4,support!I:I)</f>
        <v>4.8285</v>
      </c>
      <c r="E4" s="112">
        <f>D4 / C4</f>
        <v>4.8285</v>
      </c>
      <c r="F4" s="107">
        <f>SUMIF(support!C:C,B4,support!J:J)</f>
        <v>0</v>
      </c>
      <c r="G4" s="107">
        <f>SUMIF(support!C:C,B4,support!K:K)</f>
        <v>0</v>
      </c>
      <c r="H4" s="3" t="s">
        <v>449</v>
      </c>
      <c r="I4" s="80">
        <f>SUMIF(support!C:C,B4,support!L:L)</f>
        <v>4</v>
      </c>
      <c r="J4" s="23" t="b">
        <f>OR(COUNTIF(E4:G4, "&lt;&gt;0") &gt; 1, I4 = 0)</f>
        <v>0</v>
      </c>
      <c r="L4" s="92" t="s">
        <v>387</v>
      </c>
    </row>
    <row r="5" spans="1:12" x14ac:dyDescent="0.2">
      <c r="A5" s="96" t="s">
        <v>385</v>
      </c>
      <c r="B5" s="90" t="s">
        <v>454</v>
      </c>
      <c r="C5" s="22">
        <v>1</v>
      </c>
      <c r="D5" s="3">
        <f>SUMIF(support!C:C,B5,support!I:I)</f>
        <v>0</v>
      </c>
      <c r="E5" s="112">
        <f>D5 / C5</f>
        <v>0</v>
      </c>
      <c r="F5" s="107">
        <f>SUMIF(support!C:C,B5,support!J:J)</f>
        <v>9.226941223499999</v>
      </c>
      <c r="G5" s="107">
        <f>SUMIF(support!C:C,B5,support!K:K)</f>
        <v>0</v>
      </c>
      <c r="H5" s="3"/>
      <c r="I5" s="80">
        <f>SUMIF(support!C:C,B5,support!L:L)</f>
        <v>1</v>
      </c>
      <c r="J5" s="23" t="b">
        <f>OR(COUNTIF(E5:G5, "&lt;&gt;0") &gt; 1, I5 = 0)</f>
        <v>0</v>
      </c>
      <c r="L5" s="92" t="s">
        <v>392</v>
      </c>
    </row>
    <row r="6" spans="1:12" x14ac:dyDescent="0.2">
      <c r="A6" s="96" t="s">
        <v>385</v>
      </c>
      <c r="B6" s="90" t="s">
        <v>279</v>
      </c>
      <c r="C6" s="22">
        <v>1</v>
      </c>
      <c r="D6" s="3">
        <f>SUMIF(support!C:C,B6,support!I:I)</f>
        <v>0</v>
      </c>
      <c r="E6" s="112">
        <f>D6 / C6</f>
        <v>0</v>
      </c>
      <c r="F6" s="107">
        <f>SUMIF(support!C:C,B6,support!J:J)</f>
        <v>0</v>
      </c>
      <c r="G6" s="107">
        <f>SUMIF(support!C:C,B6,support!K:K)</f>
        <v>0</v>
      </c>
      <c r="H6" s="3"/>
      <c r="I6" s="80">
        <f>SUMIF(support!C:C,B6,support!L:L)</f>
        <v>1</v>
      </c>
      <c r="J6" s="23" t="b">
        <f>OR(COUNTIF(E6:G6, "&lt;&gt;0") &gt; 1, I6 = 0)</f>
        <v>0</v>
      </c>
      <c r="L6" s="92" t="s">
        <v>391</v>
      </c>
    </row>
    <row r="7" spans="1:12" s="27" customFormat="1" x14ac:dyDescent="0.2">
      <c r="A7" s="96" t="s">
        <v>385</v>
      </c>
      <c r="B7" s="90" t="s">
        <v>66</v>
      </c>
      <c r="C7" s="22">
        <v>1</v>
      </c>
      <c r="D7" s="3">
        <f>SUMIF(support!C:C,B7,support!I:I)</f>
        <v>0</v>
      </c>
      <c r="E7" s="112">
        <f>D7 / C7</f>
        <v>0</v>
      </c>
      <c r="F7" s="107">
        <f>SUMIF(support!C:C,B7,support!J:J)</f>
        <v>0</v>
      </c>
      <c r="G7" s="107">
        <f>SUMIF(support!C:C,B7,support!K:K)</f>
        <v>2.75</v>
      </c>
      <c r="H7" s="3"/>
      <c r="I7" s="80">
        <f>SUMIF(support!C:C,B7,support!L:L)</f>
        <v>1</v>
      </c>
      <c r="J7" s="23" t="b">
        <f>OR(COUNTIF(E7:G7, "&lt;&gt;0") &gt; 1, I7 = 0)</f>
        <v>0</v>
      </c>
      <c r="L7" s="92" t="s">
        <v>388</v>
      </c>
    </row>
    <row r="8" spans="1:12" x14ac:dyDescent="0.2">
      <c r="A8" s="96" t="s">
        <v>385</v>
      </c>
      <c r="B8" s="90" t="s">
        <v>67</v>
      </c>
      <c r="C8" s="22">
        <v>1</v>
      </c>
      <c r="D8" s="3">
        <f>SUMIF(support!C:C,B8,support!I:I)</f>
        <v>0</v>
      </c>
      <c r="E8" s="112">
        <f>D8 / C8</f>
        <v>0</v>
      </c>
      <c r="F8" s="107">
        <f>SUMIF(support!C:C,B8,support!J:J)</f>
        <v>0</v>
      </c>
      <c r="G8" s="107">
        <f>SUMIF(support!C:C,B8,support!K:K)</f>
        <v>2.75</v>
      </c>
      <c r="H8" s="3"/>
      <c r="I8" s="80">
        <f>SUMIF(support!C:C,B8,support!L:L)</f>
        <v>1</v>
      </c>
      <c r="J8" s="23" t="b">
        <f>OR(COUNTIF(E8:G8, "&lt;&gt;0") &gt; 1, I8 = 0)</f>
        <v>0</v>
      </c>
      <c r="L8" s="92" t="s">
        <v>389</v>
      </c>
    </row>
    <row r="9" spans="1:12" s="27" customFormat="1" ht="13.5" thickBot="1" x14ac:dyDescent="0.25">
      <c r="A9" s="96" t="s">
        <v>385</v>
      </c>
      <c r="B9" s="90" t="s">
        <v>33</v>
      </c>
      <c r="C9" s="22">
        <v>1</v>
      </c>
      <c r="D9" s="3">
        <f>SUMIF(support!C:C,B9,support!I:I)</f>
        <v>7.0598235577499997</v>
      </c>
      <c r="E9" s="112">
        <f>D9 / C9</f>
        <v>7.0598235577499997</v>
      </c>
      <c r="F9" s="107">
        <f>SUMIF(support!C:C,B9,support!J:J)</f>
        <v>0</v>
      </c>
      <c r="G9" s="107">
        <f>SUMIF(support!C:C,B9,support!K:K)</f>
        <v>0</v>
      </c>
      <c r="H9" s="3"/>
      <c r="I9" s="80">
        <f>SUMIF(support!C:C,B9,support!L:L)</f>
        <v>9</v>
      </c>
      <c r="J9" s="23" t="b">
        <f>OR(COUNTIF(E9:G9, "&lt;&gt;0") &gt; 1, I9 = 0)</f>
        <v>0</v>
      </c>
      <c r="L9" s="7" t="s">
        <v>390</v>
      </c>
    </row>
    <row r="10" spans="1:12" s="27" customFormat="1" x14ac:dyDescent="0.2">
      <c r="A10" s="96" t="s">
        <v>386</v>
      </c>
      <c r="B10" s="90" t="s">
        <v>65</v>
      </c>
      <c r="C10" s="22">
        <v>1</v>
      </c>
      <c r="D10" s="3">
        <f>SUMIF(support!C:C,B10,support!I:I)</f>
        <v>0</v>
      </c>
      <c r="E10" s="112">
        <f>D10 / C10</f>
        <v>0</v>
      </c>
      <c r="F10" s="107">
        <f>SUMIF(support!C:C,B10,support!J:J)</f>
        <v>0</v>
      </c>
      <c r="G10" s="107">
        <f>SUMIF(support!C:C,B10,support!K:K)</f>
        <v>5</v>
      </c>
      <c r="H10" s="3"/>
      <c r="I10" s="80">
        <f>SUMIF(support!C:C,B10,support!L:L)</f>
        <v>2</v>
      </c>
      <c r="J10" s="23" t="b">
        <f>OR(COUNTIF(E10:G10, "&lt;&gt;0") &gt; 1, I10 = 0)</f>
        <v>0</v>
      </c>
    </row>
    <row r="11" spans="1:12" s="27" customFormat="1" x14ac:dyDescent="0.2">
      <c r="A11" s="96" t="s">
        <v>386</v>
      </c>
      <c r="B11" s="90" t="s">
        <v>34</v>
      </c>
      <c r="C11" s="22">
        <v>1</v>
      </c>
      <c r="D11" s="3">
        <f>SUMIF(support!C:C,B11,support!I:I)</f>
        <v>2.1333378704334063E-2</v>
      </c>
      <c r="E11" s="112">
        <f>D11 / C11</f>
        <v>2.1333378704334063E-2</v>
      </c>
      <c r="F11" s="107">
        <f>SUMIF(support!C:C,B11,support!J:J)</f>
        <v>0</v>
      </c>
      <c r="G11" s="107">
        <f>SUMIF(support!C:C,B11,support!K:K)</f>
        <v>0</v>
      </c>
      <c r="H11" s="3"/>
      <c r="I11" s="80">
        <f>SUMIF(support!C:C,B11,support!L:L)</f>
        <v>1</v>
      </c>
      <c r="J11" s="23" t="b">
        <f>OR(COUNTIF(E11:G11, "&lt;&gt;0") &gt; 1, I11 = 0)</f>
        <v>0</v>
      </c>
    </row>
    <row r="12" spans="1:12" s="27" customFormat="1" x14ac:dyDescent="0.2">
      <c r="A12" s="96" t="s">
        <v>386</v>
      </c>
      <c r="B12" s="90" t="s">
        <v>79</v>
      </c>
      <c r="C12" s="22">
        <v>1</v>
      </c>
      <c r="D12" s="3">
        <f>SUMIF(support!C:C,B12,support!I:I)</f>
        <v>1.0388910983621014E-2</v>
      </c>
      <c r="E12" s="112">
        <f>D12 / C12</f>
        <v>1.0388910983621014E-2</v>
      </c>
      <c r="F12" s="107">
        <f>SUMIF(support!C:C,B12,support!J:J)</f>
        <v>0</v>
      </c>
      <c r="G12" s="107">
        <f>SUMIF(support!C:C,B12,support!K:K)</f>
        <v>0</v>
      </c>
      <c r="H12" s="3"/>
      <c r="I12" s="80">
        <f>SUMIF(support!C:C,B12,support!L:L)</f>
        <v>3</v>
      </c>
      <c r="J12" s="23" t="b">
        <f>OR(COUNTIF(E12:G12, "&lt;&gt;0") &gt; 1, I12 = 0)</f>
        <v>0</v>
      </c>
    </row>
    <row r="13" spans="1:12" s="27" customFormat="1" x14ac:dyDescent="0.2">
      <c r="A13" s="96" t="s">
        <v>386</v>
      </c>
      <c r="B13" s="90" t="s">
        <v>35</v>
      </c>
      <c r="C13" s="22">
        <v>1</v>
      </c>
      <c r="D13" s="3">
        <f>SUMIF(support!C:C,B13,support!I:I)</f>
        <v>3.1166732950863047E-2</v>
      </c>
      <c r="E13" s="112">
        <f>D13 / C13</f>
        <v>3.1166732950863047E-2</v>
      </c>
      <c r="F13" s="107">
        <f>SUMIF(support!C:C,B13,support!J:J)</f>
        <v>0</v>
      </c>
      <c r="G13" s="107">
        <f>SUMIF(support!C:C,B13,support!K:K)</f>
        <v>0</v>
      </c>
      <c r="H13" s="3"/>
      <c r="I13" s="80">
        <f>SUMIF(support!C:C,B13,support!L:L)</f>
        <v>1</v>
      </c>
      <c r="J13" s="23" t="b">
        <f>OR(COUNTIF(E13:G13, "&lt;&gt;0") &gt; 1, I13 = 0)</f>
        <v>0</v>
      </c>
    </row>
    <row r="14" spans="1:12" x14ac:dyDescent="0.2">
      <c r="A14" s="96" t="s">
        <v>386</v>
      </c>
      <c r="B14" s="90" t="s">
        <v>9</v>
      </c>
      <c r="C14" s="22">
        <v>1</v>
      </c>
      <c r="D14" s="3">
        <f>SUMIF(support!C:C,B14,support!I:I)</f>
        <v>5.0000106338282967E-2</v>
      </c>
      <c r="E14" s="112">
        <f>D14 / C14</f>
        <v>5.0000106338282967E-2</v>
      </c>
      <c r="F14" s="107">
        <f>SUMIF(support!C:C,B14,support!J:J)</f>
        <v>0</v>
      </c>
      <c r="G14" s="107">
        <f>SUMIF(support!C:C,B14,support!K:K)</f>
        <v>0</v>
      </c>
      <c r="H14" s="3"/>
      <c r="I14" s="80">
        <f>SUMIF(support!C:C,B14,support!L:L)</f>
        <v>2</v>
      </c>
      <c r="J14" s="23" t="b">
        <f>OR(COUNTIF(E14:G14, "&lt;&gt;0") &gt; 1, I14 = 0)</f>
        <v>0</v>
      </c>
      <c r="L14" s="27"/>
    </row>
    <row r="15" spans="1:12" x14ac:dyDescent="0.2">
      <c r="A15" s="96" t="s">
        <v>386</v>
      </c>
      <c r="B15" s="90" t="s">
        <v>78</v>
      </c>
      <c r="C15" s="22">
        <v>1</v>
      </c>
      <c r="D15" s="3">
        <f>SUMIF(support!C:C,B15,support!I:I)</f>
        <v>1.5000031901484889E-3</v>
      </c>
      <c r="E15" s="112">
        <f>D15 / C15</f>
        <v>1.5000031901484889E-3</v>
      </c>
      <c r="F15" s="107">
        <f>SUMIF(support!C:C,B15,support!J:J)</f>
        <v>0</v>
      </c>
      <c r="G15" s="107">
        <f>SUMIF(support!C:C,B15,support!K:K)</f>
        <v>0</v>
      </c>
      <c r="H15" s="3"/>
      <c r="I15" s="80">
        <f>SUMIF(support!C:C,B15,support!L:L)</f>
        <v>1</v>
      </c>
      <c r="J15" s="23" t="b">
        <f>OR(COUNTIF(E15:G15, "&lt;&gt;0") &gt; 1, I15 = 0)</f>
        <v>0</v>
      </c>
      <c r="L15" s="27"/>
    </row>
    <row r="16" spans="1:12" x14ac:dyDescent="0.2">
      <c r="A16" s="96" t="s">
        <v>386</v>
      </c>
      <c r="B16" s="90" t="s">
        <v>248</v>
      </c>
      <c r="C16" s="22">
        <v>1</v>
      </c>
      <c r="D16" s="3">
        <f>SUMIF(support!C:C,B16,support!I:I)</f>
        <v>0.40220000205000001</v>
      </c>
      <c r="E16" s="112">
        <f>D16 / C16</f>
        <v>0.40220000205000001</v>
      </c>
      <c r="F16" s="107">
        <f>SUMIF(support!C:C,B16,support!J:J)</f>
        <v>0</v>
      </c>
      <c r="G16" s="107">
        <f>SUMIF(support!C:C,B16,support!K:K)</f>
        <v>0</v>
      </c>
      <c r="H16" s="3"/>
      <c r="I16" s="80">
        <f>SUMIF(support!C:C,B16,support!L:L)</f>
        <v>1</v>
      </c>
      <c r="J16" s="23" t="b">
        <f>OR(COUNTIF(E16:G16, "&lt;&gt;0") &gt; 1, I16 = 0)</f>
        <v>0</v>
      </c>
    </row>
    <row r="17" spans="1:12" x14ac:dyDescent="0.2">
      <c r="A17" s="96" t="s">
        <v>386</v>
      </c>
      <c r="B17" s="90" t="s">
        <v>72</v>
      </c>
      <c r="C17" s="22">
        <v>1</v>
      </c>
      <c r="D17" s="3">
        <f>SUMIF(support!C:C,B17,support!I:I)</f>
        <v>0.38149997823116744</v>
      </c>
      <c r="E17" s="112">
        <f>D17 / C17</f>
        <v>0.38149997823116744</v>
      </c>
      <c r="F17" s="107">
        <f>SUMIF(support!C:C,B17,support!J:J)</f>
        <v>0</v>
      </c>
      <c r="G17" s="107">
        <f>SUMIF(support!C:C,B17,support!K:K)</f>
        <v>0</v>
      </c>
      <c r="H17" s="3"/>
      <c r="I17" s="80">
        <f>SUMIF(support!C:C,B17,support!L:L)</f>
        <v>1</v>
      </c>
      <c r="J17" s="23" t="b">
        <f>OR(COUNTIF(E17:G17, "&lt;&gt;0") &gt; 1, I17 = 0)</f>
        <v>0</v>
      </c>
    </row>
    <row r="18" spans="1:12" x14ac:dyDescent="0.2">
      <c r="A18" s="96" t="s">
        <v>386</v>
      </c>
      <c r="B18" s="90" t="s">
        <v>73</v>
      </c>
      <c r="C18" s="22">
        <v>1</v>
      </c>
      <c r="D18" s="3">
        <f>SUMIF(support!C:C,B18,support!I:I)</f>
        <v>0.85849995101299414</v>
      </c>
      <c r="E18" s="112">
        <f>D18 / C18</f>
        <v>0.85849995101299414</v>
      </c>
      <c r="F18" s="107">
        <f>SUMIF(support!C:C,B18,support!J:J)</f>
        <v>0</v>
      </c>
      <c r="G18" s="107">
        <f>SUMIF(support!C:C,B18,support!K:K)</f>
        <v>0</v>
      </c>
      <c r="H18" s="3"/>
      <c r="I18" s="80">
        <f>SUMIF(support!C:C,B18,support!L:L)</f>
        <v>1</v>
      </c>
      <c r="J18" s="23" t="b">
        <f>OR(COUNTIF(E18:G18, "&lt;&gt;0") &gt; 1, I18 = 0)</f>
        <v>0</v>
      </c>
    </row>
    <row r="19" spans="1:12" s="27" customFormat="1" x14ac:dyDescent="0.2">
      <c r="A19" s="96" t="s">
        <v>386</v>
      </c>
      <c r="B19" s="90" t="s">
        <v>250</v>
      </c>
      <c r="C19" s="22">
        <v>1</v>
      </c>
      <c r="D19" s="3">
        <f>SUMIF(support!C:C,B19,support!I:I)</f>
        <v>2.0000042535313184E-3</v>
      </c>
      <c r="E19" s="112">
        <f>D19 / C19</f>
        <v>2.0000042535313184E-3</v>
      </c>
      <c r="F19" s="107">
        <f>SUMIF(support!C:C,B19,support!J:J)</f>
        <v>0</v>
      </c>
      <c r="G19" s="107">
        <f>SUMIF(support!C:C,B19,support!K:K)</f>
        <v>0</v>
      </c>
      <c r="H19" s="3"/>
      <c r="I19" s="80">
        <f>SUMIF(support!C:C,B19,support!L:L)</f>
        <v>1</v>
      </c>
      <c r="J19" s="23" t="b">
        <f>OR(COUNTIF(E19:G19, "&lt;&gt;0") &gt; 1, I19 = 0)</f>
        <v>0</v>
      </c>
      <c r="L19" s="1"/>
    </row>
    <row r="20" spans="1:12" s="27" customFormat="1" x14ac:dyDescent="0.2">
      <c r="A20" s="96" t="s">
        <v>386</v>
      </c>
      <c r="B20" s="90" t="s">
        <v>164</v>
      </c>
      <c r="C20" s="22">
        <v>1</v>
      </c>
      <c r="D20" s="3">
        <f>SUMIF(support!C:C,B20,support!I:I)</f>
        <v>1.1646249335451464</v>
      </c>
      <c r="E20" s="112">
        <f>D20 / C20</f>
        <v>1.1646249335451464</v>
      </c>
      <c r="F20" s="107">
        <f>SUMIF(support!C:C,B20,support!J:J)</f>
        <v>0</v>
      </c>
      <c r="G20" s="107">
        <f>SUMIF(support!C:C,B20,support!K:K)</f>
        <v>0</v>
      </c>
      <c r="H20" s="3"/>
      <c r="I20" s="80">
        <f>SUMIF(support!C:C,B20,support!L:L)</f>
        <v>2</v>
      </c>
      <c r="J20" s="23" t="b">
        <f>OR(COUNTIF(E20:G20, "&lt;&gt;0") &gt; 1, I20 = 0)</f>
        <v>0</v>
      </c>
      <c r="L20" s="1"/>
    </row>
    <row r="21" spans="1:12" x14ac:dyDescent="0.2">
      <c r="A21" s="96" t="s">
        <v>386</v>
      </c>
      <c r="B21" s="90" t="s">
        <v>10</v>
      </c>
      <c r="C21" s="22">
        <v>1</v>
      </c>
      <c r="D21" s="3">
        <f>SUMIF(support!C:C,B21,support!I:I)</f>
        <v>2.8333393591693682E-2</v>
      </c>
      <c r="E21" s="112">
        <f>D21 / C21</f>
        <v>2.8333393591693682E-2</v>
      </c>
      <c r="F21" s="107">
        <f>SUMIF(support!C:C,B21,support!J:J)</f>
        <v>0</v>
      </c>
      <c r="G21" s="107">
        <f>SUMIF(support!C:C,B21,support!K:K)</f>
        <v>0</v>
      </c>
      <c r="H21" s="3"/>
      <c r="I21" s="80">
        <f>SUMIF(support!C:C,B21,support!L:L)</f>
        <v>1</v>
      </c>
      <c r="J21" s="23" t="b">
        <f>OR(COUNTIF(E21:G21, "&lt;&gt;0") &gt; 1, I21 = 0)</f>
        <v>0</v>
      </c>
      <c r="L21" s="27"/>
    </row>
    <row r="22" spans="1:12" s="27" customFormat="1" x14ac:dyDescent="0.2">
      <c r="A22" s="96" t="s">
        <v>386</v>
      </c>
      <c r="B22" s="90" t="s">
        <v>126</v>
      </c>
      <c r="C22" s="22">
        <v>1</v>
      </c>
      <c r="D22" s="3">
        <f>SUMIF(support!C:C,B22,support!I:I)</f>
        <v>4.0944531523682826E-2</v>
      </c>
      <c r="E22" s="112">
        <f>D22 / C22</f>
        <v>4.0944531523682826E-2</v>
      </c>
      <c r="F22" s="107">
        <f>SUMIF(support!C:C,B22,support!J:J)</f>
        <v>0</v>
      </c>
      <c r="G22" s="107">
        <f>SUMIF(support!C:C,B22,support!K:K)</f>
        <v>0</v>
      </c>
      <c r="H22" s="3"/>
      <c r="I22" s="80">
        <f>SUMIF(support!C:C,B22,support!L:L)</f>
        <v>2</v>
      </c>
      <c r="J22" s="23" t="b">
        <f>OR(COUNTIF(E22:G22, "&lt;&gt;0") &gt; 1, I22 = 0)</f>
        <v>0</v>
      </c>
    </row>
    <row r="23" spans="1:12" x14ac:dyDescent="0.2">
      <c r="A23" s="96" t="s">
        <v>386</v>
      </c>
      <c r="B23" s="90" t="s">
        <v>14</v>
      </c>
      <c r="C23" s="22">
        <v>1</v>
      </c>
      <c r="D23" s="3">
        <f>SUMIF(support!C:C,B23,support!I:I)</f>
        <v>2.688894607525439E-2</v>
      </c>
      <c r="E23" s="112">
        <f>D23 / C23</f>
        <v>2.688894607525439E-2</v>
      </c>
      <c r="F23" s="107">
        <f>SUMIF(support!C:C,B23,support!J:J)</f>
        <v>0</v>
      </c>
      <c r="G23" s="107">
        <f>SUMIF(support!C:C,B23,support!K:K)</f>
        <v>0</v>
      </c>
      <c r="H23" s="3"/>
      <c r="I23" s="80">
        <f>SUMIF(support!C:C,B23,support!L:L)</f>
        <v>3</v>
      </c>
      <c r="J23" s="23" t="b">
        <f>OR(COUNTIF(E23:G23, "&lt;&gt;0") &gt; 1, I23 = 0)</f>
        <v>0</v>
      </c>
    </row>
    <row r="24" spans="1:12" x14ac:dyDescent="0.2">
      <c r="A24" s="96" t="s">
        <v>386</v>
      </c>
      <c r="B24" s="90" t="s">
        <v>274</v>
      </c>
      <c r="C24" s="22">
        <v>1</v>
      </c>
      <c r="D24" s="3">
        <f>SUMIF(support!C:C,B24,support!I:I)</f>
        <v>7.4666825465169229E-2</v>
      </c>
      <c r="E24" s="112">
        <f>D24 / C24</f>
        <v>7.4666825465169229E-2</v>
      </c>
      <c r="F24" s="107">
        <f>SUMIF(support!C:C,B24,support!J:J)</f>
        <v>0</v>
      </c>
      <c r="G24" s="107">
        <f>SUMIF(support!C:C,B24,support!K:K)</f>
        <v>0</v>
      </c>
      <c r="H24" s="3"/>
      <c r="I24" s="80">
        <f>SUMIF(support!C:C,B24,support!L:L)</f>
        <v>6</v>
      </c>
      <c r="J24" s="23" t="b">
        <f>OR(COUNTIF(E24:G24, "&lt;&gt;0") &gt; 1, I24 = 0)</f>
        <v>0</v>
      </c>
      <c r="L24" s="27"/>
    </row>
    <row r="25" spans="1:12" x14ac:dyDescent="0.2">
      <c r="A25" s="96" t="s">
        <v>386</v>
      </c>
      <c r="B25" s="90" t="s">
        <v>77</v>
      </c>
      <c r="C25" s="22">
        <v>1</v>
      </c>
      <c r="D25" s="3">
        <f>SUMIF(support!C:C,B25,support!I:I)</f>
        <v>8.6666850986357128E-3</v>
      </c>
      <c r="E25" s="112">
        <f>D25 / C25</f>
        <v>8.6666850986357128E-3</v>
      </c>
      <c r="F25" s="107">
        <f>SUMIF(support!C:C,B25,support!J:J)</f>
        <v>0</v>
      </c>
      <c r="G25" s="107">
        <f>SUMIF(support!C:C,B25,support!K:K)</f>
        <v>0</v>
      </c>
      <c r="H25" s="3"/>
      <c r="I25" s="80">
        <f>SUMIF(support!C:C,B25,support!L:L)</f>
        <v>1</v>
      </c>
      <c r="J25" s="23" t="b">
        <f>OR(COUNTIF(E25:G25, "&lt;&gt;0") &gt; 1, I25 = 0)</f>
        <v>0</v>
      </c>
    </row>
    <row r="26" spans="1:12" x14ac:dyDescent="0.2">
      <c r="A26" s="96" t="s">
        <v>388</v>
      </c>
      <c r="B26" s="90" t="s">
        <v>459</v>
      </c>
      <c r="C26" s="22">
        <v>1</v>
      </c>
      <c r="D26" s="3">
        <f>SUMIF(support!C:C,B26,support!I:I)</f>
        <v>1.4849999999999999</v>
      </c>
      <c r="E26" s="112">
        <f>D26 / C26</f>
        <v>1.4849999999999999</v>
      </c>
      <c r="F26" s="107">
        <f>SUMIF(support!C:C,B26,support!J:J)</f>
        <v>0</v>
      </c>
      <c r="G26" s="107">
        <f>SUMIF(support!C:C,B26,support!K:K)</f>
        <v>0</v>
      </c>
      <c r="H26" s="3"/>
      <c r="I26" s="80">
        <f>SUMIF(support!C:C,B26,support!L:L)</f>
        <v>1</v>
      </c>
      <c r="J26" s="23" t="b">
        <f>OR(COUNTIF(E26:G26, "&lt;&gt;0") &gt; 1, I26 = 0)</f>
        <v>0</v>
      </c>
    </row>
    <row r="27" spans="1:12" x14ac:dyDescent="0.2">
      <c r="A27" s="96" t="s">
        <v>388</v>
      </c>
      <c r="B27" s="90" t="s">
        <v>152</v>
      </c>
      <c r="C27" s="22">
        <v>1</v>
      </c>
      <c r="D27" s="3">
        <f>SUMIF(support!C:C,B27,support!I:I)</f>
        <v>0</v>
      </c>
      <c r="E27" s="112">
        <f>D27 / C27</f>
        <v>0</v>
      </c>
      <c r="F27" s="107">
        <f>SUMIF(support!C:C,B27,support!J:J)</f>
        <v>0.47317647299999999</v>
      </c>
      <c r="G27" s="107">
        <f>SUMIF(support!C:C,B27,support!K:K)</f>
        <v>0</v>
      </c>
      <c r="H27" s="3"/>
      <c r="I27" s="80">
        <f>SUMIF(support!C:C,B27,support!L:L)</f>
        <v>1</v>
      </c>
      <c r="J27" s="23" t="b">
        <f>OR(COUNTIF(E27:G27, "&lt;&gt;0") &gt; 1, I27 = 0)</f>
        <v>0</v>
      </c>
    </row>
    <row r="28" spans="1:12" x14ac:dyDescent="0.2">
      <c r="A28" s="96" t="s">
        <v>388</v>
      </c>
      <c r="B28" s="90" t="s">
        <v>163</v>
      </c>
      <c r="C28" s="22">
        <v>1</v>
      </c>
      <c r="D28" s="3">
        <f>SUMIF(support!C:C,B28,support!I:I)</f>
        <v>1.98</v>
      </c>
      <c r="E28" s="112">
        <f>D28 / C28</f>
        <v>1.98</v>
      </c>
      <c r="F28" s="107">
        <f>SUMIF(support!C:C,B28,support!J:J)</f>
        <v>0</v>
      </c>
      <c r="G28" s="107">
        <f>SUMIF(support!C:C,B28,support!K:K)</f>
        <v>0</v>
      </c>
      <c r="H28" s="3"/>
      <c r="I28" s="80">
        <f>SUMIF(support!C:C,B28,support!L:L)</f>
        <v>1</v>
      </c>
      <c r="J28" s="23" t="b">
        <f>OR(COUNTIF(E28:G28, "&lt;&gt;0") &gt; 1, I28 = 0)</f>
        <v>0</v>
      </c>
    </row>
    <row r="29" spans="1:12" x14ac:dyDescent="0.2">
      <c r="A29" s="96" t="s">
        <v>388</v>
      </c>
      <c r="B29" s="131" t="s">
        <v>496</v>
      </c>
      <c r="C29" s="22"/>
      <c r="D29" s="3"/>
      <c r="E29" s="112"/>
      <c r="F29" s="107"/>
      <c r="G29" s="107"/>
      <c r="H29" s="3" t="s">
        <v>497</v>
      </c>
      <c r="I29" s="80"/>
      <c r="J29" s="23"/>
    </row>
    <row r="30" spans="1:12" x14ac:dyDescent="0.2">
      <c r="A30" s="96" t="s">
        <v>388</v>
      </c>
      <c r="B30" s="90" t="s">
        <v>90</v>
      </c>
      <c r="C30" s="22">
        <v>1</v>
      </c>
      <c r="D30" s="3">
        <f>SUMIF(support!C:C,B30,support!I:I)</f>
        <v>0</v>
      </c>
      <c r="E30" s="112">
        <f>D30 / C30</f>
        <v>0</v>
      </c>
      <c r="F30" s="107">
        <f>SUMIF(support!C:C,B30,support!J:J)</f>
        <v>5.9147059124999998E-2</v>
      </c>
      <c r="G30" s="107">
        <f>SUMIF(support!C:C,B30,support!K:K)</f>
        <v>0</v>
      </c>
      <c r="H30" s="3"/>
      <c r="I30" s="80">
        <f>SUMIF(support!C:C,B30,support!L:L)</f>
        <v>1</v>
      </c>
      <c r="J30" s="23" t="b">
        <f>OR(COUNTIF(E30:G30, "&lt;&gt;0") &gt; 1, I30 = 0)</f>
        <v>0</v>
      </c>
    </row>
    <row r="31" spans="1:12" x14ac:dyDescent="0.2">
      <c r="A31" s="96" t="s">
        <v>388</v>
      </c>
      <c r="B31" s="131" t="s">
        <v>495</v>
      </c>
      <c r="C31" s="22"/>
      <c r="D31" s="3"/>
      <c r="E31" s="112"/>
      <c r="F31" s="107"/>
      <c r="G31" s="107"/>
      <c r="H31" s="3" t="s">
        <v>492</v>
      </c>
      <c r="I31" s="80"/>
      <c r="J31" s="23"/>
    </row>
    <row r="32" spans="1:12" s="27" customFormat="1" x14ac:dyDescent="0.2">
      <c r="A32" s="96" t="s">
        <v>388</v>
      </c>
      <c r="B32" s="131" t="s">
        <v>501</v>
      </c>
      <c r="C32" s="22"/>
      <c r="D32" s="3"/>
      <c r="E32" s="112"/>
      <c r="F32" s="107"/>
      <c r="G32" s="107"/>
      <c r="H32" s="3" t="s">
        <v>502</v>
      </c>
      <c r="I32" s="80"/>
      <c r="J32" s="23"/>
    </row>
    <row r="33" spans="1:12" s="27" customFormat="1" x14ac:dyDescent="0.2">
      <c r="A33" s="96" t="s">
        <v>388</v>
      </c>
      <c r="B33" s="90" t="s">
        <v>51</v>
      </c>
      <c r="C33" s="22">
        <v>1</v>
      </c>
      <c r="D33" s="3">
        <f>SUMIF(support!C:C,B33,support!I:I)</f>
        <v>0</v>
      </c>
      <c r="E33" s="112">
        <f>D33 / C33</f>
        <v>0</v>
      </c>
      <c r="F33" s="107">
        <f>SUMIF(support!C:C,B33,support!J:J)</f>
        <v>8.7488358289062484E-2</v>
      </c>
      <c r="G33" s="107">
        <f>SUMIF(support!C:C,B33,support!K:K)</f>
        <v>0</v>
      </c>
      <c r="H33" s="3"/>
      <c r="I33" s="80">
        <f>SUMIF(support!C:C,B33,support!L:L)</f>
        <v>2</v>
      </c>
      <c r="J33" s="23" t="b">
        <f>OR(COUNTIF(E33:G33, "&lt;&gt;0") &gt; 1, I33 = 0)</f>
        <v>0</v>
      </c>
    </row>
    <row r="34" spans="1:12" s="27" customFormat="1" x14ac:dyDescent="0.2">
      <c r="A34" s="96" t="s">
        <v>388</v>
      </c>
      <c r="B34" s="131" t="s">
        <v>504</v>
      </c>
      <c r="C34" s="22"/>
      <c r="D34" s="3"/>
      <c r="E34" s="112"/>
      <c r="F34" s="107"/>
      <c r="G34" s="107"/>
      <c r="H34" s="3" t="s">
        <v>505</v>
      </c>
      <c r="I34" s="80"/>
      <c r="J34" s="23"/>
    </row>
    <row r="35" spans="1:12" s="27" customFormat="1" x14ac:dyDescent="0.2">
      <c r="A35" s="96" t="s">
        <v>388</v>
      </c>
      <c r="B35" s="131" t="s">
        <v>493</v>
      </c>
      <c r="C35" s="22"/>
      <c r="D35" s="3"/>
      <c r="E35" s="112"/>
      <c r="F35" s="107"/>
      <c r="G35" s="107"/>
      <c r="H35" s="3" t="s">
        <v>494</v>
      </c>
      <c r="I35" s="80"/>
      <c r="J35" s="23"/>
    </row>
    <row r="36" spans="1:12" s="27" customFormat="1" x14ac:dyDescent="0.2">
      <c r="A36" s="96" t="s">
        <v>388</v>
      </c>
      <c r="B36" s="131" t="s">
        <v>507</v>
      </c>
      <c r="C36" s="22"/>
      <c r="D36" s="3"/>
      <c r="E36" s="112"/>
      <c r="F36" s="107"/>
      <c r="G36" s="107"/>
      <c r="H36" s="3" t="s">
        <v>508</v>
      </c>
      <c r="I36" s="80"/>
      <c r="J36" s="23"/>
    </row>
    <row r="37" spans="1:12" s="27" customFormat="1" x14ac:dyDescent="0.2">
      <c r="A37" s="96" t="s">
        <v>388</v>
      </c>
      <c r="B37" s="90" t="s">
        <v>160</v>
      </c>
      <c r="C37" s="22">
        <v>1</v>
      </c>
      <c r="D37" s="3">
        <f>SUMIF(support!C:C,B37,support!I:I)</f>
        <v>0</v>
      </c>
      <c r="E37" s="112">
        <f>D37 / C37</f>
        <v>0</v>
      </c>
      <c r="F37" s="107">
        <f>SUMIF(support!C:C,B37,support!J:J)</f>
        <v>0.76891176862499999</v>
      </c>
      <c r="G37" s="107">
        <f>SUMIF(support!C:C,B37,support!K:K)</f>
        <v>0</v>
      </c>
      <c r="H37" s="82" t="s">
        <v>155</v>
      </c>
      <c r="I37" s="80">
        <f>SUMIF(support!C:C,B37,support!L:L)</f>
        <v>1</v>
      </c>
      <c r="J37" s="28" t="b">
        <f>OR(COUNTIF(E37:G37, "&lt;&gt;0") &gt; 1, I37 = 0)</f>
        <v>0</v>
      </c>
    </row>
    <row r="38" spans="1:12" s="27" customFormat="1" x14ac:dyDescent="0.2">
      <c r="A38" s="96" t="s">
        <v>388</v>
      </c>
      <c r="B38" s="90" t="s">
        <v>56</v>
      </c>
      <c r="C38" s="22">
        <v>1</v>
      </c>
      <c r="D38" s="3">
        <f>SUMIF(support!C:C,B38,support!I:I)</f>
        <v>0</v>
      </c>
      <c r="E38" s="112">
        <f>D38 / C38</f>
        <v>0</v>
      </c>
      <c r="F38" s="107">
        <f>SUMIF(support!C:C,B38,support!J:J)</f>
        <v>0</v>
      </c>
      <c r="G38" s="107">
        <f>SUMIF(support!C:C,B38,support!K:K)</f>
        <v>0</v>
      </c>
      <c r="H38" s="3"/>
      <c r="I38" s="80">
        <f>SUMIF(support!C:C,B38,support!L:L)</f>
        <v>4</v>
      </c>
      <c r="J38" s="23" t="b">
        <f>OR(COUNTIF(E38:G38, "&lt;&gt;0") &gt; 1, I38 = 0)</f>
        <v>0</v>
      </c>
    </row>
    <row r="39" spans="1:12" x14ac:dyDescent="0.2">
      <c r="A39" s="96" t="s">
        <v>388</v>
      </c>
      <c r="B39" s="131" t="s">
        <v>513</v>
      </c>
      <c r="C39" s="22"/>
      <c r="D39" s="3"/>
      <c r="E39" s="112"/>
      <c r="F39" s="107"/>
      <c r="G39" s="107"/>
      <c r="H39" s="3" t="s">
        <v>514</v>
      </c>
      <c r="I39" s="80"/>
      <c r="J39" s="23"/>
    </row>
    <row r="40" spans="1:12" s="27" customFormat="1" x14ac:dyDescent="0.2">
      <c r="A40" s="96" t="s">
        <v>388</v>
      </c>
      <c r="B40" s="131" t="s">
        <v>511</v>
      </c>
      <c r="C40" s="22"/>
      <c r="D40" s="3"/>
      <c r="E40" s="112"/>
      <c r="F40" s="107"/>
      <c r="G40" s="107"/>
      <c r="H40" s="3" t="s">
        <v>523</v>
      </c>
      <c r="I40" s="80"/>
      <c r="J40" s="23"/>
    </row>
    <row r="41" spans="1:12" s="27" customFormat="1" x14ac:dyDescent="0.2">
      <c r="A41" s="96" t="s">
        <v>388</v>
      </c>
      <c r="B41" s="131" t="s">
        <v>485</v>
      </c>
      <c r="C41" s="22"/>
      <c r="D41" s="3"/>
      <c r="E41" s="112"/>
      <c r="F41" s="107"/>
      <c r="G41" s="107"/>
      <c r="H41" s="3" t="s">
        <v>486</v>
      </c>
      <c r="I41" s="80"/>
      <c r="J41" s="23"/>
    </row>
    <row r="42" spans="1:12" s="27" customFormat="1" x14ac:dyDescent="0.2">
      <c r="A42" s="96" t="s">
        <v>388</v>
      </c>
      <c r="B42" s="131" t="s">
        <v>476</v>
      </c>
      <c r="C42" s="22"/>
      <c r="D42" s="3"/>
      <c r="E42" s="112"/>
      <c r="F42" s="107"/>
      <c r="G42" s="107"/>
      <c r="H42" s="3" t="s">
        <v>477</v>
      </c>
      <c r="I42" s="80"/>
      <c r="J42" s="23"/>
      <c r="L42" s="1"/>
    </row>
    <row r="43" spans="1:12" x14ac:dyDescent="0.2">
      <c r="A43" s="96" t="s">
        <v>388</v>
      </c>
      <c r="B43" s="131" t="s">
        <v>517</v>
      </c>
      <c r="C43" s="22"/>
      <c r="D43" s="3"/>
      <c r="E43" s="112"/>
      <c r="F43" s="107"/>
      <c r="G43" s="107"/>
      <c r="H43" s="3"/>
      <c r="I43" s="80"/>
      <c r="J43" s="23"/>
    </row>
    <row r="44" spans="1:12" x14ac:dyDescent="0.2">
      <c r="A44" s="96" t="s">
        <v>388</v>
      </c>
      <c r="B44" s="131" t="s">
        <v>516</v>
      </c>
      <c r="C44" s="22"/>
      <c r="D44" s="3"/>
      <c r="E44" s="112"/>
      <c r="F44" s="107"/>
      <c r="G44" s="107"/>
      <c r="H44" s="3"/>
      <c r="I44" s="80"/>
      <c r="J44" s="23"/>
      <c r="L44" s="27"/>
    </row>
    <row r="45" spans="1:12" x14ac:dyDescent="0.2">
      <c r="A45" s="96" t="s">
        <v>388</v>
      </c>
      <c r="B45" s="90" t="s">
        <v>451</v>
      </c>
      <c r="C45" s="22">
        <v>1</v>
      </c>
      <c r="D45" s="3">
        <f>SUMIF(support!C:C,B45,support!I:I)</f>
        <v>0</v>
      </c>
      <c r="E45" s="112">
        <f>D45 / C45</f>
        <v>0</v>
      </c>
      <c r="F45" s="107">
        <f>SUMIF(support!C:C,B45,support!J:J)</f>
        <v>15.458675372910001</v>
      </c>
      <c r="G45" s="107">
        <f>SUMIF(support!C:C,B45,support!K:K)</f>
        <v>0</v>
      </c>
      <c r="H45" s="3"/>
      <c r="I45" s="80">
        <f>SUMIF(support!C:C,B45,support!L:L)</f>
        <v>1</v>
      </c>
      <c r="J45" s="23" t="b">
        <f>OR(COUNTIF(E45:G45, "&lt;&gt;0") &gt; 1, I45 = 0)</f>
        <v>0</v>
      </c>
    </row>
    <row r="46" spans="1:12" s="27" customFormat="1" x14ac:dyDescent="0.2">
      <c r="A46" s="96" t="s">
        <v>388</v>
      </c>
      <c r="B46" s="131" t="s">
        <v>478</v>
      </c>
      <c r="C46" s="22"/>
      <c r="D46" s="3"/>
      <c r="E46" s="112"/>
      <c r="F46" s="107"/>
      <c r="G46" s="107"/>
      <c r="H46" s="3" t="s">
        <v>479</v>
      </c>
      <c r="I46" s="80"/>
      <c r="J46" s="23"/>
      <c r="L46" s="1"/>
    </row>
    <row r="47" spans="1:12" s="27" customFormat="1" x14ac:dyDescent="0.2">
      <c r="A47" s="96" t="s">
        <v>388</v>
      </c>
      <c r="B47" s="90" t="s">
        <v>42</v>
      </c>
      <c r="C47" s="22">
        <v>1</v>
      </c>
      <c r="D47" s="3">
        <f>SUMIF(support!C:C,B47,support!I:I)</f>
        <v>0</v>
      </c>
      <c r="E47" s="112">
        <f>D47 / C47</f>
        <v>0</v>
      </c>
      <c r="F47" s="107">
        <f>SUMIF(support!C:C,B47,support!J:J)</f>
        <v>4.8056985539062499E-2</v>
      </c>
      <c r="G47" s="107">
        <f>SUMIF(support!C:C,B47,support!K:K)</f>
        <v>0</v>
      </c>
      <c r="H47" s="3"/>
      <c r="I47" s="80">
        <f>SUMIF(support!C:C,B47,support!L:L)</f>
        <v>1</v>
      </c>
      <c r="J47" s="23" t="b">
        <f>OR(COUNTIF(E47:G47, "&lt;&gt;0") &gt; 1, I47 = 0)</f>
        <v>0</v>
      </c>
      <c r="L47" s="1"/>
    </row>
    <row r="48" spans="1:12" x14ac:dyDescent="0.2">
      <c r="A48" s="96" t="s">
        <v>388</v>
      </c>
      <c r="B48" s="131" t="s">
        <v>488</v>
      </c>
      <c r="C48" s="22"/>
      <c r="D48" s="3"/>
      <c r="E48" s="112"/>
      <c r="F48" s="107"/>
      <c r="G48" s="107"/>
      <c r="H48" s="3" t="s">
        <v>489</v>
      </c>
      <c r="I48" s="80"/>
      <c r="J48" s="23"/>
      <c r="L48" s="27"/>
    </row>
    <row r="49" spans="1:10" s="27" customFormat="1" x14ac:dyDescent="0.2">
      <c r="A49" s="96" t="s">
        <v>388</v>
      </c>
      <c r="B49" s="90" t="s">
        <v>32</v>
      </c>
      <c r="C49" s="22">
        <v>1</v>
      </c>
      <c r="D49" s="3">
        <f>SUMIF(support!C:C,B49,support!I:I)</f>
        <v>0</v>
      </c>
      <c r="E49" s="112">
        <f>D49 / C49</f>
        <v>0</v>
      </c>
      <c r="F49" s="107">
        <f>SUMIF(support!C:C,B49,support!J:J)</f>
        <v>0.58407720885937497</v>
      </c>
      <c r="G49" s="107">
        <f>SUMIF(support!C:C,B49,support!K:K)</f>
        <v>0</v>
      </c>
      <c r="H49" s="3"/>
      <c r="I49" s="80">
        <f>SUMIF(support!C:C,B49,support!L:L)</f>
        <v>7</v>
      </c>
      <c r="J49" s="23" t="b">
        <f>OR(COUNTIF(E49:G49, "&lt;&gt;0") &gt; 1, I49 = 0)</f>
        <v>0</v>
      </c>
    </row>
    <row r="50" spans="1:10" s="27" customFormat="1" x14ac:dyDescent="0.2">
      <c r="A50" s="96" t="s">
        <v>388</v>
      </c>
      <c r="B50" s="90" t="s">
        <v>460</v>
      </c>
      <c r="C50" s="22">
        <v>1</v>
      </c>
      <c r="D50" s="3">
        <f>SUMIF(support!C:C,B50,support!I:I)</f>
        <v>0.97499999999999998</v>
      </c>
      <c r="E50" s="112">
        <f>D50 / C50</f>
        <v>0.97499999999999998</v>
      </c>
      <c r="F50" s="107">
        <f>SUMIF(support!C:C,B50,support!J:J)</f>
        <v>0</v>
      </c>
      <c r="G50" s="107">
        <f>SUMIF(support!C:C,B50,support!K:K)</f>
        <v>0</v>
      </c>
      <c r="H50" s="3"/>
      <c r="I50" s="80">
        <f>SUMIF(support!C:C,B50,support!L:L)</f>
        <v>1</v>
      </c>
      <c r="J50" s="23" t="b">
        <f>OR(COUNTIF(E50:G50, "&lt;&gt;0") &gt; 1, I50 = 0)</f>
        <v>0</v>
      </c>
    </row>
    <row r="51" spans="1:10" s="27" customFormat="1" x14ac:dyDescent="0.2">
      <c r="A51" s="96" t="s">
        <v>388</v>
      </c>
      <c r="B51" s="90" t="s">
        <v>53</v>
      </c>
      <c r="C51" s="22">
        <v>1</v>
      </c>
      <c r="D51" s="3">
        <f>SUMIF(support!C:C,B51,support!I:I)</f>
        <v>0</v>
      </c>
      <c r="E51" s="112">
        <f>D51 / C51</f>
        <v>0</v>
      </c>
      <c r="F51" s="107">
        <f>SUMIF(support!C:C,B51,support!J:J)</f>
        <v>5.9147059124999998E-2</v>
      </c>
      <c r="G51" s="107">
        <f>SUMIF(support!C:C,B51,support!K:K)</f>
        <v>0</v>
      </c>
      <c r="H51" s="3"/>
      <c r="I51" s="80">
        <f>SUMIF(support!C:C,B51,support!L:L)</f>
        <v>1</v>
      </c>
      <c r="J51" s="23" t="b">
        <f>OR(COUNTIF(E51:G51, "&lt;&gt;0") &gt; 1, I51 = 0)</f>
        <v>0</v>
      </c>
    </row>
    <row r="52" spans="1:10" s="27" customFormat="1" x14ac:dyDescent="0.2">
      <c r="A52" s="96" t="s">
        <v>388</v>
      </c>
      <c r="B52" s="90" t="s">
        <v>82</v>
      </c>
      <c r="C52" s="22">
        <v>1</v>
      </c>
      <c r="D52" s="3">
        <f>SUMIF(support!C:C,B52,support!I:I)</f>
        <v>0</v>
      </c>
      <c r="E52" s="112">
        <f>D52 / C52</f>
        <v>0</v>
      </c>
      <c r="F52" s="107">
        <f>SUMIF(support!C:C,B52,support!J:J)</f>
        <v>0.70976470949999992</v>
      </c>
      <c r="G52" s="107">
        <f>SUMIF(support!C:C,B52,support!K:K)</f>
        <v>0</v>
      </c>
      <c r="H52" s="3"/>
      <c r="I52" s="80">
        <f>SUMIF(support!C:C,B52,support!L:L)</f>
        <v>2</v>
      </c>
      <c r="J52" s="23" t="b">
        <f>OR(COUNTIF(E52:G52, "&lt;&gt;0") &gt; 1, I52 = 0)</f>
        <v>0</v>
      </c>
    </row>
    <row r="53" spans="1:10" s="27" customFormat="1" x14ac:dyDescent="0.2">
      <c r="A53" s="96" t="s">
        <v>388</v>
      </c>
      <c r="B53" s="90" t="s">
        <v>92</v>
      </c>
      <c r="C53" s="22">
        <v>1</v>
      </c>
      <c r="D53" s="3">
        <f>SUMIF(support!C:C,B53,support!I:I)</f>
        <v>0</v>
      </c>
      <c r="E53" s="112">
        <f>D53 / C53</f>
        <v>0</v>
      </c>
      <c r="F53" s="107">
        <f>SUMIF(support!C:C,B53,support!J:J)</f>
        <v>0.23658823649999999</v>
      </c>
      <c r="G53" s="107">
        <f>SUMIF(support!C:C,B53,support!K:K)</f>
        <v>0</v>
      </c>
      <c r="H53" s="82" t="s">
        <v>487</v>
      </c>
      <c r="I53" s="80">
        <f>SUMIF(support!C:C,B53,support!L:L)</f>
        <v>1</v>
      </c>
      <c r="J53" s="23" t="b">
        <f>OR(COUNTIF(E53:G53, "&lt;&gt;0") &gt; 1, I53 = 0)</f>
        <v>0</v>
      </c>
    </row>
    <row r="54" spans="1:10" s="27" customFormat="1" x14ac:dyDescent="0.2">
      <c r="A54" s="96" t="s">
        <v>388</v>
      </c>
      <c r="B54" s="131" t="s">
        <v>518</v>
      </c>
      <c r="C54" s="22"/>
      <c r="D54" s="3"/>
      <c r="E54" s="112"/>
      <c r="F54" s="107"/>
      <c r="G54" s="107"/>
      <c r="H54" s="3"/>
      <c r="I54" s="80"/>
      <c r="J54" s="23"/>
    </row>
    <row r="55" spans="1:10" s="27" customFormat="1" x14ac:dyDescent="0.2">
      <c r="A55" s="96" t="s">
        <v>388</v>
      </c>
      <c r="B55" s="90" t="s">
        <v>452</v>
      </c>
      <c r="C55" s="22">
        <v>1</v>
      </c>
      <c r="D55" s="3">
        <f>SUMIF(support!C:C,B55,support!I:I)</f>
        <v>0</v>
      </c>
      <c r="E55" s="112">
        <f>D55 / C55</f>
        <v>0</v>
      </c>
      <c r="F55" s="107">
        <f>SUMIF(support!C:C,B55,support!J:J)</f>
        <v>7.3342353314999995</v>
      </c>
      <c r="G55" s="107">
        <f>SUMIF(support!C:C,B55,support!K:K)</f>
        <v>0</v>
      </c>
      <c r="H55" s="3"/>
      <c r="I55" s="80">
        <f>SUMIF(support!C:C,B55,support!L:L)</f>
        <v>1</v>
      </c>
      <c r="J55" s="23" t="b">
        <f>OR(COUNTIF(E55:G55, "&lt;&gt;0") &gt; 1, I55 = 0)</f>
        <v>0</v>
      </c>
    </row>
    <row r="56" spans="1:10" s="27" customFormat="1" x14ac:dyDescent="0.2">
      <c r="A56" s="96" t="s">
        <v>388</v>
      </c>
      <c r="B56" s="90" t="s">
        <v>453</v>
      </c>
      <c r="C56" s="22">
        <v>1</v>
      </c>
      <c r="D56" s="3">
        <f>SUMIF(support!C:C,B56,support!I:I)</f>
        <v>0</v>
      </c>
      <c r="E56" s="112">
        <f>D56 / C56</f>
        <v>0</v>
      </c>
      <c r="F56" s="107">
        <f>SUMIF(support!C:C,B56,support!J:J)</f>
        <v>3.3122353109999998</v>
      </c>
      <c r="G56" s="107">
        <f>SUMIF(support!C:C,B56,support!K:K)</f>
        <v>0</v>
      </c>
      <c r="H56" s="3"/>
      <c r="I56" s="80">
        <f>SUMIF(support!C:C,B56,support!L:L)</f>
        <v>1</v>
      </c>
      <c r="J56" s="23" t="b">
        <f>OR(COUNTIF(E56:G56, "&lt;&gt;0") &gt; 1, I56 = 0)</f>
        <v>0</v>
      </c>
    </row>
    <row r="57" spans="1:10" s="27" customFormat="1" x14ac:dyDescent="0.2">
      <c r="A57" s="96" t="s">
        <v>388</v>
      </c>
      <c r="B57" s="131" t="s">
        <v>503</v>
      </c>
      <c r="C57" s="22"/>
      <c r="D57" s="3"/>
      <c r="E57" s="112"/>
      <c r="F57" s="107"/>
      <c r="G57" s="107"/>
      <c r="H57" s="3" t="s">
        <v>524</v>
      </c>
      <c r="I57" s="80"/>
      <c r="J57" s="23"/>
    </row>
    <row r="58" spans="1:10" s="27" customFormat="1" x14ac:dyDescent="0.2">
      <c r="A58" s="96" t="s">
        <v>388</v>
      </c>
      <c r="B58" s="90" t="s">
        <v>11</v>
      </c>
      <c r="C58" s="22">
        <v>1</v>
      </c>
      <c r="D58" s="3">
        <f>SUMIF(support!C:C,B58,support!I:I)</f>
        <v>6.3889024765583793E-2</v>
      </c>
      <c r="E58" s="112">
        <f>D58 / C58</f>
        <v>6.3889024765583793E-2</v>
      </c>
      <c r="F58" s="107">
        <f>SUMIF(support!C:C,B58,support!J:J)</f>
        <v>0</v>
      </c>
      <c r="G58" s="107">
        <f>SUMIF(support!C:C,B58,support!K:K)</f>
        <v>0</v>
      </c>
      <c r="H58" s="3"/>
      <c r="I58" s="80">
        <f>SUMIF(support!C:C,B58,support!L:L)</f>
        <v>10</v>
      </c>
      <c r="J58" s="23" t="b">
        <f>OR(COUNTIF(E58:G58, "&lt;&gt;0") &gt; 1, I58 = 0)</f>
        <v>0</v>
      </c>
    </row>
    <row r="59" spans="1:10" s="27" customFormat="1" x14ac:dyDescent="0.2">
      <c r="A59" s="96" t="s">
        <v>388</v>
      </c>
      <c r="B59" s="131" t="s">
        <v>509</v>
      </c>
      <c r="C59" s="22"/>
      <c r="D59" s="3"/>
      <c r="E59" s="112"/>
      <c r="F59" s="107"/>
      <c r="G59" s="107"/>
      <c r="H59" s="3" t="s">
        <v>510</v>
      </c>
      <c r="I59" s="80"/>
      <c r="J59" s="23"/>
    </row>
    <row r="60" spans="1:10" s="27" customFormat="1" x14ac:dyDescent="0.2">
      <c r="A60" s="96" t="s">
        <v>388</v>
      </c>
      <c r="B60" s="90" t="s">
        <v>142</v>
      </c>
      <c r="C60" s="22">
        <v>1</v>
      </c>
      <c r="D60" s="3">
        <f>SUMIF(support!C:C,B60,support!I:I)</f>
        <v>0</v>
      </c>
      <c r="E60" s="112">
        <f>D60 / C60</f>
        <v>0</v>
      </c>
      <c r="F60" s="107">
        <f>SUMIF(support!C:C,B60,support!J:J)</f>
        <v>9.2417279882812495E-2</v>
      </c>
      <c r="G60" s="107">
        <f>SUMIF(support!C:C,B60,support!K:K)</f>
        <v>0</v>
      </c>
      <c r="H60" s="3"/>
      <c r="I60" s="80">
        <f>SUMIF(support!C:C,B60,support!L:L)</f>
        <v>1</v>
      </c>
      <c r="J60" s="23" t="b">
        <f>OR(COUNTIF(E60:G60, "&lt;&gt;0") &gt; 1, I60 = 0)</f>
        <v>0</v>
      </c>
    </row>
    <row r="61" spans="1:10" s="27" customFormat="1" x14ac:dyDescent="0.2">
      <c r="A61" s="96" t="s">
        <v>388</v>
      </c>
      <c r="B61" s="90" t="s">
        <v>456</v>
      </c>
      <c r="C61" s="22">
        <v>1</v>
      </c>
      <c r="D61" s="3">
        <f>SUMIF(support!C:C,B61,support!I:I)</f>
        <v>0</v>
      </c>
      <c r="E61" s="112">
        <f>D61 / C61</f>
        <v>0</v>
      </c>
      <c r="F61" s="107">
        <f>SUMIF(support!C:C,B61,support!J:J)</f>
        <v>0</v>
      </c>
      <c r="G61" s="107">
        <f>SUMIF(support!C:C,B61,support!K:K)</f>
        <v>65</v>
      </c>
      <c r="H61" s="3" t="s">
        <v>521</v>
      </c>
      <c r="I61" s="80">
        <f>SUMIF(support!C:C,B61,support!L:L)</f>
        <v>1</v>
      </c>
      <c r="J61" s="23" t="b">
        <f>OR(COUNTIF(E61:G61, "&lt;&gt;0") &gt; 1, I61 = 0)</f>
        <v>0</v>
      </c>
    </row>
    <row r="62" spans="1:10" s="27" customFormat="1" x14ac:dyDescent="0.2">
      <c r="A62" s="96" t="s">
        <v>388</v>
      </c>
      <c r="B62" s="90" t="s">
        <v>455</v>
      </c>
      <c r="C62" s="22">
        <v>1</v>
      </c>
      <c r="D62" s="3">
        <f>SUMIF(support!C:C,B62,support!I:I)</f>
        <v>0</v>
      </c>
      <c r="E62" s="112">
        <f>D62 / C62</f>
        <v>0</v>
      </c>
      <c r="F62" s="107">
        <f>SUMIF(support!C:C,B62,support!J:J)</f>
        <v>0</v>
      </c>
      <c r="G62" s="107">
        <f>SUMIF(support!C:C,B62,support!K:K)</f>
        <v>140</v>
      </c>
      <c r="H62" s="3" t="s">
        <v>521</v>
      </c>
      <c r="I62" s="80">
        <f>SUMIF(support!C:C,B62,support!L:L)</f>
        <v>1</v>
      </c>
      <c r="J62" s="23" t="b">
        <f>OR(COUNTIF(E62:G62, "&lt;&gt;0") &gt; 1, I62 = 0)</f>
        <v>0</v>
      </c>
    </row>
    <row r="63" spans="1:10" s="27" customFormat="1" x14ac:dyDescent="0.2">
      <c r="A63" s="96" t="s">
        <v>388</v>
      </c>
      <c r="B63" s="90" t="s">
        <v>91</v>
      </c>
      <c r="C63" s="22">
        <v>1</v>
      </c>
      <c r="D63" s="3">
        <f>SUMIF(support!C:C,B63,support!I:I)</f>
        <v>0</v>
      </c>
      <c r="E63" s="112">
        <f>D63 / C63</f>
        <v>0</v>
      </c>
      <c r="F63" s="107">
        <f>SUMIF(support!C:C,B63,support!J:J)</f>
        <v>5.9147059124999998E-2</v>
      </c>
      <c r="G63" s="107">
        <f>SUMIF(support!C:C,B63,support!K:K)</f>
        <v>0</v>
      </c>
      <c r="H63" s="82" t="s">
        <v>155</v>
      </c>
      <c r="I63" s="80">
        <f>SUMIF(support!C:C,B63,support!L:L)</f>
        <v>1</v>
      </c>
      <c r="J63" s="28" t="b">
        <f>OR(COUNTIF(E63:G63, "&lt;&gt;0") &gt; 1, I63 = 0)</f>
        <v>0</v>
      </c>
    </row>
    <row r="64" spans="1:10" s="27" customFormat="1" x14ac:dyDescent="0.2">
      <c r="A64" s="96" t="s">
        <v>388</v>
      </c>
      <c r="B64" s="90" t="s">
        <v>256</v>
      </c>
      <c r="C64" s="22">
        <v>1</v>
      </c>
      <c r="D64" s="3">
        <f>SUMIF(support!C:C,B64,support!I:I)</f>
        <v>0</v>
      </c>
      <c r="E64" s="112">
        <f>D64 / C64</f>
        <v>0</v>
      </c>
      <c r="F64" s="107">
        <f>SUMIF(support!C:C,B64,support!J:J)</f>
        <v>10.622811818850002</v>
      </c>
      <c r="G64" s="107">
        <f>SUMIF(support!C:C,B64,support!K:K)</f>
        <v>0</v>
      </c>
      <c r="H64" s="3"/>
      <c r="I64" s="80">
        <f>SUMIF(support!C:C,B64,support!L:L)</f>
        <v>2</v>
      </c>
      <c r="J64" s="23" t="b">
        <f>OR(COUNTIF(E64:G64, "&lt;&gt;0") &gt; 1, I64 = 0)</f>
        <v>0</v>
      </c>
    </row>
    <row r="65" spans="1:12" s="27" customFormat="1" x14ac:dyDescent="0.2">
      <c r="A65" s="96" t="s">
        <v>388</v>
      </c>
      <c r="B65" s="131" t="s">
        <v>519</v>
      </c>
      <c r="C65" s="22"/>
      <c r="D65" s="3"/>
      <c r="E65" s="112"/>
      <c r="F65" s="107"/>
      <c r="G65" s="107"/>
      <c r="H65" s="3" t="s">
        <v>520</v>
      </c>
      <c r="I65" s="80"/>
      <c r="J65" s="23"/>
    </row>
    <row r="66" spans="1:12" s="27" customFormat="1" x14ac:dyDescent="0.2">
      <c r="A66" s="96" t="s">
        <v>388</v>
      </c>
      <c r="B66" s="131" t="s">
        <v>525</v>
      </c>
      <c r="C66" s="22"/>
      <c r="D66" s="3"/>
      <c r="E66" s="112"/>
      <c r="F66" s="107"/>
      <c r="G66" s="107"/>
      <c r="H66" s="3" t="s">
        <v>526</v>
      </c>
      <c r="I66" s="80"/>
      <c r="J66" s="23"/>
    </row>
    <row r="67" spans="1:12" s="27" customFormat="1" x14ac:dyDescent="0.2">
      <c r="A67" s="96" t="s">
        <v>388</v>
      </c>
      <c r="B67" s="131" t="s">
        <v>491</v>
      </c>
      <c r="C67" s="22"/>
      <c r="D67" s="3"/>
      <c r="E67" s="112"/>
      <c r="F67" s="107"/>
      <c r="G67" s="107"/>
      <c r="H67" s="3" t="s">
        <v>492</v>
      </c>
      <c r="I67" s="80"/>
      <c r="J67" s="23"/>
    </row>
    <row r="68" spans="1:12" s="27" customFormat="1" x14ac:dyDescent="0.2">
      <c r="A68" s="96" t="s">
        <v>388</v>
      </c>
      <c r="B68" s="131" t="s">
        <v>280</v>
      </c>
      <c r="C68" s="22"/>
      <c r="D68" s="3"/>
      <c r="E68" s="112"/>
      <c r="F68" s="107"/>
      <c r="G68" s="107"/>
      <c r="H68" s="3" t="s">
        <v>490</v>
      </c>
      <c r="I68" s="80"/>
      <c r="J68" s="23"/>
    </row>
    <row r="69" spans="1:12" s="27" customFormat="1" x14ac:dyDescent="0.2">
      <c r="A69" s="96" t="s">
        <v>388</v>
      </c>
      <c r="B69" s="90" t="s">
        <v>280</v>
      </c>
      <c r="C69" s="22">
        <v>1</v>
      </c>
      <c r="D69" s="3">
        <f>SUMIF(support!C:C,B69,support!I:I)</f>
        <v>0</v>
      </c>
      <c r="E69" s="112">
        <f>D69 / C69</f>
        <v>0</v>
      </c>
      <c r="F69" s="107">
        <f>SUMIF(support!C:C,B69,support!J:J)</f>
        <v>0</v>
      </c>
      <c r="G69" s="107">
        <f>SUMIF(support!C:C,B69,support!K:K)</f>
        <v>0</v>
      </c>
      <c r="H69" s="3"/>
      <c r="I69" s="80">
        <f>SUMIF(support!C:C,B69,support!L:L)</f>
        <v>1</v>
      </c>
      <c r="J69" s="23" t="b">
        <f>OR(COUNTIF(E69:G69, "&lt;&gt;0") &gt; 1, I69 = 0)</f>
        <v>0</v>
      </c>
    </row>
    <row r="70" spans="1:12" s="27" customFormat="1" x14ac:dyDescent="0.2">
      <c r="A70" s="96" t="s">
        <v>388</v>
      </c>
      <c r="B70" s="90" t="s">
        <v>255</v>
      </c>
      <c r="C70" s="22">
        <v>1</v>
      </c>
      <c r="D70" s="3">
        <f>SUMIF(support!C:C,B70,support!I:I)</f>
        <v>0</v>
      </c>
      <c r="E70" s="112">
        <f>D70 / C70</f>
        <v>0</v>
      </c>
      <c r="F70" s="107">
        <f>SUMIF(support!C:C,B70,support!J:J)</f>
        <v>2.9573529562499999E-2</v>
      </c>
      <c r="G70" s="107">
        <f>SUMIF(support!C:C,B70,support!K:K)</f>
        <v>0</v>
      </c>
      <c r="H70" s="3"/>
      <c r="I70" s="80">
        <f>SUMIF(support!C:C,B70,support!L:L)</f>
        <v>1</v>
      </c>
      <c r="J70" s="23" t="b">
        <f>OR(COUNTIF(E70:G70, "&lt;&gt;0") &gt; 1, I70 = 0)</f>
        <v>0</v>
      </c>
    </row>
    <row r="71" spans="1:12" s="27" customFormat="1" x14ac:dyDescent="0.2">
      <c r="A71" s="96" t="s">
        <v>388</v>
      </c>
      <c r="B71" s="90" t="s">
        <v>140</v>
      </c>
      <c r="C71" s="22">
        <v>1</v>
      </c>
      <c r="D71" s="3">
        <f>SUMIF(support!C:C,B71,support!I:I)</f>
        <v>0</v>
      </c>
      <c r="E71" s="112">
        <f>D71 / C71</f>
        <v>0</v>
      </c>
      <c r="F71" s="107">
        <f>SUMIF(support!C:C,B71,support!J:J)</f>
        <v>4.4360294343749995E-2</v>
      </c>
      <c r="G71" s="107">
        <f>SUMIF(support!C:C,B71,support!K:K)</f>
        <v>0</v>
      </c>
      <c r="H71" s="3"/>
      <c r="I71" s="80">
        <f>SUMIF(support!C:C,B71,support!L:L)</f>
        <v>1</v>
      </c>
      <c r="J71" s="23" t="b">
        <f>OR(COUNTIF(E71:G71, "&lt;&gt;0") &gt; 1, I71 = 0)</f>
        <v>0</v>
      </c>
    </row>
    <row r="72" spans="1:12" s="27" customFormat="1" x14ac:dyDescent="0.2">
      <c r="A72" s="96" t="s">
        <v>388</v>
      </c>
      <c r="B72" s="131" t="s">
        <v>480</v>
      </c>
      <c r="C72" s="22"/>
      <c r="D72" s="3"/>
      <c r="E72" s="112"/>
      <c r="F72" s="107"/>
      <c r="G72" s="107"/>
      <c r="H72" s="3" t="s">
        <v>484</v>
      </c>
      <c r="I72" s="80"/>
      <c r="J72" s="23"/>
    </row>
    <row r="73" spans="1:12" s="27" customFormat="1" x14ac:dyDescent="0.2">
      <c r="A73" s="96" t="s">
        <v>388</v>
      </c>
      <c r="B73" s="90" t="s">
        <v>143</v>
      </c>
      <c r="C73" s="22">
        <v>1</v>
      </c>
      <c r="D73" s="3">
        <f>SUMIF(support!C:C,B73,support!I:I)</f>
        <v>0</v>
      </c>
      <c r="E73" s="112">
        <f>D73 / C73</f>
        <v>0</v>
      </c>
      <c r="F73" s="107">
        <f>SUMIF(support!C:C,B73,support!J:J)</f>
        <v>4.4360294343749995E-2</v>
      </c>
      <c r="G73" s="107">
        <f>SUMIF(support!C:C,B73,support!K:K)</f>
        <v>0</v>
      </c>
      <c r="H73" s="3"/>
      <c r="I73" s="80">
        <f>SUMIF(support!C:C,B73,support!L:L)</f>
        <v>2</v>
      </c>
      <c r="J73" s="23" t="b">
        <f>OR(COUNTIF(E73:G73, "&lt;&gt;0") &gt; 1, I73 = 0)</f>
        <v>0</v>
      </c>
    </row>
    <row r="74" spans="1:12" s="27" customFormat="1" x14ac:dyDescent="0.2">
      <c r="A74" s="96" t="s">
        <v>388</v>
      </c>
      <c r="B74" s="90" t="s">
        <v>377</v>
      </c>
      <c r="C74" s="22">
        <v>1</v>
      </c>
      <c r="D74" s="3">
        <f>SUMIF(support!C:C,B74,support!I:I)</f>
        <v>0</v>
      </c>
      <c r="E74" s="112">
        <f>D74 / C74</f>
        <v>0</v>
      </c>
      <c r="F74" s="107">
        <f>SUMIF(support!C:C,B74,support!J:J)</f>
        <v>0</v>
      </c>
      <c r="G74" s="107">
        <f>SUMIF(support!C:C,B74,support!K:K)</f>
        <v>3.75</v>
      </c>
      <c r="H74" s="3" t="s">
        <v>148</v>
      </c>
      <c r="I74" s="80">
        <f>SUMIF(support!C:C,B74,support!L:L)</f>
        <v>1</v>
      </c>
      <c r="J74" s="23" t="b">
        <f>OR(COUNTIF(E74:G74, "&lt;&gt;0") &gt; 1, I74 = 0)</f>
        <v>0</v>
      </c>
    </row>
    <row r="75" spans="1:12" x14ac:dyDescent="0.2">
      <c r="A75" s="96" t="s">
        <v>388</v>
      </c>
      <c r="B75" s="90" t="s">
        <v>378</v>
      </c>
      <c r="C75" s="22">
        <v>1</v>
      </c>
      <c r="D75" s="3">
        <f>SUMIF(support!C:C,B75,support!I:I)</f>
        <v>0</v>
      </c>
      <c r="E75" s="112">
        <f>D75 / C75</f>
        <v>0</v>
      </c>
      <c r="F75" s="107">
        <f>SUMIF(support!C:C,B75,support!J:J)</f>
        <v>0</v>
      </c>
      <c r="G75" s="107">
        <f>SUMIF(support!C:C,B75,support!K:K)</f>
        <v>2</v>
      </c>
      <c r="H75" s="3"/>
      <c r="I75" s="80">
        <f>SUMIF(support!C:C,B75,support!L:L)</f>
        <v>1</v>
      </c>
      <c r="J75" s="23" t="b">
        <f>OR(COUNTIF(E75:G75, "&lt;&gt;0") &gt; 1, I75 = 0)</f>
        <v>0</v>
      </c>
      <c r="L75" s="27"/>
    </row>
    <row r="76" spans="1:12" s="27" customFormat="1" x14ac:dyDescent="0.2">
      <c r="A76" s="96" t="s">
        <v>388</v>
      </c>
      <c r="B76" s="90" t="s">
        <v>379</v>
      </c>
      <c r="C76" s="22">
        <v>1</v>
      </c>
      <c r="D76" s="3">
        <f>SUMIF(support!C:C,B76,support!I:I)</f>
        <v>0</v>
      </c>
      <c r="E76" s="112">
        <f>D76 / C76</f>
        <v>0</v>
      </c>
      <c r="F76" s="107">
        <f>SUMIF(support!C:C,B76,support!J:J)</f>
        <v>0</v>
      </c>
      <c r="G76" s="107">
        <f>SUMIF(support!C:C,B76,support!K:K)</f>
        <v>4</v>
      </c>
      <c r="H76" s="3" t="s">
        <v>395</v>
      </c>
      <c r="I76" s="80">
        <f>SUMIF(support!C:C,B76,support!L:L)</f>
        <v>1</v>
      </c>
      <c r="J76" s="23" t="b">
        <f>OR(COUNTIF(E76:G76, "&lt;&gt;0") &gt; 1, I76 = 0)</f>
        <v>0</v>
      </c>
      <c r="L76" s="1"/>
    </row>
    <row r="77" spans="1:12" x14ac:dyDescent="0.2">
      <c r="A77" s="96" t="s">
        <v>388</v>
      </c>
      <c r="B77" s="90" t="s">
        <v>380</v>
      </c>
      <c r="C77" s="22">
        <v>1</v>
      </c>
      <c r="D77" s="3">
        <f>SUMIF(support!C:C,B77,support!I:I)</f>
        <v>0</v>
      </c>
      <c r="E77" s="112">
        <f>D77 / C77</f>
        <v>0</v>
      </c>
      <c r="F77" s="107">
        <f>SUMIF(support!C:C,B77,support!J:J)</f>
        <v>0</v>
      </c>
      <c r="G77" s="107">
        <f>SUMIF(support!C:C,B77,support!K:K)</f>
        <v>4.5</v>
      </c>
      <c r="H77" s="3" t="s">
        <v>394</v>
      </c>
      <c r="I77" s="80">
        <f>SUMIF(support!C:C,B77,support!L:L)</f>
        <v>2</v>
      </c>
      <c r="J77" s="23" t="b">
        <f>OR(COUNTIF(E77:G77, "&lt;&gt;0") &gt; 1, I77 = 0)</f>
        <v>0</v>
      </c>
    </row>
    <row r="78" spans="1:12" x14ac:dyDescent="0.2">
      <c r="A78" s="96" t="s">
        <v>388</v>
      </c>
      <c r="B78" s="90" t="s">
        <v>381</v>
      </c>
      <c r="C78" s="22">
        <v>1</v>
      </c>
      <c r="D78" s="3">
        <f>SUMIF(support!C:C,B78,support!I:I)</f>
        <v>0</v>
      </c>
      <c r="E78" s="112">
        <f>D78 / C78</f>
        <v>0</v>
      </c>
      <c r="F78" s="107">
        <f>SUMIF(support!C:C,B78,support!J:J)</f>
        <v>0</v>
      </c>
      <c r="G78" s="107">
        <f>SUMIF(support!C:C,B78,support!K:K)</f>
        <v>4.75</v>
      </c>
      <c r="H78" s="3" t="s">
        <v>336</v>
      </c>
      <c r="I78" s="80">
        <f>SUMIF(support!C:C,B78,support!L:L)</f>
        <v>4</v>
      </c>
      <c r="J78" s="23" t="b">
        <f>OR(COUNTIF(E78:G78, "&lt;&gt;0") &gt; 1, I78 = 0)</f>
        <v>0</v>
      </c>
      <c r="L78" s="27"/>
    </row>
    <row r="79" spans="1:12" s="27" customFormat="1" x14ac:dyDescent="0.2">
      <c r="A79" s="96" t="s">
        <v>388</v>
      </c>
      <c r="B79" s="90" t="s">
        <v>382</v>
      </c>
      <c r="C79" s="22">
        <v>1</v>
      </c>
      <c r="D79" s="3">
        <f>SUMIF(support!C:C,B79,support!I:I)</f>
        <v>0</v>
      </c>
      <c r="E79" s="112">
        <f>D79 / C79</f>
        <v>0</v>
      </c>
      <c r="F79" s="107">
        <f>SUMIF(support!C:C,B79,support!J:J)</f>
        <v>2.0701470693749999</v>
      </c>
      <c r="G79" s="107">
        <f>SUMIF(support!C:C,B79,support!K:K)</f>
        <v>0</v>
      </c>
      <c r="H79" s="3" t="s">
        <v>336</v>
      </c>
      <c r="I79" s="80">
        <f>SUMIF(support!C:C,B79,support!L:L)</f>
        <v>2</v>
      </c>
      <c r="J79" s="23" t="b">
        <f>OR(COUNTIF(E79:G79, "&lt;&gt;0") &gt; 1, I79 = 0)</f>
        <v>0</v>
      </c>
      <c r="L79" s="1"/>
    </row>
    <row r="80" spans="1:12" x14ac:dyDescent="0.2">
      <c r="A80" s="96" t="s">
        <v>388</v>
      </c>
      <c r="B80" s="90" t="s">
        <v>383</v>
      </c>
      <c r="C80" s="22">
        <v>1</v>
      </c>
      <c r="D80" s="3">
        <f>SUMIF(support!C:C,B80,support!I:I)</f>
        <v>0</v>
      </c>
      <c r="E80" s="112">
        <f>D80 / C80</f>
        <v>0</v>
      </c>
      <c r="F80" s="107">
        <f>SUMIF(support!C:C,B80,support!J:J)</f>
        <v>0</v>
      </c>
      <c r="G80" s="107">
        <f>SUMIF(support!C:C,B80,support!K:K)</f>
        <v>2</v>
      </c>
      <c r="H80" s="3"/>
      <c r="I80" s="80">
        <f>SUMIF(support!C:C,B80,support!L:L)</f>
        <v>1</v>
      </c>
      <c r="J80" s="23" t="b">
        <f>OR(COUNTIF(E80:G80, "&lt;&gt;0") &gt; 1, I80 = 0)</f>
        <v>0</v>
      </c>
    </row>
    <row r="81" spans="1:12" x14ac:dyDescent="0.2">
      <c r="A81" s="96" t="s">
        <v>388</v>
      </c>
      <c r="B81" s="90" t="s">
        <v>542</v>
      </c>
      <c r="C81" s="22">
        <v>1</v>
      </c>
      <c r="D81" s="3">
        <f>SUMIF(support!C:C,B81,support!I:I)</f>
        <v>0</v>
      </c>
      <c r="E81" s="112">
        <f>D81 / C81</f>
        <v>0</v>
      </c>
      <c r="F81" s="107">
        <f>SUMIF(support!C:C,B81,support!J:J)</f>
        <v>0</v>
      </c>
      <c r="G81" s="107">
        <f>SUMIF(support!C:C,B81,support!K:K)</f>
        <v>22.5</v>
      </c>
      <c r="H81" s="3" t="s">
        <v>543</v>
      </c>
      <c r="I81" s="80">
        <f>SUMIF(support!C:C,B81,support!L:L)</f>
        <v>1</v>
      </c>
      <c r="J81" s="23" t="b">
        <f>OR(COUNTIF(E81:G81, "&lt;&gt;0") &gt; 1, I81 = 0)</f>
        <v>0</v>
      </c>
      <c r="L81" s="27"/>
    </row>
    <row r="82" spans="1:12" s="27" customFormat="1" x14ac:dyDescent="0.2">
      <c r="A82" s="96" t="s">
        <v>388</v>
      </c>
      <c r="B82" s="90" t="s">
        <v>384</v>
      </c>
      <c r="C82" s="22">
        <v>1</v>
      </c>
      <c r="D82" s="3">
        <f>SUMIF(support!C:C,B82,support!I:I)</f>
        <v>0</v>
      </c>
      <c r="E82" s="112">
        <f>D82 / C82</f>
        <v>0</v>
      </c>
      <c r="F82" s="107">
        <f>SUMIF(support!C:C,B82,support!J:J)</f>
        <v>0.94635294599999997</v>
      </c>
      <c r="G82" s="107">
        <f>SUMIF(support!C:C,B82,support!K:K)</f>
        <v>0</v>
      </c>
      <c r="H82" s="5" t="s">
        <v>450</v>
      </c>
      <c r="I82" s="80">
        <f>SUMIF(support!C:C,B82,support!L:L)</f>
        <v>1</v>
      </c>
      <c r="J82" s="23" t="b">
        <f>OR(COUNTIF(E82:G82, "&lt;&gt;0") &gt; 1, I82 = 0)</f>
        <v>0</v>
      </c>
      <c r="L82" s="1"/>
    </row>
    <row r="83" spans="1:12" s="27" customFormat="1" x14ac:dyDescent="0.2">
      <c r="A83" s="96" t="s">
        <v>388</v>
      </c>
      <c r="B83" s="131" t="s">
        <v>506</v>
      </c>
      <c r="C83" s="22"/>
      <c r="D83" s="3"/>
      <c r="E83" s="112"/>
      <c r="F83" s="107"/>
      <c r="G83" s="107"/>
      <c r="H83" s="3" t="s">
        <v>522</v>
      </c>
      <c r="I83" s="80"/>
      <c r="J83" s="23"/>
      <c r="L83" s="1"/>
    </row>
    <row r="84" spans="1:12" x14ac:dyDescent="0.2">
      <c r="A84" s="96" t="s">
        <v>388</v>
      </c>
      <c r="B84" s="131" t="s">
        <v>499</v>
      </c>
      <c r="C84" s="22"/>
      <c r="D84" s="3"/>
      <c r="E84" s="112"/>
      <c r="F84" s="107"/>
      <c r="G84" s="107"/>
      <c r="H84" s="3" t="s">
        <v>500</v>
      </c>
      <c r="I84" s="80"/>
      <c r="J84" s="23"/>
      <c r="L84" s="27"/>
    </row>
    <row r="85" spans="1:12" x14ac:dyDescent="0.2">
      <c r="A85" s="96" t="s">
        <v>388</v>
      </c>
      <c r="B85" s="131" t="s">
        <v>266</v>
      </c>
      <c r="C85" s="22"/>
      <c r="D85" s="3"/>
      <c r="E85" s="112"/>
      <c r="F85" s="107"/>
      <c r="G85" s="107"/>
      <c r="H85" s="3" t="s">
        <v>498</v>
      </c>
      <c r="I85" s="80"/>
      <c r="J85" s="23"/>
      <c r="L85" s="27"/>
    </row>
    <row r="86" spans="1:12" x14ac:dyDescent="0.2">
      <c r="A86" s="96" t="s">
        <v>388</v>
      </c>
      <c r="B86" s="131" t="s">
        <v>512</v>
      </c>
      <c r="C86" s="22"/>
      <c r="D86" s="3"/>
      <c r="E86" s="112"/>
      <c r="F86" s="107"/>
      <c r="G86" s="107"/>
      <c r="H86" s="3" t="s">
        <v>515</v>
      </c>
      <c r="I86" s="80"/>
      <c r="J86" s="23"/>
    </row>
    <row r="87" spans="1:12" x14ac:dyDescent="0.2">
      <c r="A87" s="96" t="s">
        <v>392</v>
      </c>
      <c r="B87" s="90" t="s">
        <v>52</v>
      </c>
      <c r="C87" s="22">
        <v>1</v>
      </c>
      <c r="D87" s="3">
        <f>SUMIF(support!C:C,B87,support!I:I)</f>
        <v>0</v>
      </c>
      <c r="E87" s="112">
        <f>D87 / C87</f>
        <v>0</v>
      </c>
      <c r="F87" s="107">
        <f>SUMIF(support!C:C,B87,support!J:J)</f>
        <v>5.9147059124999998E-2</v>
      </c>
      <c r="G87" s="107">
        <f>SUMIF(support!C:C,B87,support!K:K)</f>
        <v>0</v>
      </c>
      <c r="H87" s="3"/>
      <c r="I87" s="80">
        <f>SUMIF(support!C:C,B87,support!L:L)</f>
        <v>1</v>
      </c>
      <c r="J87" s="23" t="b">
        <f>OR(COUNTIF(E87:G87, "&lt;&gt;0") &gt; 1, I87 = 0)</f>
        <v>0</v>
      </c>
    </row>
    <row r="88" spans="1:12" x14ac:dyDescent="0.2">
      <c r="A88" s="96" t="s">
        <v>392</v>
      </c>
      <c r="B88" s="90" t="s">
        <v>41</v>
      </c>
      <c r="C88" s="22">
        <v>1</v>
      </c>
      <c r="D88" s="3">
        <f>SUMIF(support!C:C,B88,support!I:I)</f>
        <v>0</v>
      </c>
      <c r="E88" s="112">
        <f>D88 / C88</f>
        <v>0</v>
      </c>
      <c r="F88" s="107">
        <f>SUMIF(support!C:C,B88,support!J:J)</f>
        <v>10.374470622</v>
      </c>
      <c r="G88" s="107">
        <f>SUMIF(support!C:C,B88,support!K:K)</f>
        <v>0</v>
      </c>
      <c r="H88" s="5" t="s">
        <v>450</v>
      </c>
      <c r="I88" s="80">
        <f>SUMIF(support!C:C,B88,support!L:L)</f>
        <v>5</v>
      </c>
      <c r="J88" s="23" t="b">
        <f>OR(COUNTIF(E88:G88, "&lt;&gt;0") &gt; 1, I88 = 0)</f>
        <v>0</v>
      </c>
    </row>
    <row r="89" spans="1:12" x14ac:dyDescent="0.2">
      <c r="A89" s="96" t="s">
        <v>389</v>
      </c>
      <c r="B89" s="90" t="s">
        <v>356</v>
      </c>
      <c r="C89" s="22">
        <v>1</v>
      </c>
      <c r="D89" s="3">
        <f>SUMIF(support!C:C,B89,support!I:I)</f>
        <v>0</v>
      </c>
      <c r="E89" s="112">
        <f>D89 / C89</f>
        <v>0</v>
      </c>
      <c r="F89" s="107">
        <f>SUMIF(support!C:C,B89,support!J:J)</f>
        <v>0</v>
      </c>
      <c r="G89" s="107">
        <f>SUMIF(support!C:C,B89,support!K:K)</f>
        <v>57</v>
      </c>
      <c r="H89" s="82" t="s">
        <v>475</v>
      </c>
      <c r="I89" s="80">
        <f>SUMIF(support!C:C,B89,support!L:L)</f>
        <v>2</v>
      </c>
      <c r="J89" s="23" t="b">
        <f>OR(COUNTIF(E89:G89, "&lt;&gt;0") &gt; 1, I89 = 0)</f>
        <v>0</v>
      </c>
    </row>
    <row r="90" spans="1:12" x14ac:dyDescent="0.2">
      <c r="A90" s="96" t="s">
        <v>389</v>
      </c>
      <c r="B90" s="90" t="s">
        <v>357</v>
      </c>
      <c r="C90" s="22">
        <v>1</v>
      </c>
      <c r="D90" s="3">
        <f>SUMIF(support!C:C,B90,support!I:I)</f>
        <v>0</v>
      </c>
      <c r="E90" s="112">
        <f>D90 / C90</f>
        <v>0</v>
      </c>
      <c r="F90" s="107">
        <f>SUMIF(support!C:C,B90,support!J:J)</f>
        <v>0</v>
      </c>
      <c r="G90" s="107">
        <f>SUMIF(support!C:C,B90,support!K:K)</f>
        <v>18</v>
      </c>
      <c r="H90" s="3"/>
      <c r="I90" s="80">
        <f>SUMIF(support!C:C,B90,support!L:L)</f>
        <v>1</v>
      </c>
      <c r="J90" s="23" t="b">
        <f>OR(COUNTIF(E90:G90, "&lt;&gt;0") &gt; 1, I90 = 0)</f>
        <v>0</v>
      </c>
    </row>
    <row r="91" spans="1:12" s="27" customFormat="1" x14ac:dyDescent="0.2">
      <c r="A91" s="96" t="s">
        <v>389</v>
      </c>
      <c r="B91" s="90" t="s">
        <v>2</v>
      </c>
      <c r="C91" s="22">
        <f>273 / 524</f>
        <v>0.52099236641221369</v>
      </c>
      <c r="D91" s="3">
        <f>SUMIF(support!C:C,B91,support!I:I)</f>
        <v>1.5279897622762499</v>
      </c>
      <c r="E91" s="112">
        <f>D91 / C91</f>
        <v>2.932844818435</v>
      </c>
      <c r="F91" s="107">
        <f>SUMIF(support!C:C,B91,support!J:J)</f>
        <v>0</v>
      </c>
      <c r="G91" s="107">
        <f>SUMIF(support!C:C,B91,support!K:K)</f>
        <v>0</v>
      </c>
      <c r="H91" s="3"/>
      <c r="I91" s="80">
        <f>SUMIF(support!C:C,B91,support!L:L)</f>
        <v>3</v>
      </c>
      <c r="J91" s="23" t="b">
        <f>OR(COUNTIF(E91:G91, "&lt;&gt;0") &gt; 1, I91 = 0)</f>
        <v>0</v>
      </c>
      <c r="L91" s="1"/>
    </row>
    <row r="92" spans="1:12" s="27" customFormat="1" x14ac:dyDescent="0.2">
      <c r="A92" s="96" t="s">
        <v>389</v>
      </c>
      <c r="B92" s="90" t="s">
        <v>44</v>
      </c>
      <c r="C92" s="22">
        <v>1</v>
      </c>
      <c r="D92" s="3">
        <f>SUMIF(support!C:C,B92,support!I:I)</f>
        <v>8.3428067429901684</v>
      </c>
      <c r="E92" s="112">
        <f>D92 / C92</f>
        <v>8.3428067429901684</v>
      </c>
      <c r="F92" s="107">
        <f>SUMIF(support!C:C,B92,support!J:J)</f>
        <v>0</v>
      </c>
      <c r="G92" s="107">
        <f>SUMIF(support!C:C,B92,support!K:K)</f>
        <v>0</v>
      </c>
      <c r="H92" s="3"/>
      <c r="I92" s="80">
        <f>SUMIF(support!C:C,B92,support!L:L)</f>
        <v>9</v>
      </c>
      <c r="J92" s="23" t="b">
        <f>OR(COUNTIF(E92:G92, "&lt;&gt;0") &gt; 1, I92 = 0)</f>
        <v>0</v>
      </c>
      <c r="L92" s="1"/>
    </row>
    <row r="93" spans="1:12" s="27" customFormat="1" x14ac:dyDescent="0.2">
      <c r="A93" s="96" t="s">
        <v>389</v>
      </c>
      <c r="B93" s="90" t="s">
        <v>133</v>
      </c>
      <c r="C93" s="22">
        <v>1</v>
      </c>
      <c r="D93" s="3">
        <f>SUMIF(support!C:C,B93,support!I:I)</f>
        <v>0</v>
      </c>
      <c r="E93" s="112">
        <f>D93 / C93</f>
        <v>0</v>
      </c>
      <c r="F93" s="107">
        <f>SUMIF(support!C:C,B93,support!J:J)</f>
        <v>0</v>
      </c>
      <c r="G93" s="107">
        <f>SUMIF(support!C:C,B93,support!K:K)</f>
        <v>3</v>
      </c>
      <c r="H93" s="3"/>
      <c r="I93" s="80">
        <f>SUMIF(support!C:C,B93,support!L:L)</f>
        <v>3</v>
      </c>
      <c r="J93" s="23" t="b">
        <f>OR(COUNTIF(E93:G93, "&lt;&gt;0") &gt; 1, I93 = 0)</f>
        <v>0</v>
      </c>
    </row>
    <row r="94" spans="1:12" s="27" customFormat="1" x14ac:dyDescent="0.2">
      <c r="A94" s="96" t="s">
        <v>389</v>
      </c>
      <c r="B94" s="90" t="s">
        <v>438</v>
      </c>
      <c r="C94" s="22">
        <v>1</v>
      </c>
      <c r="D94" s="3">
        <f>SUMIF(support!C:C,B94,support!I:I)</f>
        <v>4.1967916666666669</v>
      </c>
      <c r="E94" s="112">
        <f>D94 / C94</f>
        <v>4.1967916666666669</v>
      </c>
      <c r="F94" s="107">
        <f>SUMIF(support!C:C,B94,support!J:J)</f>
        <v>0</v>
      </c>
      <c r="G94" s="107">
        <f>SUMIF(support!C:C,B94,support!K:K)</f>
        <v>0</v>
      </c>
      <c r="H94" s="3" t="s">
        <v>439</v>
      </c>
      <c r="I94" s="80">
        <f>SUMIF(support!C:C,B94,support!L:L)</f>
        <v>8</v>
      </c>
      <c r="J94" s="23" t="b">
        <f>OR(COUNTIF(E94:G94, "&lt;&gt;0") &gt; 1, I94 = 0)</f>
        <v>0</v>
      </c>
    </row>
    <row r="95" spans="1:12" s="27" customFormat="1" x14ac:dyDescent="0.2">
      <c r="A95" s="96" t="s">
        <v>389</v>
      </c>
      <c r="B95" s="90" t="s">
        <v>132</v>
      </c>
      <c r="C95" s="22">
        <v>1</v>
      </c>
      <c r="D95" s="3">
        <f>SUMIF(support!C:C,B95,support!I:I)</f>
        <v>1.1934</v>
      </c>
      <c r="E95" s="112">
        <f>D95 / C95</f>
        <v>1.1934</v>
      </c>
      <c r="F95" s="107">
        <f>SUMIF(support!C:C,B95,support!J:J)</f>
        <v>0</v>
      </c>
      <c r="G95" s="107">
        <f>SUMIF(support!C:C,B95,support!K:K)</f>
        <v>0</v>
      </c>
      <c r="H95" s="3"/>
      <c r="I95" s="80">
        <f>SUMIF(support!C:C,B95,support!L:L)</f>
        <v>1</v>
      </c>
      <c r="J95" s="23" t="b">
        <f>OR(COUNTIF(E95:G95, "&lt;&gt;0") &gt; 1, I95 = 0)</f>
        <v>0</v>
      </c>
    </row>
    <row r="96" spans="1:12" s="27" customFormat="1" x14ac:dyDescent="0.2">
      <c r="A96" s="96" t="s">
        <v>389</v>
      </c>
      <c r="B96" s="90" t="s">
        <v>60</v>
      </c>
      <c r="C96" s="22">
        <v>1</v>
      </c>
      <c r="D96" s="3">
        <f>SUMIF(support!C:C,B96,support!I:I)</f>
        <v>0</v>
      </c>
      <c r="E96" s="112">
        <f>D96 / C96</f>
        <v>0</v>
      </c>
      <c r="F96" s="107">
        <f>SUMIF(support!C:C,B96,support!J:J)</f>
        <v>0</v>
      </c>
      <c r="G96" s="107">
        <f>SUMIF(support!C:C,B96,support!K:K)</f>
        <v>0</v>
      </c>
      <c r="H96" s="3"/>
      <c r="I96" s="80">
        <f>SUMIF(support!C:C,B96,support!L:L)</f>
        <v>1</v>
      </c>
      <c r="J96" s="23" t="b">
        <f>OR(COUNTIF(E96:G96, "&lt;&gt;0") &gt; 1, I96 = 0)</f>
        <v>0</v>
      </c>
    </row>
    <row r="97" spans="1:12" x14ac:dyDescent="0.2">
      <c r="A97" s="96" t="s">
        <v>389</v>
      </c>
      <c r="B97" s="90" t="s">
        <v>55</v>
      </c>
      <c r="C97" s="22">
        <v>1</v>
      </c>
      <c r="D97" s="3">
        <f>SUMIF(support!C:C,B97,support!I:I)</f>
        <v>0</v>
      </c>
      <c r="E97" s="112">
        <f>D97 / C97</f>
        <v>0</v>
      </c>
      <c r="F97" s="107">
        <f>SUMIF(support!C:C,B97,support!J:J)</f>
        <v>9.6113971078124999E-2</v>
      </c>
      <c r="G97" s="107">
        <f>SUMIF(support!C:C,B97,support!K:K)</f>
        <v>0</v>
      </c>
      <c r="H97" s="3"/>
      <c r="I97" s="80">
        <f>SUMIF(support!C:C,B97,support!L:L)</f>
        <v>3</v>
      </c>
      <c r="J97" s="23" t="b">
        <f>OR(COUNTIF(E97:G97, "&lt;&gt;0") &gt; 1, I97 = 0)</f>
        <v>0</v>
      </c>
      <c r="L97" s="27"/>
    </row>
    <row r="98" spans="1:12" s="27" customFormat="1" x14ac:dyDescent="0.2">
      <c r="A98" s="96" t="s">
        <v>389</v>
      </c>
      <c r="B98" s="90" t="s">
        <v>434</v>
      </c>
      <c r="C98" s="22">
        <v>1</v>
      </c>
      <c r="D98" s="3">
        <f>SUMIF(support!C:C,B98,support!I:I)</f>
        <v>0.75</v>
      </c>
      <c r="E98" s="112">
        <f>D98 / C98</f>
        <v>0.75</v>
      </c>
      <c r="F98" s="107">
        <f>SUMIF(support!C:C,B98,support!J:J)</f>
        <v>0</v>
      </c>
      <c r="G98" s="107">
        <f>SUMIF(support!C:C,B98,support!K:K)</f>
        <v>0</v>
      </c>
      <c r="H98" s="3"/>
      <c r="I98" s="80">
        <f>SUMIF(support!C:C,B98,support!L:L)</f>
        <v>1</v>
      </c>
      <c r="J98" s="23" t="b">
        <f>OR(COUNTIF(E98:G98, "&lt;&gt;0") &gt; 1, I98 = 0)</f>
        <v>0</v>
      </c>
    </row>
    <row r="99" spans="1:12" x14ac:dyDescent="0.2">
      <c r="A99" s="96" t="s">
        <v>389</v>
      </c>
      <c r="B99" s="90" t="s">
        <v>8</v>
      </c>
      <c r="C99" s="22">
        <v>1</v>
      </c>
      <c r="D99" s="3">
        <f>SUMIF(support!C:C,B99,support!I:I)</f>
        <v>0</v>
      </c>
      <c r="E99" s="112">
        <f>D99 / C99</f>
        <v>0</v>
      </c>
      <c r="F99" s="107">
        <f>SUMIF(support!C:C,B99,support!J:J)</f>
        <v>0</v>
      </c>
      <c r="G99" s="107">
        <f>SUMIF(support!C:C,B99,support!K:K)</f>
        <v>27.5</v>
      </c>
      <c r="H99" s="3" t="s">
        <v>448</v>
      </c>
      <c r="I99" s="80">
        <f>SUMIF(support!C:C,B99,support!L:L)</f>
        <v>5</v>
      </c>
      <c r="J99" s="23" t="b">
        <f>OR(COUNTIF(E99:G99, "&lt;&gt;0") &gt; 1, I99 = 0)</f>
        <v>0</v>
      </c>
    </row>
    <row r="100" spans="1:12" x14ac:dyDescent="0.2">
      <c r="A100" s="96" t="s">
        <v>389</v>
      </c>
      <c r="B100" s="90" t="s">
        <v>48</v>
      </c>
      <c r="C100" s="22">
        <v>1</v>
      </c>
      <c r="D100" s="3">
        <f>SUMIF(support!C:C,B100,support!I:I)</f>
        <v>0</v>
      </c>
      <c r="E100" s="112">
        <f>D100 / C100</f>
        <v>0</v>
      </c>
      <c r="F100" s="107">
        <f>SUMIF(support!C:C,B100,support!J:J)</f>
        <v>0.52862684092968748</v>
      </c>
      <c r="G100" s="107">
        <f>SUMIF(support!C:C,B100,support!K:K)</f>
        <v>0</v>
      </c>
      <c r="H100" s="3"/>
      <c r="I100" s="80">
        <f>SUMIF(support!C:C,B100,support!L:L)</f>
        <v>8</v>
      </c>
      <c r="J100" s="23" t="b">
        <f>OR(COUNTIF(E100:G100, "&lt;&gt;0") &gt; 1, I100 = 0)</f>
        <v>0</v>
      </c>
      <c r="L100" s="27"/>
    </row>
    <row r="101" spans="1:12" x14ac:dyDescent="0.2">
      <c r="A101" s="96" t="s">
        <v>389</v>
      </c>
      <c r="B101" s="90" t="s">
        <v>365</v>
      </c>
      <c r="C101" s="22">
        <v>1</v>
      </c>
      <c r="D101" s="3">
        <f>SUMIF(support!C:C,B101,support!I:I)</f>
        <v>0</v>
      </c>
      <c r="E101" s="112">
        <f>D101 / C101</f>
        <v>0</v>
      </c>
      <c r="F101" s="107">
        <f>SUMIF(support!C:C,B101,support!J:J)</f>
        <v>0</v>
      </c>
      <c r="G101" s="107">
        <f>SUMIF(support!C:C,B101,support!K:K)</f>
        <v>0</v>
      </c>
      <c r="H101" s="3" t="s">
        <v>364</v>
      </c>
      <c r="I101" s="80">
        <f>SUMIF(support!C:C,B101,support!L:L)</f>
        <v>1</v>
      </c>
      <c r="J101" s="23" t="b">
        <f>OR(COUNTIF(E101:G101, "&lt;&gt;0") &gt; 1, I101 = 0)</f>
        <v>0</v>
      </c>
    </row>
    <row r="102" spans="1:12" s="27" customFormat="1" x14ac:dyDescent="0.2">
      <c r="A102" s="96" t="s">
        <v>389</v>
      </c>
      <c r="B102" s="90" t="s">
        <v>134</v>
      </c>
      <c r="C102" s="22">
        <f>155 / 189</f>
        <v>0.82010582010582012</v>
      </c>
      <c r="D102" s="3">
        <f>SUMIF(support!C:C,B102,support!I:I)</f>
        <v>1.2666999927422429</v>
      </c>
      <c r="E102" s="112">
        <f>D102 / C102</f>
        <v>1.5445567653437671</v>
      </c>
      <c r="F102" s="107">
        <f>SUMIF(support!C:C,B102,support!J:J)</f>
        <v>0</v>
      </c>
      <c r="G102" s="107">
        <f>SUMIF(support!C:C,B102,support!K:K)</f>
        <v>0</v>
      </c>
      <c r="H102" s="3"/>
      <c r="I102" s="80">
        <f>SUMIF(support!C:C,B102,support!L:L)</f>
        <v>2</v>
      </c>
      <c r="J102" s="23" t="b">
        <f>OR(COUNTIF(E102:G102, "&lt;&gt;0") &gt; 1, I102 = 0)</f>
        <v>0</v>
      </c>
      <c r="L102" s="1"/>
    </row>
    <row r="103" spans="1:12" s="27" customFormat="1" x14ac:dyDescent="0.2">
      <c r="A103" s="96" t="s">
        <v>389</v>
      </c>
      <c r="B103" s="90" t="s">
        <v>3</v>
      </c>
      <c r="C103" s="22">
        <v>1</v>
      </c>
      <c r="D103" s="3">
        <f>SUMIF(support!C:C,B103,support!I:I)</f>
        <v>5.6146471433119558</v>
      </c>
      <c r="E103" s="112">
        <f>D103 / C103</f>
        <v>5.6146471433119558</v>
      </c>
      <c r="F103" s="107">
        <f>SUMIF(support!C:C,B103,support!J:J)</f>
        <v>0</v>
      </c>
      <c r="G103" s="107">
        <f>SUMIF(support!C:C,B103,support!K:K)</f>
        <v>0</v>
      </c>
      <c r="H103" s="3"/>
      <c r="I103" s="80">
        <f>SUMIF(support!C:C,B103,support!L:L)</f>
        <v>4</v>
      </c>
      <c r="J103" s="23" t="b">
        <f>OR(COUNTIF(E103:G103, "&lt;&gt;0") &gt; 1, I103 = 0)</f>
        <v>0</v>
      </c>
    </row>
    <row r="104" spans="1:12" x14ac:dyDescent="0.2">
      <c r="A104" s="96" t="s">
        <v>389</v>
      </c>
      <c r="B104" s="90" t="s">
        <v>131</v>
      </c>
      <c r="C104" s="22">
        <v>1</v>
      </c>
      <c r="D104" s="3">
        <f>SUMIF(support!C:C,B104,support!I:I)</f>
        <v>0</v>
      </c>
      <c r="E104" s="112">
        <f>D104 / C104</f>
        <v>0</v>
      </c>
      <c r="F104" s="107">
        <f>SUMIF(support!C:C,B104,support!J:J)</f>
        <v>0</v>
      </c>
      <c r="G104" s="107">
        <f>SUMIF(support!C:C,B104,support!K:K)</f>
        <v>4.25</v>
      </c>
      <c r="H104" s="3"/>
      <c r="I104" s="80">
        <f>SUMIF(support!C:C,B104,support!L:L)</f>
        <v>2</v>
      </c>
      <c r="J104" s="23" t="b">
        <f>OR(COUNTIF(E104:G104, "&lt;&gt;0") &gt; 1, I104 = 0)</f>
        <v>0</v>
      </c>
    </row>
    <row r="105" spans="1:12" s="27" customFormat="1" x14ac:dyDescent="0.2">
      <c r="A105" s="96" t="s">
        <v>389</v>
      </c>
      <c r="B105" s="90" t="s">
        <v>135</v>
      </c>
      <c r="C105" s="22">
        <v>1</v>
      </c>
      <c r="D105" s="3">
        <f>SUMIF(support!C:C,B105,support!I:I)</f>
        <v>6.5832000000000006</v>
      </c>
      <c r="E105" s="112">
        <f>D105 / C105</f>
        <v>6.5832000000000006</v>
      </c>
      <c r="F105" s="107">
        <f>SUMIF(support!C:C,B105,support!J:J)</f>
        <v>0</v>
      </c>
      <c r="G105" s="107">
        <f>SUMIF(support!C:C,B105,support!K:K)</f>
        <v>0</v>
      </c>
      <c r="H105" s="3"/>
      <c r="I105" s="80">
        <f>SUMIF(support!C:C,B105,support!L:L)</f>
        <v>1</v>
      </c>
      <c r="J105" s="23" t="b">
        <f>OR(COUNTIF(E105:G105, "&lt;&gt;0") &gt; 1, I105 = 0)</f>
        <v>0</v>
      </c>
    </row>
    <row r="106" spans="1:12" x14ac:dyDescent="0.2">
      <c r="A106" s="96" t="s">
        <v>389</v>
      </c>
      <c r="B106" s="90" t="s">
        <v>45</v>
      </c>
      <c r="C106" s="22">
        <v>1</v>
      </c>
      <c r="D106" s="3">
        <f>SUMIF(support!C:C,B106,support!I:I)</f>
        <v>1.665</v>
      </c>
      <c r="E106" s="112">
        <f>D106 / C106</f>
        <v>1.665</v>
      </c>
      <c r="F106" s="107">
        <f>SUMIF(support!C:C,B106,support!J:J)</f>
        <v>0</v>
      </c>
      <c r="G106" s="107">
        <f>SUMIF(support!C:C,B106,support!K:K)</f>
        <v>0</v>
      </c>
      <c r="H106" s="3"/>
      <c r="I106" s="80">
        <f>SUMIF(support!C:C,B106,support!L:L)</f>
        <v>4</v>
      </c>
      <c r="J106" s="23" t="b">
        <f>OR(COUNTIF(E106:G106, "&lt;&gt;0") &gt; 1, I106 = 0)</f>
        <v>0</v>
      </c>
      <c r="L106" s="27"/>
    </row>
    <row r="107" spans="1:12" s="27" customFormat="1" x14ac:dyDescent="0.2">
      <c r="A107" s="96" t="s">
        <v>389</v>
      </c>
      <c r="B107" s="90" t="s">
        <v>359</v>
      </c>
      <c r="C107" s="22">
        <v>1</v>
      </c>
      <c r="D107" s="3">
        <f>SUMIF(support!C:C,B107,support!I:I)</f>
        <v>0</v>
      </c>
      <c r="E107" s="112">
        <f>D107 / C107</f>
        <v>0</v>
      </c>
      <c r="F107" s="107">
        <f>SUMIF(support!C:C,B107,support!J:J)</f>
        <v>0</v>
      </c>
      <c r="G107" s="107">
        <f>SUMIF(support!C:C,B107,support!K:K)</f>
        <v>18</v>
      </c>
      <c r="H107" s="3"/>
      <c r="I107" s="80">
        <f>SUMIF(support!C:C,B107,support!L:L)</f>
        <v>1</v>
      </c>
      <c r="J107" s="23" t="b">
        <f>OR(COUNTIF(E107:G107, "&lt;&gt;0") &gt; 1, I107 = 0)</f>
        <v>0</v>
      </c>
      <c r="L107" s="1"/>
    </row>
    <row r="108" spans="1:12" x14ac:dyDescent="0.2">
      <c r="A108" s="96" t="s">
        <v>389</v>
      </c>
      <c r="B108" s="90" t="s">
        <v>358</v>
      </c>
      <c r="C108" s="22">
        <v>1</v>
      </c>
      <c r="D108" s="3">
        <f>SUMIF(support!C:C,B108,support!I:I)</f>
        <v>0</v>
      </c>
      <c r="E108" s="112">
        <f>D108 / C108</f>
        <v>0</v>
      </c>
      <c r="F108" s="107">
        <f>SUMIF(support!C:C,B108,support!J:J)</f>
        <v>0</v>
      </c>
      <c r="G108" s="107">
        <f>SUMIF(support!C:C,B108,support!K:K)</f>
        <v>18</v>
      </c>
      <c r="H108" s="3"/>
      <c r="I108" s="80">
        <f>SUMIF(support!C:C,B108,support!L:L)</f>
        <v>1</v>
      </c>
      <c r="J108" s="23" t="b">
        <f>OR(COUNTIF(E108:G108, "&lt;&gt;0") &gt; 1, I108 = 0)</f>
        <v>0</v>
      </c>
    </row>
    <row r="109" spans="1:12" x14ac:dyDescent="0.2">
      <c r="A109" s="96" t="s">
        <v>389</v>
      </c>
      <c r="B109" s="90" t="s">
        <v>46</v>
      </c>
      <c r="C109" s="22">
        <v>1</v>
      </c>
      <c r="D109" s="3">
        <f>SUMIF(support!C:C,B109,support!I:I)</f>
        <v>5.0937255012499998</v>
      </c>
      <c r="E109" s="112">
        <f>D109 / C109</f>
        <v>5.0937255012499998</v>
      </c>
      <c r="F109" s="107">
        <f>SUMIF(support!C:C,B109,support!J:J)</f>
        <v>0</v>
      </c>
      <c r="G109" s="107">
        <f>SUMIF(support!C:C,B109,support!K:K)</f>
        <v>0</v>
      </c>
      <c r="H109" s="3"/>
      <c r="I109" s="80">
        <f>SUMIF(support!C:C,B109,support!L:L)</f>
        <v>3</v>
      </c>
      <c r="J109" s="23" t="b">
        <f>OR(COUNTIF(E109:G109, "&lt;&gt;0") &gt; 1, I109 = 0)</f>
        <v>0</v>
      </c>
      <c r="L109" s="27"/>
    </row>
    <row r="110" spans="1:12" x14ac:dyDescent="0.2">
      <c r="A110" s="96" t="s">
        <v>389</v>
      </c>
      <c r="B110" s="90" t="s">
        <v>331</v>
      </c>
      <c r="C110" s="22">
        <f>155 / 189</f>
        <v>0.82010582010582012</v>
      </c>
      <c r="D110" s="3">
        <f>SUMIF(support!C:C,B110,support!I:I)</f>
        <v>1.1595189470864999</v>
      </c>
      <c r="E110" s="112">
        <f>D110 / C110</f>
        <v>1.4138650387054741</v>
      </c>
      <c r="F110" s="107">
        <f>SUMIF(support!C:C,B110,support!J:J)</f>
        <v>0</v>
      </c>
      <c r="G110" s="107">
        <f>SUMIF(support!C:C,B110,support!K:K)</f>
        <v>0</v>
      </c>
      <c r="H110" s="3"/>
      <c r="I110" s="80">
        <f>SUMIF(support!C:C,B110,support!L:L)</f>
        <v>1</v>
      </c>
      <c r="J110" s="23" t="b">
        <f>OR(COUNTIF(E110:G110, "&lt;&gt;0") &gt; 1, I110 = 0)</f>
        <v>0</v>
      </c>
    </row>
    <row r="111" spans="1:12" x14ac:dyDescent="0.2">
      <c r="A111" s="96" t="s">
        <v>389</v>
      </c>
      <c r="B111" s="132" t="s">
        <v>435</v>
      </c>
      <c r="C111" s="22">
        <f xml:space="preserve"> 330 / 772</f>
        <v>0.42746113989637308</v>
      </c>
      <c r="D111" s="3">
        <f>SUMIF(support!C:C,B111,support!I:I)</f>
        <v>1.3202</v>
      </c>
      <c r="E111" s="112">
        <f>D111 / C111</f>
        <v>3.0884678787878785</v>
      </c>
      <c r="F111" s="107">
        <f>SUMIF(support!C:C,B111,support!J:J)</f>
        <v>0</v>
      </c>
      <c r="G111" s="107">
        <f>SUMIF(support!C:C,B111,support!K:K)</f>
        <v>0</v>
      </c>
      <c r="H111" s="3" t="s">
        <v>436</v>
      </c>
      <c r="I111" s="80">
        <f>SUMIF(support!C:C,B111,support!L:L)</f>
        <v>3</v>
      </c>
      <c r="J111" s="23" t="b">
        <f>OR(COUNTIF(E111:G111, "&lt;&gt;0") &gt; 1, I111 = 0)</f>
        <v>0</v>
      </c>
    </row>
    <row r="112" spans="1:12" x14ac:dyDescent="0.2">
      <c r="A112" s="96" t="s">
        <v>389</v>
      </c>
      <c r="B112" s="90" t="s">
        <v>334</v>
      </c>
      <c r="C112" s="22">
        <v>1</v>
      </c>
      <c r="D112" s="3">
        <f>SUMIF(support!C:C,B112,support!I:I)</f>
        <v>0</v>
      </c>
      <c r="E112" s="112">
        <f>D112 / C112</f>
        <v>0</v>
      </c>
      <c r="F112" s="107">
        <f>SUMIF(support!C:C,B112,support!J:J)</f>
        <v>1.53782353725</v>
      </c>
      <c r="G112" s="107">
        <f>SUMIF(support!C:C,B112,support!K:K)</f>
        <v>0</v>
      </c>
      <c r="H112" s="3"/>
      <c r="I112" s="80">
        <f>SUMIF(support!C:C,B112,support!L:L)</f>
        <v>1</v>
      </c>
      <c r="J112" s="23" t="b">
        <f>OR(COUNTIF(E112:G112, "&lt;&gt;0") &gt; 1, I112 = 0)</f>
        <v>0</v>
      </c>
    </row>
    <row r="113" spans="1:10" x14ac:dyDescent="0.2">
      <c r="A113" s="96" t="s">
        <v>389</v>
      </c>
      <c r="B113" s="90" t="s">
        <v>49</v>
      </c>
      <c r="C113" s="22">
        <v>1</v>
      </c>
      <c r="D113" s="3">
        <f>SUMIF(support!C:C,B113,support!I:I)</f>
        <v>4.1340000000000003</v>
      </c>
      <c r="E113" s="112">
        <f>D113 / C113</f>
        <v>4.1340000000000003</v>
      </c>
      <c r="F113" s="107">
        <f>SUMIF(support!C:C,B113,support!J:J)</f>
        <v>0</v>
      </c>
      <c r="G113" s="107">
        <f>SUMIF(support!C:C,B113,support!K:K)</f>
        <v>0</v>
      </c>
      <c r="H113" s="3"/>
      <c r="I113" s="80">
        <f>SUMIF(support!C:C,B113,support!L:L)</f>
        <v>1</v>
      </c>
      <c r="J113" s="23" t="b">
        <f>OR(COUNTIF(E113:G113, "&lt;&gt;0") &gt; 1, I113 = 0)</f>
        <v>0</v>
      </c>
    </row>
    <row r="114" spans="1:10" x14ac:dyDescent="0.2">
      <c r="A114" s="96" t="s">
        <v>389</v>
      </c>
      <c r="B114" s="90" t="s">
        <v>441</v>
      </c>
      <c r="C114" s="22">
        <v>1</v>
      </c>
      <c r="D114" s="3">
        <f>SUMIF(support!C:C,B114,support!I:I)</f>
        <v>0.99374999999999991</v>
      </c>
      <c r="E114" s="112">
        <f>D114 / C114</f>
        <v>0.99374999999999991</v>
      </c>
      <c r="F114" s="107">
        <f>SUMIF(support!C:C,B114,support!J:J)</f>
        <v>0</v>
      </c>
      <c r="G114" s="107">
        <f>SUMIF(support!C:C,B114,support!K:K)</f>
        <v>0</v>
      </c>
      <c r="H114" s="3" t="s">
        <v>442</v>
      </c>
      <c r="I114" s="80">
        <f>SUMIF(support!C:C,B114,support!L:L)</f>
        <v>1</v>
      </c>
      <c r="J114" s="23" t="b">
        <f>OR(COUNTIF(E114:G114, "&lt;&gt;0") &gt; 1, I114 = 0)</f>
        <v>0</v>
      </c>
    </row>
    <row r="115" spans="1:10" x14ac:dyDescent="0.2">
      <c r="A115" s="96" t="s">
        <v>389</v>
      </c>
      <c r="B115" s="90" t="s">
        <v>144</v>
      </c>
      <c r="C115" s="22">
        <f>155 / 189</f>
        <v>0.82010582010582012</v>
      </c>
      <c r="D115" s="3">
        <f>SUMIF(support!C:C,B115,support!I:I)</f>
        <v>0.47125</v>
      </c>
      <c r="E115" s="112">
        <f>D115 / C115</f>
        <v>0.5746209677419355</v>
      </c>
      <c r="F115" s="107">
        <f>SUMIF(support!C:C,B115,support!J:J)</f>
        <v>0</v>
      </c>
      <c r="G115" s="107">
        <f>SUMIF(support!C:C,B115,support!K:K)</f>
        <v>0</v>
      </c>
      <c r="H115" s="3"/>
      <c r="I115" s="80">
        <f>SUMIF(support!C:C,B115,support!L:L)</f>
        <v>1</v>
      </c>
      <c r="J115" s="23" t="b">
        <f>OR(COUNTIF(E115:G115, "&lt;&gt;0") &gt; 1, I115 = 0)</f>
        <v>0</v>
      </c>
    </row>
    <row r="116" spans="1:10" ht="13.5" thickBot="1" x14ac:dyDescent="0.25">
      <c r="A116" s="97" t="s">
        <v>389</v>
      </c>
      <c r="B116" s="94" t="s">
        <v>47</v>
      </c>
      <c r="C116" s="24">
        <v>1</v>
      </c>
      <c r="D116" s="25">
        <f>SUMIF(support!C:C,B116,support!I:I)</f>
        <v>0</v>
      </c>
      <c r="E116" s="113">
        <f>D116 / C116</f>
        <v>0</v>
      </c>
      <c r="F116" s="108">
        <f>SUMIF(support!C:C,B116,support!J:J)</f>
        <v>0</v>
      </c>
      <c r="G116" s="108">
        <f>SUMIF(support!C:C,B116,support!K:K)</f>
        <v>11</v>
      </c>
      <c r="H116" s="25"/>
      <c r="I116" s="81">
        <f>SUMIF(support!C:C,B116,support!L:L)</f>
        <v>2</v>
      </c>
      <c r="J116" s="26" t="b">
        <f>OR(COUNTIF(E116:G116, "&lt;&gt;0") &gt; 1, I116 = 0)</f>
        <v>0</v>
      </c>
    </row>
    <row r="117" spans="1:10" ht="13.5" thickBot="1" x14ac:dyDescent="0.25">
      <c r="B117" s="7" t="s">
        <v>85</v>
      </c>
      <c r="C117" s="105"/>
      <c r="D117" s="105"/>
    </row>
  </sheetData>
  <sortState xmlns:xlrd2="http://schemas.microsoft.com/office/spreadsheetml/2017/richdata2" ref="A2:J116">
    <sortCondition ref="A2:A116"/>
    <sortCondition ref="B2:B116"/>
  </sortState>
  <conditionalFormatting sqref="J1 J117:J1048576 F108:G116 F97:G106 E117:G1048576 E1:G1 F2:G18 F20:G31 I1:I31 I39 F39:G39 F42:G45 F47:G90 I42:I1048576 C47:E78">
    <cfRule type="cellIs" dxfId="414" priority="83" operator="equal">
      <formula>0</formula>
    </cfRule>
  </conditionalFormatting>
  <conditionalFormatting sqref="F19:G19">
    <cfRule type="cellIs" dxfId="413" priority="82" operator="equal">
      <formula>0</formula>
    </cfRule>
  </conditionalFormatting>
  <conditionalFormatting sqref="F107:G107">
    <cfRule type="cellIs" dxfId="412" priority="81" operator="equal">
      <formula>0</formula>
    </cfRule>
  </conditionalFormatting>
  <conditionalFormatting sqref="F93:G93">
    <cfRule type="cellIs" dxfId="411" priority="80" operator="equal">
      <formula>0</formula>
    </cfRule>
  </conditionalFormatting>
  <conditionalFormatting sqref="F94:G94">
    <cfRule type="cellIs" dxfId="410" priority="79" operator="equal">
      <formula>0</formula>
    </cfRule>
  </conditionalFormatting>
  <conditionalFormatting sqref="F96:G96">
    <cfRule type="cellIs" dxfId="409" priority="78" operator="equal">
      <formula>0</formula>
    </cfRule>
  </conditionalFormatting>
  <conditionalFormatting sqref="F92:G92">
    <cfRule type="cellIs" dxfId="408" priority="77" operator="equal">
      <formula>0</formula>
    </cfRule>
  </conditionalFormatting>
  <conditionalFormatting sqref="F91:G91">
    <cfRule type="cellIs" dxfId="407" priority="75" operator="equal">
      <formula>0</formula>
    </cfRule>
  </conditionalFormatting>
  <conditionalFormatting sqref="F46:G46">
    <cfRule type="cellIs" dxfId="406" priority="74" operator="equal">
      <formula>0</formula>
    </cfRule>
  </conditionalFormatting>
  <conditionalFormatting sqref="F95:G95">
    <cfRule type="cellIs" dxfId="405" priority="73" operator="equal">
      <formula>0</formula>
    </cfRule>
  </conditionalFormatting>
  <conditionalFormatting sqref="J2:J8 J13:J31 J80:J116 J39 J43:J78">
    <cfRule type="cellIs" dxfId="404" priority="57" operator="equal">
      <formula>TRUE</formula>
    </cfRule>
  </conditionalFormatting>
  <conditionalFormatting sqref="J79">
    <cfRule type="cellIs" dxfId="403" priority="55" operator="equal">
      <formula>TRUE</formula>
    </cfRule>
  </conditionalFormatting>
  <conditionalFormatting sqref="J11">
    <cfRule type="cellIs" dxfId="402" priority="53" operator="equal">
      <formula>TRUE</formula>
    </cfRule>
  </conditionalFormatting>
  <conditionalFormatting sqref="J12">
    <cfRule type="cellIs" dxfId="401" priority="51" operator="equal">
      <formula>TRUE</formula>
    </cfRule>
  </conditionalFormatting>
  <conditionalFormatting sqref="J9">
    <cfRule type="cellIs" dxfId="400" priority="49" operator="equal">
      <formula>TRUE</formula>
    </cfRule>
  </conditionalFormatting>
  <conditionalFormatting sqref="J10">
    <cfRule type="cellIs" dxfId="399" priority="47" operator="equal">
      <formula>TRUE</formula>
    </cfRule>
  </conditionalFormatting>
  <conditionalFormatting sqref="J42">
    <cfRule type="cellIs" dxfId="398" priority="45" operator="equal">
      <formula>TRUE</formula>
    </cfRule>
  </conditionalFormatting>
  <conditionalFormatting sqref="C20:D31 C2:D8 C80:D90 C13:D18 C43:D45 C97:D106 C108:D116 C39:D39">
    <cfRule type="cellIs" dxfId="397" priority="44" operator="equal">
      <formula>0</formula>
    </cfRule>
  </conditionalFormatting>
  <conditionalFormatting sqref="C19:D19">
    <cfRule type="cellIs" dxfId="396" priority="43" operator="equal">
      <formula>0</formula>
    </cfRule>
  </conditionalFormatting>
  <conditionalFormatting sqref="C107:D107">
    <cfRule type="cellIs" dxfId="395" priority="42" operator="equal">
      <formula>0</formula>
    </cfRule>
  </conditionalFormatting>
  <conditionalFormatting sqref="C93:D93">
    <cfRule type="cellIs" dxfId="394" priority="41" operator="equal">
      <formula>0</formula>
    </cfRule>
  </conditionalFormatting>
  <conditionalFormatting sqref="C94:D94">
    <cfRule type="cellIs" dxfId="393" priority="40" operator="equal">
      <formula>0</formula>
    </cfRule>
  </conditionalFormatting>
  <conditionalFormatting sqref="C96:D96">
    <cfRule type="cellIs" dxfId="392" priority="39" operator="equal">
      <formula>0</formula>
    </cfRule>
  </conditionalFormatting>
  <conditionalFormatting sqref="C92:D92">
    <cfRule type="cellIs" dxfId="391" priority="38" operator="equal">
      <formula>0</formula>
    </cfRule>
  </conditionalFormatting>
  <conditionalFormatting sqref="C91:D91">
    <cfRule type="cellIs" dxfId="390" priority="37" operator="equal">
      <formula>0</formula>
    </cfRule>
  </conditionalFormatting>
  <conditionalFormatting sqref="C46:D46">
    <cfRule type="cellIs" dxfId="389" priority="36" operator="equal">
      <formula>0</formula>
    </cfRule>
  </conditionalFormatting>
  <conditionalFormatting sqref="C95:D95">
    <cfRule type="cellIs" dxfId="388" priority="35" operator="equal">
      <formula>0</formula>
    </cfRule>
  </conditionalFormatting>
  <conditionalFormatting sqref="C79:D79">
    <cfRule type="cellIs" dxfId="387" priority="34" operator="equal">
      <formula>0</formula>
    </cfRule>
  </conditionalFormatting>
  <conditionalFormatting sqref="C11:D11">
    <cfRule type="cellIs" dxfId="386" priority="33" operator="equal">
      <formula>0</formula>
    </cfRule>
  </conditionalFormatting>
  <conditionalFormatting sqref="C12:D12">
    <cfRule type="cellIs" dxfId="385" priority="32" operator="equal">
      <formula>0</formula>
    </cfRule>
  </conditionalFormatting>
  <conditionalFormatting sqref="C9:D9">
    <cfRule type="cellIs" dxfId="384" priority="31" operator="equal">
      <formula>0</formula>
    </cfRule>
  </conditionalFormatting>
  <conditionalFormatting sqref="C10:D10">
    <cfRule type="cellIs" dxfId="383" priority="30" operator="equal">
      <formula>0</formula>
    </cfRule>
  </conditionalFormatting>
  <conditionalFormatting sqref="C42:D42">
    <cfRule type="cellIs" dxfId="382" priority="29" operator="equal">
      <formula>0</formula>
    </cfRule>
  </conditionalFormatting>
  <conditionalFormatting sqref="E20:E31 E108:E116 E80:E90 E13:E18 E43:E45 E97:E106 E2:E8 E39">
    <cfRule type="cellIs" dxfId="381" priority="28" operator="equal">
      <formula>0</formula>
    </cfRule>
  </conditionalFormatting>
  <conditionalFormatting sqref="E19">
    <cfRule type="cellIs" dxfId="380" priority="27" operator="equal">
      <formula>0</formula>
    </cfRule>
  </conditionalFormatting>
  <conditionalFormatting sqref="E107">
    <cfRule type="cellIs" dxfId="379" priority="26" operator="equal">
      <formula>0</formula>
    </cfRule>
  </conditionalFormatting>
  <conditionalFormatting sqref="E93">
    <cfRule type="cellIs" dxfId="378" priority="25" operator="equal">
      <formula>0</formula>
    </cfRule>
  </conditionalFormatting>
  <conditionalFormatting sqref="E94">
    <cfRule type="cellIs" dxfId="377" priority="24" operator="equal">
      <formula>0</formula>
    </cfRule>
  </conditionalFormatting>
  <conditionalFormatting sqref="E96">
    <cfRule type="cellIs" dxfId="376" priority="23" operator="equal">
      <formula>0</formula>
    </cfRule>
  </conditionalFormatting>
  <conditionalFormatting sqref="E92">
    <cfRule type="cellIs" dxfId="375" priority="22" operator="equal">
      <formula>0</formula>
    </cfRule>
  </conditionalFormatting>
  <conditionalFormatting sqref="E91">
    <cfRule type="cellIs" dxfId="374" priority="21" operator="equal">
      <formula>0</formula>
    </cfRule>
  </conditionalFormatting>
  <conditionalFormatting sqref="E46">
    <cfRule type="cellIs" dxfId="373" priority="20" operator="equal">
      <formula>0</formula>
    </cfRule>
  </conditionalFormatting>
  <conditionalFormatting sqref="E95">
    <cfRule type="cellIs" dxfId="372" priority="19" operator="equal">
      <formula>0</formula>
    </cfRule>
  </conditionalFormatting>
  <conditionalFormatting sqref="E79">
    <cfRule type="cellIs" dxfId="371" priority="18" operator="equal">
      <formula>0</formula>
    </cfRule>
  </conditionalFormatting>
  <conditionalFormatting sqref="E11">
    <cfRule type="cellIs" dxfId="370" priority="17" operator="equal">
      <formula>0</formula>
    </cfRule>
  </conditionalFormatting>
  <conditionalFormatting sqref="E12">
    <cfRule type="cellIs" dxfId="369" priority="16" operator="equal">
      <formula>0</formula>
    </cfRule>
  </conditionalFormatting>
  <conditionalFormatting sqref="E9">
    <cfRule type="cellIs" dxfId="368" priority="15" operator="equal">
      <formula>0</formula>
    </cfRule>
  </conditionalFormatting>
  <conditionalFormatting sqref="E10">
    <cfRule type="cellIs" dxfId="367" priority="14" operator="equal">
      <formula>0</formula>
    </cfRule>
  </conditionalFormatting>
  <conditionalFormatting sqref="E42">
    <cfRule type="cellIs" dxfId="366" priority="13" operator="equal">
      <formula>0</formula>
    </cfRule>
  </conditionalFormatting>
  <conditionalFormatting sqref="F32:G38 I32:I38">
    <cfRule type="cellIs" dxfId="365" priority="12" operator="equal">
      <formula>0</formula>
    </cfRule>
  </conditionalFormatting>
  <conditionalFormatting sqref="J32:J38">
    <cfRule type="cellIs" dxfId="364" priority="11" operator="equal">
      <formula>TRUE</formula>
    </cfRule>
  </conditionalFormatting>
  <conditionalFormatting sqref="C32:D38">
    <cfRule type="cellIs" dxfId="363" priority="10" operator="equal">
      <formula>0</formula>
    </cfRule>
  </conditionalFormatting>
  <conditionalFormatting sqref="E32:E38">
    <cfRule type="cellIs" dxfId="362" priority="9" operator="equal">
      <formula>0</formula>
    </cfRule>
  </conditionalFormatting>
  <conditionalFormatting sqref="F41:G41 I41">
    <cfRule type="cellIs" dxfId="361" priority="8" operator="equal">
      <formula>0</formula>
    </cfRule>
  </conditionalFormatting>
  <conditionalFormatting sqref="J41">
    <cfRule type="cellIs" dxfId="360" priority="7" operator="equal">
      <formula>TRUE</formula>
    </cfRule>
  </conditionalFormatting>
  <conditionalFormatting sqref="C41:D41">
    <cfRule type="cellIs" dxfId="359" priority="6" operator="equal">
      <formula>0</formula>
    </cfRule>
  </conditionalFormatting>
  <conditionalFormatting sqref="E41">
    <cfRule type="cellIs" dxfId="358" priority="5" operator="equal">
      <formula>0</formula>
    </cfRule>
  </conditionalFormatting>
  <conditionalFormatting sqref="F40:G40 I40">
    <cfRule type="cellIs" dxfId="357" priority="4" operator="equal">
      <formula>0</formula>
    </cfRule>
  </conditionalFormatting>
  <conditionalFormatting sqref="J40">
    <cfRule type="cellIs" dxfId="356" priority="3" operator="equal">
      <formula>TRUE</formula>
    </cfRule>
  </conditionalFormatting>
  <conditionalFormatting sqref="C40:D40">
    <cfRule type="cellIs" dxfId="355" priority="2" operator="equal">
      <formula>0</formula>
    </cfRule>
  </conditionalFormatting>
  <conditionalFormatting sqref="E40">
    <cfRule type="cellIs" dxfId="354" priority="1" operator="equal">
      <formula>0</formula>
    </cfRule>
  </conditionalFormatting>
  <dataValidations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2018-11-19T08:31:48Z</dcterms:modified>
</cp:coreProperties>
</file>