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45713F75-D4D5-4BDE-9A3C-9BAD1AF8F0DD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support!$G$2:$G$96</definedName>
    <definedName name="itemMlPerQty">support!$H$2:$H$96</definedName>
    <definedName name="itemNames">support!$A$2:$A$96</definedName>
    <definedName name="itemPrepMethods">support!$B$2:$B$96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recipes!$F$54</definedName>
    <definedName name="recipe01TotScale">recipes!$F$57</definedName>
    <definedName name="recipe02DayScale">recipes!$F$76</definedName>
    <definedName name="recipe02TotScale">recipes!$F$79</definedName>
    <definedName name="recipe03DayScale">recipes!$F$139</definedName>
    <definedName name="recipe03TotScale">recipes!$F$142</definedName>
    <definedName name="recipe04DayScale">recipes!$F$346</definedName>
    <definedName name="recipe04TotScale">recipes!$F$349</definedName>
    <definedName name="recipe05DayScale">recipes!$F$195</definedName>
    <definedName name="recipe05TotScale">recipes!$F$198</definedName>
    <definedName name="recipe06DayScale">recipes!$F$227</definedName>
    <definedName name="recipe06TotScale">recipes!$F$230</definedName>
    <definedName name="recipe07DayScale">recipes!$F$253</definedName>
    <definedName name="recipe07TotScale">recipes!$F$256</definedName>
    <definedName name="recipe08DayScale">recipes!$F$102</definedName>
    <definedName name="recipe08TotScale">recipes!$F$105</definedName>
    <definedName name="recipe09DayScale">recipes!$F$312</definedName>
    <definedName name="recipe09TotScale">recipes!$F$315</definedName>
    <definedName name="recipe10DayScale">recipes!$F$162</definedName>
    <definedName name="recipe10TotScale">recipes!$F$165</definedName>
    <definedName name="recipe11DayScale">recipes!$F$378</definedName>
    <definedName name="recipe11TotScale">recipes!$F$381</definedName>
    <definedName name="recipe12DayScale">recipes!$F$279</definedName>
    <definedName name="recipe12TotScale">recipes!$F$282</definedName>
    <definedName name="recipe13DayScale">recipes!$F$33</definedName>
    <definedName name="recipe13TotScale">recipes!$F$36</definedName>
    <definedName name="recipe14DayScale">recipes!$F$16</definedName>
    <definedName name="recipe14TotScale">recipes!$F$18</definedName>
    <definedName name="recipe15DayScale">recipes!$F$4</definedName>
    <definedName name="recipe15TotScale">recipes!$F$6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shopping!$A$2:$A$83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L40" i="1"/>
  <c r="O183" i="2"/>
  <c r="F161" i="2"/>
  <c r="F162" i="2"/>
  <c r="Q183" i="2"/>
  <c r="F164" i="2"/>
  <c r="F165" i="2"/>
  <c r="R183" i="2"/>
  <c r="S183" i="2"/>
  <c r="T183" i="2"/>
  <c r="K40" i="1"/>
  <c r="J40" i="1"/>
  <c r="I40" i="1"/>
  <c r="H40" i="1"/>
  <c r="G40" i="1"/>
  <c r="B33" i="3"/>
  <c r="C33" i="3"/>
  <c r="D33" i="3"/>
  <c r="E33" i="3"/>
  <c r="G33" i="3"/>
  <c r="L63" i="1"/>
  <c r="F75" i="2"/>
  <c r="F76" i="2"/>
  <c r="Q80" i="2"/>
  <c r="G63" i="1"/>
  <c r="G14" i="1"/>
  <c r="M80" i="2"/>
  <c r="F78" i="2"/>
  <c r="F79" i="2"/>
  <c r="R80" i="2"/>
  <c r="H63" i="1"/>
  <c r="H14" i="1"/>
  <c r="N80" i="2"/>
  <c r="S80" i="2"/>
  <c r="T80" i="2"/>
  <c r="F138" i="2"/>
  <c r="F139" i="2"/>
  <c r="Q142" i="2"/>
  <c r="M142" i="2"/>
  <c r="F141" i="2"/>
  <c r="F142" i="2"/>
  <c r="R142" i="2"/>
  <c r="N142" i="2"/>
  <c r="S142" i="2"/>
  <c r="T142" i="2"/>
  <c r="F278" i="2"/>
  <c r="F279" i="2"/>
  <c r="Q287" i="2"/>
  <c r="M287" i="2"/>
  <c r="F281" i="2"/>
  <c r="F282" i="2"/>
  <c r="R287" i="2"/>
  <c r="N287" i="2"/>
  <c r="S287" i="2"/>
  <c r="T287" i="2"/>
  <c r="F4" i="2"/>
  <c r="Q8" i="2"/>
  <c r="M8" i="2"/>
  <c r="F6" i="2"/>
  <c r="R8" i="2"/>
  <c r="N8" i="2"/>
  <c r="S8" i="2"/>
  <c r="T8" i="2"/>
  <c r="K63" i="1"/>
  <c r="J63" i="1"/>
  <c r="I63" i="1"/>
  <c r="L3" i="1"/>
  <c r="G2" i="1"/>
  <c r="H2" i="1"/>
  <c r="Q7" i="2"/>
  <c r="G3" i="1"/>
  <c r="M7" i="2"/>
  <c r="R7" i="2"/>
  <c r="H3" i="1"/>
  <c r="N7" i="2"/>
  <c r="S7" i="2"/>
  <c r="T7" i="2"/>
  <c r="K3" i="1"/>
  <c r="J3" i="1"/>
  <c r="I3" i="1"/>
  <c r="L2" i="1"/>
  <c r="Q6" i="2"/>
  <c r="M6" i="2"/>
  <c r="R6" i="2"/>
  <c r="N6" i="2"/>
  <c r="S6" i="2"/>
  <c r="T6" i="2"/>
  <c r="K2" i="1"/>
  <c r="J2" i="1"/>
  <c r="I2" i="1"/>
  <c r="L59" i="1"/>
  <c r="G59" i="1"/>
  <c r="H59" i="1"/>
  <c r="Q9" i="2"/>
  <c r="M9" i="2"/>
  <c r="R9" i="2"/>
  <c r="N9" i="2"/>
  <c r="S9" i="2"/>
  <c r="T9" i="2"/>
  <c r="K59" i="1"/>
  <c r="J59" i="1"/>
  <c r="I59" i="1"/>
  <c r="B51" i="3"/>
  <c r="C51" i="3"/>
  <c r="D51" i="3"/>
  <c r="E51" i="3"/>
  <c r="G51" i="3"/>
  <c r="B2" i="3"/>
  <c r="C2" i="3"/>
  <c r="D2" i="3"/>
  <c r="E2" i="3"/>
  <c r="G2" i="3"/>
  <c r="B55" i="3"/>
  <c r="C55" i="3"/>
  <c r="D55" i="3"/>
  <c r="E55" i="3"/>
  <c r="G55" i="3"/>
  <c r="B3" i="3"/>
  <c r="C3" i="3"/>
  <c r="D3" i="3"/>
  <c r="E3" i="3"/>
  <c r="G3" i="3"/>
  <c r="AA10" i="2"/>
  <c r="AD10" i="2"/>
  <c r="AC10" i="2"/>
  <c r="AB10" i="2"/>
  <c r="V10" i="2"/>
  <c r="Y10" i="2"/>
  <c r="X10" i="2"/>
  <c r="W10" i="2"/>
  <c r="G50" i="1"/>
  <c r="H50" i="1"/>
  <c r="D10" i="2"/>
  <c r="C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AA8" i="2"/>
  <c r="AD8" i="2"/>
  <c r="AC8" i="2"/>
  <c r="AB8" i="2"/>
  <c r="V8" i="2"/>
  <c r="Y8" i="2"/>
  <c r="X8" i="2"/>
  <c r="W8" i="2"/>
  <c r="P8" i="2"/>
  <c r="O8" i="2"/>
  <c r="D8" i="2"/>
  <c r="C8" i="2"/>
  <c r="B8" i="2"/>
  <c r="D7" i="2"/>
  <c r="C7" i="2"/>
  <c r="B7" i="2"/>
  <c r="D6" i="2"/>
  <c r="C6" i="2"/>
  <c r="B6" i="2"/>
  <c r="AA7" i="2"/>
  <c r="AD7" i="2"/>
  <c r="AC7" i="2"/>
  <c r="AB7" i="2"/>
  <c r="V7" i="2"/>
  <c r="Y7" i="2"/>
  <c r="X7" i="2"/>
  <c r="W7" i="2"/>
  <c r="P7" i="2"/>
  <c r="O7" i="2"/>
  <c r="AA6" i="2"/>
  <c r="AD6" i="2"/>
  <c r="AC6" i="2"/>
  <c r="AB6" i="2"/>
  <c r="V6" i="2"/>
  <c r="Y6" i="2"/>
  <c r="X6" i="2"/>
  <c r="W6" i="2"/>
  <c r="P6" i="2"/>
  <c r="O6" i="2"/>
  <c r="L50" i="1"/>
  <c r="F311" i="2"/>
  <c r="F312" i="2"/>
  <c r="Q337" i="2"/>
  <c r="G51" i="1"/>
  <c r="M337" i="2"/>
  <c r="F314" i="2"/>
  <c r="F315" i="2"/>
  <c r="R337" i="2"/>
  <c r="H51" i="1"/>
  <c r="N337" i="2"/>
  <c r="S337" i="2"/>
  <c r="T337" i="2"/>
  <c r="Q5" i="2"/>
  <c r="M5" i="2"/>
  <c r="R5" i="2"/>
  <c r="N5" i="2"/>
  <c r="S5" i="2"/>
  <c r="T5" i="2"/>
  <c r="K50" i="1"/>
  <c r="J50" i="1"/>
  <c r="I50" i="1"/>
  <c r="B42" i="3"/>
  <c r="C42" i="3"/>
  <c r="D42" i="3"/>
  <c r="E42" i="3"/>
  <c r="G42" i="3"/>
  <c r="D5" i="2"/>
  <c r="C5" i="2"/>
  <c r="B5" i="2"/>
  <c r="AA5" i="2"/>
  <c r="AD5" i="2"/>
  <c r="AC5" i="2"/>
  <c r="AB5" i="2"/>
  <c r="V5" i="2"/>
  <c r="Y5" i="2"/>
  <c r="X5" i="2"/>
  <c r="W5" i="2"/>
  <c r="P5" i="2"/>
  <c r="O5" i="2"/>
  <c r="F101" i="2"/>
  <c r="F102" i="2"/>
  <c r="Q112" i="2"/>
  <c r="G95" i="1"/>
  <c r="M112" i="2"/>
  <c r="F104" i="2"/>
  <c r="F105" i="2"/>
  <c r="R112" i="2"/>
  <c r="I95" i="1"/>
  <c r="F345" i="2"/>
  <c r="F346" i="2"/>
  <c r="Q363" i="2"/>
  <c r="G96" i="1"/>
  <c r="M363" i="2"/>
  <c r="F348" i="2"/>
  <c r="F349" i="2"/>
  <c r="R363" i="2"/>
  <c r="I96" i="1"/>
  <c r="B83" i="3"/>
  <c r="H95" i="1"/>
  <c r="N112" i="2"/>
  <c r="S112" i="2"/>
  <c r="J95" i="1"/>
  <c r="H96" i="1"/>
  <c r="N363" i="2"/>
  <c r="S363" i="2"/>
  <c r="J96" i="1"/>
  <c r="C83" i="3"/>
  <c r="T112" i="2"/>
  <c r="K95" i="1"/>
  <c r="T363" i="2"/>
  <c r="K96" i="1"/>
  <c r="D83" i="3"/>
  <c r="L95" i="1"/>
  <c r="L96" i="1"/>
  <c r="E83" i="3"/>
  <c r="G83" i="3"/>
  <c r="Q177" i="2"/>
  <c r="G94" i="1"/>
  <c r="M177" i="2"/>
  <c r="R177" i="2"/>
  <c r="I94" i="1"/>
  <c r="B82" i="3"/>
  <c r="H94" i="1"/>
  <c r="N177" i="2"/>
  <c r="S177" i="2"/>
  <c r="J94" i="1"/>
  <c r="C82" i="3"/>
  <c r="T177" i="2"/>
  <c r="K94" i="1"/>
  <c r="D82" i="3"/>
  <c r="L94" i="1"/>
  <c r="E82" i="3"/>
  <c r="G82" i="3"/>
  <c r="F252" i="2"/>
  <c r="F253" i="2"/>
  <c r="Q257" i="2"/>
  <c r="G93" i="1"/>
  <c r="M257" i="2"/>
  <c r="F255" i="2"/>
  <c r="F256" i="2"/>
  <c r="R257" i="2"/>
  <c r="I93" i="1"/>
  <c r="B81" i="3"/>
  <c r="H93" i="1"/>
  <c r="N257" i="2"/>
  <c r="S257" i="2"/>
  <c r="J93" i="1"/>
  <c r="C81" i="3"/>
  <c r="T257" i="2"/>
  <c r="K93" i="1"/>
  <c r="D81" i="3"/>
  <c r="L93" i="1"/>
  <c r="E81" i="3"/>
  <c r="G81" i="3"/>
  <c r="H91" i="1"/>
  <c r="N229" i="2"/>
  <c r="G91" i="1"/>
  <c r="M229" i="2"/>
  <c r="O229" i="2"/>
  <c r="P229" i="2"/>
  <c r="F226" i="2"/>
  <c r="F227" i="2"/>
  <c r="Q229" i="2"/>
  <c r="F229" i="2"/>
  <c r="F230" i="2"/>
  <c r="R229" i="2"/>
  <c r="I91" i="1"/>
  <c r="H92" i="1"/>
  <c r="N90" i="2"/>
  <c r="G92" i="1"/>
  <c r="M90" i="2"/>
  <c r="O90" i="2"/>
  <c r="P90" i="2"/>
  <c r="Q90" i="2"/>
  <c r="R90" i="2"/>
  <c r="N115" i="2"/>
  <c r="M115" i="2"/>
  <c r="O115" i="2"/>
  <c r="P115" i="2"/>
  <c r="Q115" i="2"/>
  <c r="R115" i="2"/>
  <c r="N175" i="2"/>
  <c r="M175" i="2"/>
  <c r="O175" i="2"/>
  <c r="P175" i="2"/>
  <c r="Q175" i="2"/>
  <c r="R175" i="2"/>
  <c r="N391" i="2"/>
  <c r="M391" i="2"/>
  <c r="O391" i="2"/>
  <c r="P391" i="2"/>
  <c r="F377" i="2"/>
  <c r="F378" i="2"/>
  <c r="Q391" i="2"/>
  <c r="F380" i="2"/>
  <c r="F381" i="2"/>
  <c r="R391" i="2"/>
  <c r="I92" i="1"/>
  <c r="B80" i="3"/>
  <c r="S229" i="2"/>
  <c r="J91" i="1"/>
  <c r="S90" i="2"/>
  <c r="S115" i="2"/>
  <c r="S175" i="2"/>
  <c r="S391" i="2"/>
  <c r="J92" i="1"/>
  <c r="C80" i="3"/>
  <c r="T229" i="2"/>
  <c r="K91" i="1"/>
  <c r="T90" i="2"/>
  <c r="T115" i="2"/>
  <c r="T175" i="2"/>
  <c r="T391" i="2"/>
  <c r="K92" i="1"/>
  <c r="D80" i="3"/>
  <c r="L91" i="1"/>
  <c r="L92" i="1"/>
  <c r="E80" i="3"/>
  <c r="G80" i="3"/>
  <c r="O268" i="2"/>
  <c r="Q268" i="2"/>
  <c r="R268" i="2"/>
  <c r="I90" i="1"/>
  <c r="B79" i="3"/>
  <c r="S268" i="2"/>
  <c r="J90" i="1"/>
  <c r="C79" i="3"/>
  <c r="T268" i="2"/>
  <c r="K90" i="1"/>
  <c r="D79" i="3"/>
  <c r="L90" i="1"/>
  <c r="E79" i="3"/>
  <c r="G79" i="3"/>
  <c r="H89" i="1"/>
  <c r="N146" i="2"/>
  <c r="O146" i="2"/>
  <c r="P146" i="2"/>
  <c r="Q146" i="2"/>
  <c r="R146" i="2"/>
  <c r="N196" i="2"/>
  <c r="O196" i="2"/>
  <c r="P196" i="2"/>
  <c r="F194" i="2"/>
  <c r="F195" i="2"/>
  <c r="Q196" i="2"/>
  <c r="F197" i="2"/>
  <c r="F198" i="2"/>
  <c r="R196" i="2"/>
  <c r="N260" i="2"/>
  <c r="O260" i="2"/>
  <c r="P260" i="2"/>
  <c r="Q260" i="2"/>
  <c r="R260" i="2"/>
  <c r="N328" i="2"/>
  <c r="O328" i="2"/>
  <c r="P328" i="2"/>
  <c r="Q328" i="2"/>
  <c r="R328" i="2"/>
  <c r="F16" i="2"/>
  <c r="Q17" i="2"/>
  <c r="G19" i="1"/>
  <c r="M17" i="2"/>
  <c r="F17" i="2"/>
  <c r="F18" i="2"/>
  <c r="R17" i="2"/>
  <c r="Q18" i="2"/>
  <c r="G9" i="1"/>
  <c r="M18" i="2"/>
  <c r="R18" i="2"/>
  <c r="Q19" i="2"/>
  <c r="G15" i="1"/>
  <c r="M19" i="2"/>
  <c r="R19" i="2"/>
  <c r="Q20" i="2"/>
  <c r="G43" i="1"/>
  <c r="M20" i="2"/>
  <c r="R20" i="2"/>
  <c r="Q21" i="2"/>
  <c r="G52" i="1"/>
  <c r="M21" i="2"/>
  <c r="R21" i="2"/>
  <c r="G34" i="1"/>
  <c r="G32" i="1"/>
  <c r="G74" i="1"/>
  <c r="Q27" i="2"/>
  <c r="G88" i="1"/>
  <c r="M27" i="2"/>
  <c r="R27" i="2"/>
  <c r="F33" i="2"/>
  <c r="G37" i="1"/>
  <c r="F35" i="2"/>
  <c r="F36" i="2"/>
  <c r="H38" i="1"/>
  <c r="N34" i="2"/>
  <c r="O34" i="2"/>
  <c r="P34" i="2"/>
  <c r="Q34" i="2"/>
  <c r="R34" i="2"/>
  <c r="H30" i="1"/>
  <c r="N35" i="2"/>
  <c r="O35" i="2"/>
  <c r="P35" i="2"/>
  <c r="Q35" i="2"/>
  <c r="R35" i="2"/>
  <c r="H86" i="1"/>
  <c r="N36" i="2"/>
  <c r="O36" i="2"/>
  <c r="P36" i="2"/>
  <c r="Q36" i="2"/>
  <c r="R36" i="2"/>
  <c r="H7" i="1"/>
  <c r="N39" i="2"/>
  <c r="G7" i="1"/>
  <c r="M39" i="2"/>
  <c r="O39" i="2"/>
  <c r="P39" i="2"/>
  <c r="Q39" i="2"/>
  <c r="R39" i="2"/>
  <c r="H49" i="1"/>
  <c r="N40" i="2"/>
  <c r="O40" i="2"/>
  <c r="P40" i="2"/>
  <c r="Q40" i="2"/>
  <c r="R40" i="2"/>
  <c r="H6" i="1"/>
  <c r="N41" i="2"/>
  <c r="O41" i="2"/>
  <c r="P41" i="2"/>
  <c r="Q41" i="2"/>
  <c r="R41" i="2"/>
  <c r="H65" i="1"/>
  <c r="N42" i="2"/>
  <c r="G65" i="1"/>
  <c r="M42" i="2"/>
  <c r="O42" i="2"/>
  <c r="P42" i="2"/>
  <c r="Q42" i="2"/>
  <c r="R42" i="2"/>
  <c r="H83" i="1"/>
  <c r="N45" i="2"/>
  <c r="O45" i="2"/>
  <c r="P45" i="2"/>
  <c r="Q45" i="2"/>
  <c r="R45" i="2"/>
  <c r="H39" i="1"/>
  <c r="N48" i="2"/>
  <c r="O48" i="2"/>
  <c r="P48" i="2"/>
  <c r="Q48" i="2"/>
  <c r="R48" i="2"/>
  <c r="H73" i="1"/>
  <c r="N49" i="2"/>
  <c r="O49" i="2"/>
  <c r="P49" i="2"/>
  <c r="Q49" i="2"/>
  <c r="R49" i="2"/>
  <c r="H46" i="1"/>
  <c r="N50" i="2"/>
  <c r="O50" i="2"/>
  <c r="P50" i="2"/>
  <c r="Q50" i="2"/>
  <c r="R50" i="2"/>
  <c r="O55" i="2"/>
  <c r="F53" i="2"/>
  <c r="F54" i="2"/>
  <c r="Q55" i="2"/>
  <c r="F56" i="2"/>
  <c r="F57" i="2"/>
  <c r="R55" i="2"/>
  <c r="H28" i="1"/>
  <c r="N56" i="2"/>
  <c r="G28" i="1"/>
  <c r="M56" i="2"/>
  <c r="O56" i="2"/>
  <c r="P56" i="2"/>
  <c r="Q56" i="2"/>
  <c r="R56" i="2"/>
  <c r="Q59" i="2"/>
  <c r="M59" i="2"/>
  <c r="R59" i="2"/>
  <c r="Q60" i="2"/>
  <c r="G58" i="1"/>
  <c r="M60" i="2"/>
  <c r="R60" i="2"/>
  <c r="H21" i="1"/>
  <c r="N63" i="2"/>
  <c r="G21" i="1"/>
  <c r="M63" i="2"/>
  <c r="O63" i="2"/>
  <c r="P63" i="2"/>
  <c r="Q63" i="2"/>
  <c r="R63" i="2"/>
  <c r="H36" i="1"/>
  <c r="N64" i="2"/>
  <c r="G36" i="1"/>
  <c r="M64" i="2"/>
  <c r="O64" i="2"/>
  <c r="P64" i="2"/>
  <c r="Q64" i="2"/>
  <c r="R64" i="2"/>
  <c r="H48" i="1"/>
  <c r="N65" i="2"/>
  <c r="G48" i="1"/>
  <c r="M65" i="2"/>
  <c r="O65" i="2"/>
  <c r="P65" i="2"/>
  <c r="Q65" i="2"/>
  <c r="R65" i="2"/>
  <c r="H47" i="1"/>
  <c r="N66" i="2"/>
  <c r="G47" i="1"/>
  <c r="M66" i="2"/>
  <c r="O66" i="2"/>
  <c r="P66" i="2"/>
  <c r="Q66" i="2"/>
  <c r="R66" i="2"/>
  <c r="H66" i="1"/>
  <c r="N67" i="2"/>
  <c r="G66" i="1"/>
  <c r="M67" i="2"/>
  <c r="O67" i="2"/>
  <c r="P67" i="2"/>
  <c r="Q67" i="2"/>
  <c r="R67" i="2"/>
  <c r="H25" i="1"/>
  <c r="N77" i="2"/>
  <c r="G25" i="1"/>
  <c r="M77" i="2"/>
  <c r="O77" i="2"/>
  <c r="P77" i="2"/>
  <c r="Q77" i="2"/>
  <c r="R77" i="2"/>
  <c r="Q81" i="2"/>
  <c r="G8" i="1"/>
  <c r="M81" i="2"/>
  <c r="R81" i="2"/>
  <c r="N82" i="2"/>
  <c r="M82" i="2"/>
  <c r="O82" i="2"/>
  <c r="P82" i="2"/>
  <c r="Q82" i="2"/>
  <c r="R82" i="2"/>
  <c r="H60" i="1"/>
  <c r="N85" i="2"/>
  <c r="G60" i="1"/>
  <c r="M85" i="2"/>
  <c r="O85" i="2"/>
  <c r="P85" i="2"/>
  <c r="Q85" i="2"/>
  <c r="R85" i="2"/>
  <c r="N86" i="2"/>
  <c r="M86" i="2"/>
  <c r="O86" i="2"/>
  <c r="P86" i="2"/>
  <c r="Q86" i="2"/>
  <c r="R86" i="2"/>
  <c r="H23" i="1"/>
  <c r="N87" i="2"/>
  <c r="G23" i="1"/>
  <c r="M87" i="2"/>
  <c r="O87" i="2"/>
  <c r="P87" i="2"/>
  <c r="Q87" i="2"/>
  <c r="R87" i="2"/>
  <c r="H18" i="1"/>
  <c r="N88" i="2"/>
  <c r="G18" i="1"/>
  <c r="M88" i="2"/>
  <c r="O88" i="2"/>
  <c r="P88" i="2"/>
  <c r="Q88" i="2"/>
  <c r="R88" i="2"/>
  <c r="Q89" i="2"/>
  <c r="G4" i="1"/>
  <c r="M89" i="2"/>
  <c r="R89" i="2"/>
  <c r="G42" i="1"/>
  <c r="M95" i="2"/>
  <c r="O95" i="2"/>
  <c r="H42" i="1"/>
  <c r="N95" i="2"/>
  <c r="P95" i="2"/>
  <c r="Q95" i="2"/>
  <c r="R95" i="2"/>
  <c r="H26" i="1"/>
  <c r="N103" i="2"/>
  <c r="G26" i="1"/>
  <c r="M103" i="2"/>
  <c r="O103" i="2"/>
  <c r="P103" i="2"/>
  <c r="Q103" i="2"/>
  <c r="R103" i="2"/>
  <c r="N107" i="2"/>
  <c r="M107" i="2"/>
  <c r="O107" i="2"/>
  <c r="P107" i="2"/>
  <c r="Q107" i="2"/>
  <c r="R107" i="2"/>
  <c r="H56" i="1"/>
  <c r="N108" i="2"/>
  <c r="O108" i="2"/>
  <c r="P108" i="2"/>
  <c r="Q108" i="2"/>
  <c r="R108" i="2"/>
  <c r="Q111" i="2"/>
  <c r="G81" i="1"/>
  <c r="M111" i="2"/>
  <c r="R111" i="2"/>
  <c r="N116" i="2"/>
  <c r="M116" i="2"/>
  <c r="O116" i="2"/>
  <c r="P116" i="2"/>
  <c r="Q116" i="2"/>
  <c r="R116" i="2"/>
  <c r="Q117" i="2"/>
  <c r="G44" i="1"/>
  <c r="M117" i="2"/>
  <c r="R117" i="2"/>
  <c r="N118" i="2"/>
  <c r="O118" i="2"/>
  <c r="P118" i="2"/>
  <c r="Q118" i="2"/>
  <c r="R118" i="2"/>
  <c r="N126" i="2"/>
  <c r="O126" i="2"/>
  <c r="P126" i="2"/>
  <c r="Q126" i="2"/>
  <c r="R126" i="2"/>
  <c r="H20" i="1"/>
  <c r="N129" i="2"/>
  <c r="G20" i="1"/>
  <c r="M129" i="2"/>
  <c r="O129" i="2"/>
  <c r="P129" i="2"/>
  <c r="Q129" i="2"/>
  <c r="R129" i="2"/>
  <c r="H5" i="1"/>
  <c r="N130" i="2"/>
  <c r="G5" i="1"/>
  <c r="M130" i="2"/>
  <c r="O130" i="2"/>
  <c r="P130" i="2"/>
  <c r="Q130" i="2"/>
  <c r="R130" i="2"/>
  <c r="N140" i="2"/>
  <c r="O140" i="2"/>
  <c r="P140" i="2"/>
  <c r="Q140" i="2"/>
  <c r="R140" i="2"/>
  <c r="Q141" i="2"/>
  <c r="M141" i="2"/>
  <c r="R141" i="2"/>
  <c r="Q145" i="2"/>
  <c r="M145" i="2"/>
  <c r="R145" i="2"/>
  <c r="Q147" i="2"/>
  <c r="G33" i="1"/>
  <c r="M147" i="2"/>
  <c r="R147" i="2"/>
  <c r="Q148" i="2"/>
  <c r="G35" i="1"/>
  <c r="M148" i="2"/>
  <c r="R148" i="2"/>
  <c r="Q149" i="2"/>
  <c r="M149" i="2"/>
  <c r="R149" i="2"/>
  <c r="O152" i="2"/>
  <c r="M152" i="2"/>
  <c r="P152" i="2"/>
  <c r="Q152" i="2"/>
  <c r="N152" i="2"/>
  <c r="R152" i="2"/>
  <c r="O164" i="2"/>
  <c r="Q164" i="2"/>
  <c r="R164" i="2"/>
  <c r="H76" i="1"/>
  <c r="N165" i="2"/>
  <c r="O165" i="2"/>
  <c r="P165" i="2"/>
  <c r="Q165" i="2"/>
  <c r="R165" i="2"/>
  <c r="H67" i="1"/>
  <c r="N168" i="2"/>
  <c r="O168" i="2"/>
  <c r="P168" i="2"/>
  <c r="Q168" i="2"/>
  <c r="R168" i="2"/>
  <c r="H77" i="1"/>
  <c r="N169" i="2"/>
  <c r="O169" i="2"/>
  <c r="P169" i="2"/>
  <c r="Q169" i="2"/>
  <c r="R169" i="2"/>
  <c r="Q170" i="2"/>
  <c r="M170" i="2"/>
  <c r="R170" i="2"/>
  <c r="N171" i="2"/>
  <c r="O171" i="2"/>
  <c r="P171" i="2"/>
  <c r="Q171" i="2"/>
  <c r="R171" i="2"/>
  <c r="Q172" i="2"/>
  <c r="G12" i="1"/>
  <c r="M172" i="2"/>
  <c r="R172" i="2"/>
  <c r="Q176" i="2"/>
  <c r="G6" i="1"/>
  <c r="M176" i="2"/>
  <c r="R176" i="2"/>
  <c r="Q178" i="2"/>
  <c r="M178" i="2"/>
  <c r="R178" i="2"/>
  <c r="Q179" i="2"/>
  <c r="G78" i="1"/>
  <c r="M179" i="2"/>
  <c r="R179" i="2"/>
  <c r="Q182" i="2"/>
  <c r="G53" i="1"/>
  <c r="M182" i="2"/>
  <c r="R182" i="2"/>
  <c r="Q184" i="2"/>
  <c r="G82" i="1"/>
  <c r="M184" i="2"/>
  <c r="R184" i="2"/>
  <c r="H11" i="1"/>
  <c r="N189" i="2"/>
  <c r="O189" i="2"/>
  <c r="P189" i="2"/>
  <c r="Q189" i="2"/>
  <c r="R189" i="2"/>
  <c r="Q199" i="2"/>
  <c r="G49" i="1"/>
  <c r="M199" i="2"/>
  <c r="R199" i="2"/>
  <c r="Q200" i="2"/>
  <c r="M200" i="2"/>
  <c r="R200" i="2"/>
  <c r="Q208" i="2"/>
  <c r="G84" i="1"/>
  <c r="M208" i="2"/>
  <c r="R208" i="2"/>
  <c r="H22" i="1"/>
  <c r="N209" i="2"/>
  <c r="O209" i="2"/>
  <c r="P209" i="2"/>
  <c r="Q209" i="2"/>
  <c r="R209" i="2"/>
  <c r="H57" i="1"/>
  <c r="N210" i="2"/>
  <c r="O210" i="2"/>
  <c r="P210" i="2"/>
  <c r="Q210" i="2"/>
  <c r="R210" i="2"/>
  <c r="N213" i="2"/>
  <c r="M213" i="2"/>
  <c r="O213" i="2"/>
  <c r="P213" i="2"/>
  <c r="Q213" i="2"/>
  <c r="R213" i="2"/>
  <c r="H55" i="1"/>
  <c r="N214" i="2"/>
  <c r="O214" i="2"/>
  <c r="P214" i="2"/>
  <c r="Q214" i="2"/>
  <c r="R214" i="2"/>
  <c r="H61" i="1"/>
  <c r="N228" i="2"/>
  <c r="O228" i="2"/>
  <c r="P228" i="2"/>
  <c r="Q228" i="2"/>
  <c r="R228" i="2"/>
  <c r="H17" i="1"/>
  <c r="N232" i="2"/>
  <c r="O232" i="2"/>
  <c r="P232" i="2"/>
  <c r="Q232" i="2"/>
  <c r="R232" i="2"/>
  <c r="H71" i="1"/>
  <c r="N233" i="2"/>
  <c r="O233" i="2"/>
  <c r="P233" i="2"/>
  <c r="Q233" i="2"/>
  <c r="R233" i="2"/>
  <c r="Q236" i="2"/>
  <c r="G86" i="1"/>
  <c r="M236" i="2"/>
  <c r="R236" i="2"/>
  <c r="Q239" i="2"/>
  <c r="M239" i="2"/>
  <c r="R239" i="2"/>
  <c r="Q240" i="2"/>
  <c r="M240" i="2"/>
  <c r="R240" i="2"/>
  <c r="N241" i="2"/>
  <c r="O241" i="2"/>
  <c r="P241" i="2"/>
  <c r="Q241" i="2"/>
  <c r="R241" i="2"/>
  <c r="Q244" i="2"/>
  <c r="M244" i="2"/>
  <c r="R244" i="2"/>
  <c r="Q245" i="2"/>
  <c r="M245" i="2"/>
  <c r="R245" i="2"/>
  <c r="H62" i="1"/>
  <c r="N246" i="2"/>
  <c r="O246" i="2"/>
  <c r="P246" i="2"/>
  <c r="Q246" i="2"/>
  <c r="R246" i="2"/>
  <c r="N247" i="2"/>
  <c r="O247" i="2"/>
  <c r="P247" i="2"/>
  <c r="Q247" i="2"/>
  <c r="R247" i="2"/>
  <c r="N254" i="2"/>
  <c r="O254" i="2"/>
  <c r="P254" i="2"/>
  <c r="Q254" i="2"/>
  <c r="R254" i="2"/>
  <c r="Q255" i="2"/>
  <c r="G10" i="1"/>
  <c r="M255" i="2"/>
  <c r="R255" i="2"/>
  <c r="Q256" i="2"/>
  <c r="G16" i="1"/>
  <c r="M256" i="2"/>
  <c r="R256" i="2"/>
  <c r="O265" i="2"/>
  <c r="Q265" i="2"/>
  <c r="R265" i="2"/>
  <c r="H54" i="1"/>
  <c r="N271" i="2"/>
  <c r="O271" i="2"/>
  <c r="P271" i="2"/>
  <c r="Q271" i="2"/>
  <c r="R271" i="2"/>
  <c r="H24" i="1"/>
  <c r="N282" i="2"/>
  <c r="O282" i="2"/>
  <c r="P282" i="2"/>
  <c r="Q282" i="2"/>
  <c r="R282" i="2"/>
  <c r="Q283" i="2"/>
  <c r="G64" i="1"/>
  <c r="M283" i="2"/>
  <c r="R283" i="2"/>
  <c r="Q286" i="2"/>
  <c r="M286" i="2"/>
  <c r="R286" i="2"/>
  <c r="H27" i="1"/>
  <c r="N288" i="2"/>
  <c r="O288" i="2"/>
  <c r="P288" i="2"/>
  <c r="Q288" i="2"/>
  <c r="R288" i="2"/>
  <c r="H85" i="1"/>
  <c r="N291" i="2"/>
  <c r="O291" i="2"/>
  <c r="P291" i="2"/>
  <c r="Q291" i="2"/>
  <c r="R291" i="2"/>
  <c r="H75" i="1"/>
  <c r="N300" i="2"/>
  <c r="O300" i="2"/>
  <c r="P300" i="2"/>
  <c r="Q300" i="2"/>
  <c r="R300" i="2"/>
  <c r="N301" i="2"/>
  <c r="O301" i="2"/>
  <c r="P301" i="2"/>
  <c r="Q301" i="2"/>
  <c r="R301" i="2"/>
  <c r="N302" i="2"/>
  <c r="M302" i="2"/>
  <c r="O302" i="2"/>
  <c r="P302" i="2"/>
  <c r="Q302" i="2"/>
  <c r="R302" i="2"/>
  <c r="N303" i="2"/>
  <c r="M303" i="2"/>
  <c r="O303" i="2"/>
  <c r="P303" i="2"/>
  <c r="Q303" i="2"/>
  <c r="R303" i="2"/>
  <c r="H72" i="1"/>
  <c r="N304" i="2"/>
  <c r="O304" i="2"/>
  <c r="P304" i="2"/>
  <c r="Q304" i="2"/>
  <c r="R304" i="2"/>
  <c r="Q315" i="2"/>
  <c r="M315" i="2"/>
  <c r="R315" i="2"/>
  <c r="N318" i="2"/>
  <c r="O318" i="2"/>
  <c r="P318" i="2"/>
  <c r="Q318" i="2"/>
  <c r="R318" i="2"/>
  <c r="N319" i="2"/>
  <c r="O319" i="2"/>
  <c r="P319" i="2"/>
  <c r="Q319" i="2"/>
  <c r="R319" i="2"/>
  <c r="Q320" i="2"/>
  <c r="G13" i="1"/>
  <c r="M320" i="2"/>
  <c r="R320" i="2"/>
  <c r="N321" i="2"/>
  <c r="M321" i="2"/>
  <c r="O321" i="2"/>
  <c r="P321" i="2"/>
  <c r="Q321" i="2"/>
  <c r="R321" i="2"/>
  <c r="N322" i="2"/>
  <c r="M322" i="2"/>
  <c r="O322" i="2"/>
  <c r="P322" i="2"/>
  <c r="Q322" i="2"/>
  <c r="R322" i="2"/>
  <c r="N323" i="2"/>
  <c r="O323" i="2"/>
  <c r="P323" i="2"/>
  <c r="Q323" i="2"/>
  <c r="R323" i="2"/>
  <c r="N324" i="2"/>
  <c r="M324" i="2"/>
  <c r="O324" i="2"/>
  <c r="P324" i="2"/>
  <c r="Q324" i="2"/>
  <c r="R324" i="2"/>
  <c r="N325" i="2"/>
  <c r="M325" i="2"/>
  <c r="O325" i="2"/>
  <c r="P325" i="2"/>
  <c r="Q325" i="2"/>
  <c r="R325" i="2"/>
  <c r="Q329" i="2"/>
  <c r="M329" i="2"/>
  <c r="R329" i="2"/>
  <c r="Q330" i="2"/>
  <c r="M330" i="2"/>
  <c r="R330" i="2"/>
  <c r="Q331" i="2"/>
  <c r="G79" i="1"/>
  <c r="M331" i="2"/>
  <c r="R331" i="2"/>
  <c r="Q336" i="2"/>
  <c r="M336" i="2"/>
  <c r="R336" i="2"/>
  <c r="N347" i="2"/>
  <c r="O347" i="2"/>
  <c r="P347" i="2"/>
  <c r="Q347" i="2"/>
  <c r="R347" i="2"/>
  <c r="Q348" i="2"/>
  <c r="M348" i="2"/>
  <c r="R348" i="2"/>
  <c r="Q349" i="2"/>
  <c r="M349" i="2"/>
  <c r="R349" i="2"/>
  <c r="N350" i="2"/>
  <c r="O350" i="2"/>
  <c r="P350" i="2"/>
  <c r="Q350" i="2"/>
  <c r="R350" i="2"/>
  <c r="N351" i="2"/>
  <c r="O351" i="2"/>
  <c r="P351" i="2"/>
  <c r="Q351" i="2"/>
  <c r="R351" i="2"/>
  <c r="N354" i="2"/>
  <c r="O354" i="2"/>
  <c r="P354" i="2"/>
  <c r="Q354" i="2"/>
  <c r="R354" i="2"/>
  <c r="N355" i="2"/>
  <c r="O355" i="2"/>
  <c r="P355" i="2"/>
  <c r="Q355" i="2"/>
  <c r="R355" i="2"/>
  <c r="Q358" i="2"/>
  <c r="M358" i="2"/>
  <c r="R358" i="2"/>
  <c r="Q359" i="2"/>
  <c r="M359" i="2"/>
  <c r="R359" i="2"/>
  <c r="Q362" i="2"/>
  <c r="M362" i="2"/>
  <c r="R362" i="2"/>
  <c r="Q364" i="2"/>
  <c r="G69" i="1"/>
  <c r="M364" i="2"/>
  <c r="R364" i="2"/>
  <c r="N365" i="2"/>
  <c r="M365" i="2"/>
  <c r="O365" i="2"/>
  <c r="P365" i="2"/>
  <c r="Q365" i="2"/>
  <c r="R365" i="2"/>
  <c r="Q368" i="2"/>
  <c r="M368" i="2"/>
  <c r="R368" i="2"/>
  <c r="Q369" i="2"/>
  <c r="G80" i="1"/>
  <c r="M369" i="2"/>
  <c r="R369" i="2"/>
  <c r="N381" i="2"/>
  <c r="M381" i="2"/>
  <c r="O381" i="2"/>
  <c r="P381" i="2"/>
  <c r="Q381" i="2"/>
  <c r="R381" i="2"/>
  <c r="N384" i="2"/>
  <c r="O384" i="2"/>
  <c r="P384" i="2"/>
  <c r="Q384" i="2"/>
  <c r="R384" i="2"/>
  <c r="Q385" i="2"/>
  <c r="M385" i="2"/>
  <c r="R385" i="2"/>
  <c r="N386" i="2"/>
  <c r="M386" i="2"/>
  <c r="O386" i="2"/>
  <c r="P386" i="2"/>
  <c r="Q386" i="2"/>
  <c r="R386" i="2"/>
  <c r="N387" i="2"/>
  <c r="M387" i="2"/>
  <c r="O387" i="2"/>
  <c r="P387" i="2"/>
  <c r="Q387" i="2"/>
  <c r="R387" i="2"/>
  <c r="N388" i="2"/>
  <c r="O388" i="2"/>
  <c r="P388" i="2"/>
  <c r="Q388" i="2"/>
  <c r="R388" i="2"/>
  <c r="Q392" i="2"/>
  <c r="M392" i="2"/>
  <c r="R392" i="2"/>
  <c r="Q393" i="2"/>
  <c r="M393" i="2"/>
  <c r="R393" i="2"/>
  <c r="Q394" i="2"/>
  <c r="G68" i="1"/>
  <c r="M394" i="2"/>
  <c r="R394" i="2"/>
  <c r="Q397" i="2"/>
  <c r="M397" i="2"/>
  <c r="R397" i="2"/>
  <c r="I89" i="1"/>
  <c r="B78" i="3"/>
  <c r="S146" i="2"/>
  <c r="S196" i="2"/>
  <c r="S260" i="2"/>
  <c r="S328" i="2"/>
  <c r="S17" i="2"/>
  <c r="H9" i="1"/>
  <c r="N18" i="2"/>
  <c r="S18" i="2"/>
  <c r="H15" i="1"/>
  <c r="N19" i="2"/>
  <c r="S19" i="2"/>
  <c r="H43" i="1"/>
  <c r="N20" i="2"/>
  <c r="S20" i="2"/>
  <c r="S21" i="2"/>
  <c r="H34" i="1"/>
  <c r="H32" i="1"/>
  <c r="H74" i="1"/>
  <c r="S27" i="2"/>
  <c r="H37" i="1"/>
  <c r="S34" i="2"/>
  <c r="S35" i="2"/>
  <c r="S36" i="2"/>
  <c r="S39" i="2"/>
  <c r="S40" i="2"/>
  <c r="S41" i="2"/>
  <c r="S42" i="2"/>
  <c r="S45" i="2"/>
  <c r="S48" i="2"/>
  <c r="S49" i="2"/>
  <c r="S50" i="2"/>
  <c r="S55" i="2"/>
  <c r="S56" i="2"/>
  <c r="N59" i="2"/>
  <c r="S59" i="2"/>
  <c r="S60" i="2"/>
  <c r="S63" i="2"/>
  <c r="S64" i="2"/>
  <c r="S65" i="2"/>
  <c r="S66" i="2"/>
  <c r="S67" i="2"/>
  <c r="S77" i="2"/>
  <c r="H8" i="1"/>
  <c r="N81" i="2"/>
  <c r="S81" i="2"/>
  <c r="S82" i="2"/>
  <c r="S85" i="2"/>
  <c r="S86" i="2"/>
  <c r="S87" i="2"/>
  <c r="S88" i="2"/>
  <c r="H4" i="1"/>
  <c r="N89" i="2"/>
  <c r="S89" i="2"/>
  <c r="S95" i="2"/>
  <c r="S103" i="2"/>
  <c r="S107" i="2"/>
  <c r="S108" i="2"/>
  <c r="H81" i="1"/>
  <c r="N111" i="2"/>
  <c r="S111" i="2"/>
  <c r="S116" i="2"/>
  <c r="H44" i="1"/>
  <c r="N117" i="2"/>
  <c r="S117" i="2"/>
  <c r="S118" i="2"/>
  <c r="S126" i="2"/>
  <c r="S129" i="2"/>
  <c r="S130" i="2"/>
  <c r="S140" i="2"/>
  <c r="N141" i="2"/>
  <c r="S141" i="2"/>
  <c r="N145" i="2"/>
  <c r="S145" i="2"/>
  <c r="H33" i="1"/>
  <c r="N147" i="2"/>
  <c r="S147" i="2"/>
  <c r="H35" i="1"/>
  <c r="N148" i="2"/>
  <c r="S148" i="2"/>
  <c r="N149" i="2"/>
  <c r="S149" i="2"/>
  <c r="S152" i="2"/>
  <c r="S164" i="2"/>
  <c r="S165" i="2"/>
  <c r="S168" i="2"/>
  <c r="S169" i="2"/>
  <c r="S170" i="2"/>
  <c r="S171" i="2"/>
  <c r="H12" i="1"/>
  <c r="N172" i="2"/>
  <c r="S172" i="2"/>
  <c r="S176" i="2"/>
  <c r="N178" i="2"/>
  <c r="S178" i="2"/>
  <c r="H78" i="1"/>
  <c r="N179" i="2"/>
  <c r="S179" i="2"/>
  <c r="H53" i="1"/>
  <c r="N182" i="2"/>
  <c r="S182" i="2"/>
  <c r="H82" i="1"/>
  <c r="N184" i="2"/>
  <c r="S184" i="2"/>
  <c r="S189" i="2"/>
  <c r="S199" i="2"/>
  <c r="S200" i="2"/>
  <c r="H84" i="1"/>
  <c r="N208" i="2"/>
  <c r="S208" i="2"/>
  <c r="S209" i="2"/>
  <c r="S210" i="2"/>
  <c r="S213" i="2"/>
  <c r="S214" i="2"/>
  <c r="S228" i="2"/>
  <c r="S232" i="2"/>
  <c r="S233" i="2"/>
  <c r="N236" i="2"/>
  <c r="S236" i="2"/>
  <c r="N239" i="2"/>
  <c r="S239" i="2"/>
  <c r="S240" i="2"/>
  <c r="S241" i="2"/>
  <c r="S244" i="2"/>
  <c r="N245" i="2"/>
  <c r="S245" i="2"/>
  <c r="S246" i="2"/>
  <c r="S247" i="2"/>
  <c r="S254" i="2"/>
  <c r="H10" i="1"/>
  <c r="N255" i="2"/>
  <c r="S255" i="2"/>
  <c r="H16" i="1"/>
  <c r="N256" i="2"/>
  <c r="S256" i="2"/>
  <c r="S265" i="2"/>
  <c r="S271" i="2"/>
  <c r="S282" i="2"/>
  <c r="S283" i="2"/>
  <c r="N286" i="2"/>
  <c r="S286" i="2"/>
  <c r="S288" i="2"/>
  <c r="S291" i="2"/>
  <c r="S300" i="2"/>
  <c r="S301" i="2"/>
  <c r="S302" i="2"/>
  <c r="S303" i="2"/>
  <c r="S304" i="2"/>
  <c r="N315" i="2"/>
  <c r="S315" i="2"/>
  <c r="S318" i="2"/>
  <c r="S319" i="2"/>
  <c r="H13" i="1"/>
  <c r="N320" i="2"/>
  <c r="S320" i="2"/>
  <c r="S321" i="2"/>
  <c r="S322" i="2"/>
  <c r="S323" i="2"/>
  <c r="S324" i="2"/>
  <c r="S325" i="2"/>
  <c r="S329" i="2"/>
  <c r="S330" i="2"/>
  <c r="H79" i="1"/>
  <c r="N331" i="2"/>
  <c r="S331" i="2"/>
  <c r="N336" i="2"/>
  <c r="S336" i="2"/>
  <c r="S347" i="2"/>
  <c r="N348" i="2"/>
  <c r="S348" i="2"/>
  <c r="S349" i="2"/>
  <c r="S350" i="2"/>
  <c r="S351" i="2"/>
  <c r="S354" i="2"/>
  <c r="S355" i="2"/>
  <c r="S358" i="2"/>
  <c r="S359" i="2"/>
  <c r="N362" i="2"/>
  <c r="S362" i="2"/>
  <c r="H69" i="1"/>
  <c r="N364" i="2"/>
  <c r="S364" i="2"/>
  <c r="S365" i="2"/>
  <c r="N368" i="2"/>
  <c r="S368" i="2"/>
  <c r="H80" i="1"/>
  <c r="N369" i="2"/>
  <c r="S369" i="2"/>
  <c r="S381" i="2"/>
  <c r="S384" i="2"/>
  <c r="N385" i="2"/>
  <c r="S385" i="2"/>
  <c r="S386" i="2"/>
  <c r="S387" i="2"/>
  <c r="S388" i="2"/>
  <c r="S392" i="2"/>
  <c r="N393" i="2"/>
  <c r="S393" i="2"/>
  <c r="H68" i="1"/>
  <c r="N394" i="2"/>
  <c r="S394" i="2"/>
  <c r="N397" i="2"/>
  <c r="S397" i="2"/>
  <c r="J89" i="1"/>
  <c r="C78" i="3"/>
  <c r="T146" i="2"/>
  <c r="T196" i="2"/>
  <c r="T260" i="2"/>
  <c r="T328" i="2"/>
  <c r="T17" i="2"/>
  <c r="T18" i="2"/>
  <c r="T19" i="2"/>
  <c r="T20" i="2"/>
  <c r="T21" i="2"/>
  <c r="T27" i="2"/>
  <c r="T34" i="2"/>
  <c r="T35" i="2"/>
  <c r="T36" i="2"/>
  <c r="T39" i="2"/>
  <c r="T40" i="2"/>
  <c r="T41" i="2"/>
  <c r="T42" i="2"/>
  <c r="T45" i="2"/>
  <c r="T48" i="2"/>
  <c r="T49" i="2"/>
  <c r="T50" i="2"/>
  <c r="T55" i="2"/>
  <c r="T56" i="2"/>
  <c r="T59" i="2"/>
  <c r="T60" i="2"/>
  <c r="T63" i="2"/>
  <c r="T64" i="2"/>
  <c r="T65" i="2"/>
  <c r="T66" i="2"/>
  <c r="T67" i="2"/>
  <c r="T77" i="2"/>
  <c r="T81" i="2"/>
  <c r="T82" i="2"/>
  <c r="T85" i="2"/>
  <c r="T86" i="2"/>
  <c r="T87" i="2"/>
  <c r="T88" i="2"/>
  <c r="T89" i="2"/>
  <c r="T95" i="2"/>
  <c r="T103" i="2"/>
  <c r="T107" i="2"/>
  <c r="T108" i="2"/>
  <c r="T111" i="2"/>
  <c r="T116" i="2"/>
  <c r="T117" i="2"/>
  <c r="T118" i="2"/>
  <c r="T126" i="2"/>
  <c r="T129" i="2"/>
  <c r="T130" i="2"/>
  <c r="T140" i="2"/>
  <c r="T141" i="2"/>
  <c r="T145" i="2"/>
  <c r="T147" i="2"/>
  <c r="T148" i="2"/>
  <c r="T149" i="2"/>
  <c r="T152" i="2"/>
  <c r="T164" i="2"/>
  <c r="T165" i="2"/>
  <c r="T168" i="2"/>
  <c r="T169" i="2"/>
  <c r="T170" i="2"/>
  <c r="T171" i="2"/>
  <c r="T172" i="2"/>
  <c r="T176" i="2"/>
  <c r="T178" i="2"/>
  <c r="T179" i="2"/>
  <c r="T182" i="2"/>
  <c r="T184" i="2"/>
  <c r="T189" i="2"/>
  <c r="T199" i="2"/>
  <c r="T200" i="2"/>
  <c r="T208" i="2"/>
  <c r="T209" i="2"/>
  <c r="T210" i="2"/>
  <c r="T213" i="2"/>
  <c r="T214" i="2"/>
  <c r="T228" i="2"/>
  <c r="T232" i="2"/>
  <c r="T233" i="2"/>
  <c r="T236" i="2"/>
  <c r="T239" i="2"/>
  <c r="T240" i="2"/>
  <c r="T241" i="2"/>
  <c r="T244" i="2"/>
  <c r="T245" i="2"/>
  <c r="T246" i="2"/>
  <c r="T247" i="2"/>
  <c r="T254" i="2"/>
  <c r="T255" i="2"/>
  <c r="T256" i="2"/>
  <c r="T265" i="2"/>
  <c r="T271" i="2"/>
  <c r="T282" i="2"/>
  <c r="T283" i="2"/>
  <c r="T286" i="2"/>
  <c r="T288" i="2"/>
  <c r="T291" i="2"/>
  <c r="T300" i="2"/>
  <c r="T301" i="2"/>
  <c r="T302" i="2"/>
  <c r="T303" i="2"/>
  <c r="T304" i="2"/>
  <c r="T315" i="2"/>
  <c r="T318" i="2"/>
  <c r="T319" i="2"/>
  <c r="T320" i="2"/>
  <c r="T321" i="2"/>
  <c r="T322" i="2"/>
  <c r="T323" i="2"/>
  <c r="T324" i="2"/>
  <c r="T325" i="2"/>
  <c r="T329" i="2"/>
  <c r="T330" i="2"/>
  <c r="T331" i="2"/>
  <c r="T336" i="2"/>
  <c r="T347" i="2"/>
  <c r="T348" i="2"/>
  <c r="T349" i="2"/>
  <c r="T350" i="2"/>
  <c r="T351" i="2"/>
  <c r="T354" i="2"/>
  <c r="T355" i="2"/>
  <c r="T358" i="2"/>
  <c r="T359" i="2"/>
  <c r="T362" i="2"/>
  <c r="T364" i="2"/>
  <c r="T365" i="2"/>
  <c r="T368" i="2"/>
  <c r="T369" i="2"/>
  <c r="T381" i="2"/>
  <c r="T384" i="2"/>
  <c r="T385" i="2"/>
  <c r="T386" i="2"/>
  <c r="T387" i="2"/>
  <c r="T388" i="2"/>
  <c r="T392" i="2"/>
  <c r="T393" i="2"/>
  <c r="T394" i="2"/>
  <c r="T397" i="2"/>
  <c r="K89" i="1"/>
  <c r="D78" i="3"/>
  <c r="L89" i="1"/>
  <c r="E78" i="3"/>
  <c r="G78" i="3"/>
  <c r="I88" i="1"/>
  <c r="B77" i="3"/>
  <c r="J88" i="1"/>
  <c r="C77" i="3"/>
  <c r="K88" i="1"/>
  <c r="D77" i="3"/>
  <c r="L88" i="1"/>
  <c r="E77" i="3"/>
  <c r="G77" i="3"/>
  <c r="I86" i="1"/>
  <c r="I87" i="1"/>
  <c r="B76" i="3"/>
  <c r="J86" i="1"/>
  <c r="J87" i="1"/>
  <c r="C76" i="3"/>
  <c r="K86" i="1"/>
  <c r="K87" i="1"/>
  <c r="D76" i="3"/>
  <c r="L86" i="1"/>
  <c r="L87" i="1"/>
  <c r="E76" i="3"/>
  <c r="G76" i="3"/>
  <c r="I85" i="1"/>
  <c r="B75" i="3"/>
  <c r="J85" i="1"/>
  <c r="C75" i="3"/>
  <c r="K85" i="1"/>
  <c r="D75" i="3"/>
  <c r="L85" i="1"/>
  <c r="E75" i="3"/>
  <c r="G75" i="3"/>
  <c r="I84" i="1"/>
  <c r="B74" i="3"/>
  <c r="J84" i="1"/>
  <c r="C74" i="3"/>
  <c r="K84" i="1"/>
  <c r="D74" i="3"/>
  <c r="L84" i="1"/>
  <c r="E74" i="3"/>
  <c r="G74" i="3"/>
  <c r="I83" i="1"/>
  <c r="B73" i="3"/>
  <c r="J83" i="1"/>
  <c r="C73" i="3"/>
  <c r="K83" i="1"/>
  <c r="D73" i="3"/>
  <c r="L83" i="1"/>
  <c r="E73" i="3"/>
  <c r="G73" i="3"/>
  <c r="I82" i="1"/>
  <c r="B72" i="3"/>
  <c r="J82" i="1"/>
  <c r="C72" i="3"/>
  <c r="K82" i="1"/>
  <c r="D72" i="3"/>
  <c r="L82" i="1"/>
  <c r="E72" i="3"/>
  <c r="G72" i="3"/>
  <c r="I81" i="1"/>
  <c r="B71" i="3"/>
  <c r="J81" i="1"/>
  <c r="C71" i="3"/>
  <c r="K81" i="1"/>
  <c r="D71" i="3"/>
  <c r="L81" i="1"/>
  <c r="E71" i="3"/>
  <c r="G71" i="3"/>
  <c r="I80" i="1"/>
  <c r="B70" i="3"/>
  <c r="J80" i="1"/>
  <c r="C70" i="3"/>
  <c r="K80" i="1"/>
  <c r="D70" i="3"/>
  <c r="L80" i="1"/>
  <c r="E70" i="3"/>
  <c r="G70" i="3"/>
  <c r="I79" i="1"/>
  <c r="B69" i="3"/>
  <c r="J79" i="1"/>
  <c r="C69" i="3"/>
  <c r="K79" i="1"/>
  <c r="D69" i="3"/>
  <c r="L79" i="1"/>
  <c r="E69" i="3"/>
  <c r="G69" i="3"/>
  <c r="I78" i="1"/>
  <c r="B68" i="3"/>
  <c r="J78" i="1"/>
  <c r="C68" i="3"/>
  <c r="K78" i="1"/>
  <c r="D68" i="3"/>
  <c r="L78" i="1"/>
  <c r="E68" i="3"/>
  <c r="G68" i="3"/>
  <c r="I77" i="1"/>
  <c r="B67" i="3"/>
  <c r="J77" i="1"/>
  <c r="C67" i="3"/>
  <c r="K77" i="1"/>
  <c r="D67" i="3"/>
  <c r="L77" i="1"/>
  <c r="E67" i="3"/>
  <c r="G67" i="3"/>
  <c r="I76" i="1"/>
  <c r="B66" i="3"/>
  <c r="J76" i="1"/>
  <c r="C66" i="3"/>
  <c r="K76" i="1"/>
  <c r="D66" i="3"/>
  <c r="L76" i="1"/>
  <c r="E66" i="3"/>
  <c r="G66" i="3"/>
  <c r="I75" i="1"/>
  <c r="B65" i="3"/>
  <c r="J75" i="1"/>
  <c r="C65" i="3"/>
  <c r="K75" i="1"/>
  <c r="D65" i="3"/>
  <c r="L75" i="1"/>
  <c r="E65" i="3"/>
  <c r="G65" i="3"/>
  <c r="I74" i="1"/>
  <c r="B64" i="3"/>
  <c r="J74" i="1"/>
  <c r="C64" i="3"/>
  <c r="K74" i="1"/>
  <c r="D64" i="3"/>
  <c r="L74" i="1"/>
  <c r="E64" i="3"/>
  <c r="G64" i="3"/>
  <c r="I73" i="1"/>
  <c r="B63" i="3"/>
  <c r="J73" i="1"/>
  <c r="C63" i="3"/>
  <c r="K73" i="1"/>
  <c r="D63" i="3"/>
  <c r="L73" i="1"/>
  <c r="E63" i="3"/>
  <c r="G63" i="3"/>
  <c r="I72" i="1"/>
  <c r="B62" i="3"/>
  <c r="J72" i="1"/>
  <c r="C62" i="3"/>
  <c r="K72" i="1"/>
  <c r="D62" i="3"/>
  <c r="L72" i="1"/>
  <c r="E62" i="3"/>
  <c r="G62" i="3"/>
  <c r="I71" i="1"/>
  <c r="B61" i="3"/>
  <c r="J71" i="1"/>
  <c r="C61" i="3"/>
  <c r="K71" i="1"/>
  <c r="D61" i="3"/>
  <c r="L71" i="1"/>
  <c r="E61" i="3"/>
  <c r="G61" i="3"/>
  <c r="I68" i="1"/>
  <c r="I69" i="1"/>
  <c r="I70" i="1"/>
  <c r="B60" i="3"/>
  <c r="J68" i="1"/>
  <c r="J69" i="1"/>
  <c r="J70" i="1"/>
  <c r="C60" i="3"/>
  <c r="K68" i="1"/>
  <c r="K69" i="1"/>
  <c r="K70" i="1"/>
  <c r="D60" i="3"/>
  <c r="L68" i="1"/>
  <c r="L69" i="1"/>
  <c r="L70" i="1"/>
  <c r="E60" i="3"/>
  <c r="G60" i="3"/>
  <c r="I67" i="1"/>
  <c r="B59" i="3"/>
  <c r="J67" i="1"/>
  <c r="C59" i="3"/>
  <c r="K67" i="1"/>
  <c r="D59" i="3"/>
  <c r="L67" i="1"/>
  <c r="E59" i="3"/>
  <c r="G59" i="3"/>
  <c r="I66" i="1"/>
  <c r="B58" i="3"/>
  <c r="J66" i="1"/>
  <c r="C58" i="3"/>
  <c r="K66" i="1"/>
  <c r="D58" i="3"/>
  <c r="L66" i="1"/>
  <c r="E58" i="3"/>
  <c r="G58" i="3"/>
  <c r="I65" i="1"/>
  <c r="B57" i="3"/>
  <c r="J65" i="1"/>
  <c r="C57" i="3"/>
  <c r="K65" i="1"/>
  <c r="D57" i="3"/>
  <c r="L65" i="1"/>
  <c r="E57" i="3"/>
  <c r="G57" i="3"/>
  <c r="I64" i="1"/>
  <c r="B56" i="3"/>
  <c r="J64" i="1"/>
  <c r="C56" i="3"/>
  <c r="K64" i="1"/>
  <c r="D56" i="3"/>
  <c r="L64" i="1"/>
  <c r="E56" i="3"/>
  <c r="G56" i="3"/>
  <c r="I62" i="1"/>
  <c r="B54" i="3"/>
  <c r="J62" i="1"/>
  <c r="C54" i="3"/>
  <c r="K62" i="1"/>
  <c r="D54" i="3"/>
  <c r="L62" i="1"/>
  <c r="E54" i="3"/>
  <c r="G54" i="3"/>
  <c r="I61" i="1"/>
  <c r="B53" i="3"/>
  <c r="J61" i="1"/>
  <c r="C53" i="3"/>
  <c r="K61" i="1"/>
  <c r="D53" i="3"/>
  <c r="L61" i="1"/>
  <c r="E53" i="3"/>
  <c r="G53" i="3"/>
  <c r="I60" i="1"/>
  <c r="B52" i="3"/>
  <c r="J60" i="1"/>
  <c r="C52" i="3"/>
  <c r="K60" i="1"/>
  <c r="D52" i="3"/>
  <c r="L60" i="1"/>
  <c r="E52" i="3"/>
  <c r="G52" i="3"/>
  <c r="I58" i="1"/>
  <c r="B50" i="3"/>
  <c r="J58" i="1"/>
  <c r="C50" i="3"/>
  <c r="K58" i="1"/>
  <c r="D50" i="3"/>
  <c r="L58" i="1"/>
  <c r="E50" i="3"/>
  <c r="G50" i="3"/>
  <c r="I57" i="1"/>
  <c r="B49" i="3"/>
  <c r="J57" i="1"/>
  <c r="C49" i="3"/>
  <c r="K57" i="1"/>
  <c r="D49" i="3"/>
  <c r="L57" i="1"/>
  <c r="E49" i="3"/>
  <c r="G49" i="3"/>
  <c r="I56" i="1"/>
  <c r="B48" i="3"/>
  <c r="J56" i="1"/>
  <c r="C48" i="3"/>
  <c r="K56" i="1"/>
  <c r="D48" i="3"/>
  <c r="L56" i="1"/>
  <c r="E48" i="3"/>
  <c r="G48" i="3"/>
  <c r="I55" i="1"/>
  <c r="B47" i="3"/>
  <c r="J55" i="1"/>
  <c r="C47" i="3"/>
  <c r="K55" i="1"/>
  <c r="D47" i="3"/>
  <c r="L55" i="1"/>
  <c r="E47" i="3"/>
  <c r="G47" i="3"/>
  <c r="I54" i="1"/>
  <c r="B46" i="3"/>
  <c r="J54" i="1"/>
  <c r="C46" i="3"/>
  <c r="K54" i="1"/>
  <c r="D46" i="3"/>
  <c r="L54" i="1"/>
  <c r="E46" i="3"/>
  <c r="G46" i="3"/>
  <c r="I53" i="1"/>
  <c r="B45" i="3"/>
  <c r="J53" i="1"/>
  <c r="C45" i="3"/>
  <c r="K53" i="1"/>
  <c r="D45" i="3"/>
  <c r="L53" i="1"/>
  <c r="E45" i="3"/>
  <c r="G45" i="3"/>
  <c r="I52" i="1"/>
  <c r="B44" i="3"/>
  <c r="J52" i="1"/>
  <c r="C44" i="3"/>
  <c r="K52" i="1"/>
  <c r="D44" i="3"/>
  <c r="L52" i="1"/>
  <c r="E44" i="3"/>
  <c r="G44" i="3"/>
  <c r="I51" i="1"/>
  <c r="B43" i="3"/>
  <c r="J51" i="1"/>
  <c r="C43" i="3"/>
  <c r="K51" i="1"/>
  <c r="D43" i="3"/>
  <c r="L51" i="1"/>
  <c r="E43" i="3"/>
  <c r="G43" i="3"/>
  <c r="I49" i="1"/>
  <c r="B41" i="3"/>
  <c r="J49" i="1"/>
  <c r="C41" i="3"/>
  <c r="K49" i="1"/>
  <c r="D41" i="3"/>
  <c r="L49" i="1"/>
  <c r="E41" i="3"/>
  <c r="G41" i="3"/>
  <c r="I48" i="1"/>
  <c r="B40" i="3"/>
  <c r="J48" i="1"/>
  <c r="C40" i="3"/>
  <c r="K48" i="1"/>
  <c r="D40" i="3"/>
  <c r="L48" i="1"/>
  <c r="E40" i="3"/>
  <c r="G40" i="3"/>
  <c r="I47" i="1"/>
  <c r="B39" i="3"/>
  <c r="J47" i="1"/>
  <c r="C39" i="3"/>
  <c r="K47" i="1"/>
  <c r="D39" i="3"/>
  <c r="L47" i="1"/>
  <c r="E39" i="3"/>
  <c r="G39" i="3"/>
  <c r="I46" i="1"/>
  <c r="B38" i="3"/>
  <c r="J46" i="1"/>
  <c r="C38" i="3"/>
  <c r="K46" i="1"/>
  <c r="D38" i="3"/>
  <c r="L46" i="1"/>
  <c r="E38" i="3"/>
  <c r="G38" i="3"/>
  <c r="I45" i="1"/>
  <c r="B37" i="3"/>
  <c r="J45" i="1"/>
  <c r="C37" i="3"/>
  <c r="K45" i="1"/>
  <c r="D37" i="3"/>
  <c r="L45" i="1"/>
  <c r="E37" i="3"/>
  <c r="G37" i="3"/>
  <c r="I44" i="1"/>
  <c r="B36" i="3"/>
  <c r="J44" i="1"/>
  <c r="C36" i="3"/>
  <c r="K44" i="1"/>
  <c r="D36" i="3"/>
  <c r="L44" i="1"/>
  <c r="E36" i="3"/>
  <c r="G36" i="3"/>
  <c r="I42" i="1"/>
  <c r="I43" i="1"/>
  <c r="B35" i="3"/>
  <c r="J42" i="1"/>
  <c r="J43" i="1"/>
  <c r="C35" i="3"/>
  <c r="K42" i="1"/>
  <c r="K43" i="1"/>
  <c r="D35" i="3"/>
  <c r="L42" i="1"/>
  <c r="L43" i="1"/>
  <c r="E35" i="3"/>
  <c r="G35" i="3"/>
  <c r="I41" i="1"/>
  <c r="B34" i="3"/>
  <c r="J41" i="1"/>
  <c r="C34" i="3"/>
  <c r="K41" i="1"/>
  <c r="D34" i="3"/>
  <c r="L41" i="1"/>
  <c r="E34" i="3"/>
  <c r="G34" i="3"/>
  <c r="I39" i="1"/>
  <c r="B32" i="3"/>
  <c r="J39" i="1"/>
  <c r="C32" i="3"/>
  <c r="K39" i="1"/>
  <c r="D32" i="3"/>
  <c r="L39" i="1"/>
  <c r="E32" i="3"/>
  <c r="G32" i="3"/>
  <c r="I38" i="1"/>
  <c r="B31" i="3"/>
  <c r="J38" i="1"/>
  <c r="C31" i="3"/>
  <c r="K38" i="1"/>
  <c r="D31" i="3"/>
  <c r="L38" i="1"/>
  <c r="E31" i="3"/>
  <c r="G31" i="3"/>
  <c r="I37" i="1"/>
  <c r="B30" i="3"/>
  <c r="J37" i="1"/>
  <c r="C30" i="3"/>
  <c r="K37" i="1"/>
  <c r="D30" i="3"/>
  <c r="L37" i="1"/>
  <c r="E30" i="3"/>
  <c r="G30" i="3"/>
  <c r="I36" i="1"/>
  <c r="B29" i="3"/>
  <c r="J36" i="1"/>
  <c r="C29" i="3"/>
  <c r="K36" i="1"/>
  <c r="D29" i="3"/>
  <c r="L36" i="1"/>
  <c r="E29" i="3"/>
  <c r="G29" i="3"/>
  <c r="I35" i="1"/>
  <c r="B28" i="3"/>
  <c r="J35" i="1"/>
  <c r="C28" i="3"/>
  <c r="K35" i="1"/>
  <c r="D28" i="3"/>
  <c r="L35" i="1"/>
  <c r="E28" i="3"/>
  <c r="G28" i="3"/>
  <c r="I34" i="1"/>
  <c r="B27" i="3"/>
  <c r="J34" i="1"/>
  <c r="C27" i="3"/>
  <c r="K34" i="1"/>
  <c r="D27" i="3"/>
  <c r="L34" i="1"/>
  <c r="E27" i="3"/>
  <c r="G27" i="3"/>
  <c r="I33" i="1"/>
  <c r="B26" i="3"/>
  <c r="J33" i="1"/>
  <c r="C26" i="3"/>
  <c r="K33" i="1"/>
  <c r="D26" i="3"/>
  <c r="L33" i="1"/>
  <c r="E26" i="3"/>
  <c r="G26" i="3"/>
  <c r="I32" i="1"/>
  <c r="B25" i="3"/>
  <c r="J32" i="1"/>
  <c r="C25" i="3"/>
  <c r="K32" i="1"/>
  <c r="D25" i="3"/>
  <c r="L32" i="1"/>
  <c r="E25" i="3"/>
  <c r="G25" i="3"/>
  <c r="I30" i="1"/>
  <c r="I31" i="1"/>
  <c r="B24" i="3"/>
  <c r="J30" i="1"/>
  <c r="J31" i="1"/>
  <c r="C24" i="3"/>
  <c r="K30" i="1"/>
  <c r="K31" i="1"/>
  <c r="D24" i="3"/>
  <c r="L30" i="1"/>
  <c r="L31" i="1"/>
  <c r="E24" i="3"/>
  <c r="G24" i="3"/>
  <c r="I29" i="1"/>
  <c r="B23" i="3"/>
  <c r="J29" i="1"/>
  <c r="C23" i="3"/>
  <c r="K29" i="1"/>
  <c r="D23" i="3"/>
  <c r="L29" i="1"/>
  <c r="E23" i="3"/>
  <c r="G23" i="3"/>
  <c r="I28" i="1"/>
  <c r="B22" i="3"/>
  <c r="J28" i="1"/>
  <c r="C22" i="3"/>
  <c r="K28" i="1"/>
  <c r="D22" i="3"/>
  <c r="L28" i="1"/>
  <c r="E22" i="3"/>
  <c r="G22" i="3"/>
  <c r="I27" i="1"/>
  <c r="B21" i="3"/>
  <c r="J27" i="1"/>
  <c r="C21" i="3"/>
  <c r="K27" i="1"/>
  <c r="D21" i="3"/>
  <c r="L27" i="1"/>
  <c r="E21" i="3"/>
  <c r="G21" i="3"/>
  <c r="I26" i="1"/>
  <c r="B20" i="3"/>
  <c r="J26" i="1"/>
  <c r="C20" i="3"/>
  <c r="K26" i="1"/>
  <c r="D20" i="3"/>
  <c r="L26" i="1"/>
  <c r="E20" i="3"/>
  <c r="G20" i="3"/>
  <c r="I25" i="1"/>
  <c r="B19" i="3"/>
  <c r="J25" i="1"/>
  <c r="C19" i="3"/>
  <c r="K25" i="1"/>
  <c r="D19" i="3"/>
  <c r="L25" i="1"/>
  <c r="E19" i="3"/>
  <c r="G19" i="3"/>
  <c r="I24" i="1"/>
  <c r="B18" i="3"/>
  <c r="J24" i="1"/>
  <c r="C18" i="3"/>
  <c r="K24" i="1"/>
  <c r="D18" i="3"/>
  <c r="L24" i="1"/>
  <c r="E18" i="3"/>
  <c r="G18" i="3"/>
  <c r="I23" i="1"/>
  <c r="B17" i="3"/>
  <c r="J23" i="1"/>
  <c r="C17" i="3"/>
  <c r="K23" i="1"/>
  <c r="D17" i="3"/>
  <c r="L23" i="1"/>
  <c r="E17" i="3"/>
  <c r="G17" i="3"/>
  <c r="I22" i="1"/>
  <c r="B16" i="3"/>
  <c r="J22" i="1"/>
  <c r="C16" i="3"/>
  <c r="K22" i="1"/>
  <c r="D16" i="3"/>
  <c r="L22" i="1"/>
  <c r="E16" i="3"/>
  <c r="G16" i="3"/>
  <c r="I21" i="1"/>
  <c r="B15" i="3"/>
  <c r="J21" i="1"/>
  <c r="C15" i="3"/>
  <c r="K21" i="1"/>
  <c r="D15" i="3"/>
  <c r="L21" i="1"/>
  <c r="E15" i="3"/>
  <c r="G15" i="3"/>
  <c r="I20" i="1"/>
  <c r="B14" i="3"/>
  <c r="J20" i="1"/>
  <c r="C14" i="3"/>
  <c r="K20" i="1"/>
  <c r="D14" i="3"/>
  <c r="L20" i="1"/>
  <c r="E14" i="3"/>
  <c r="G14" i="3"/>
  <c r="I19" i="1"/>
  <c r="B13" i="3"/>
  <c r="J19" i="1"/>
  <c r="C13" i="3"/>
  <c r="K19" i="1"/>
  <c r="D13" i="3"/>
  <c r="L19" i="1"/>
  <c r="E13" i="3"/>
  <c r="G13" i="3"/>
  <c r="I18" i="1"/>
  <c r="B12" i="3"/>
  <c r="J18" i="1"/>
  <c r="C12" i="3"/>
  <c r="K18" i="1"/>
  <c r="D12" i="3"/>
  <c r="L18" i="1"/>
  <c r="E12" i="3"/>
  <c r="G12" i="3"/>
  <c r="I17" i="1"/>
  <c r="B11" i="3"/>
  <c r="J17" i="1"/>
  <c r="C11" i="3"/>
  <c r="K17" i="1"/>
  <c r="D11" i="3"/>
  <c r="L17" i="1"/>
  <c r="E11" i="3"/>
  <c r="G11" i="3"/>
  <c r="I13" i="1"/>
  <c r="I14" i="1"/>
  <c r="I15" i="1"/>
  <c r="I16" i="1"/>
  <c r="B10" i="3"/>
  <c r="J13" i="1"/>
  <c r="J14" i="1"/>
  <c r="J15" i="1"/>
  <c r="J16" i="1"/>
  <c r="C10" i="3"/>
  <c r="K13" i="1"/>
  <c r="K14" i="1"/>
  <c r="K15" i="1"/>
  <c r="K16" i="1"/>
  <c r="D10" i="3"/>
  <c r="L13" i="1"/>
  <c r="L14" i="1"/>
  <c r="L15" i="1"/>
  <c r="L16" i="1"/>
  <c r="E10" i="3"/>
  <c r="G10" i="3"/>
  <c r="I12" i="1"/>
  <c r="B9" i="3"/>
  <c r="J12" i="1"/>
  <c r="C9" i="3"/>
  <c r="K12" i="1"/>
  <c r="D9" i="3"/>
  <c r="L12" i="1"/>
  <c r="E9" i="3"/>
  <c r="G9" i="3"/>
  <c r="I11" i="1"/>
  <c r="B8" i="3"/>
  <c r="J11" i="1"/>
  <c r="C8" i="3"/>
  <c r="K11" i="1"/>
  <c r="D8" i="3"/>
  <c r="L11" i="1"/>
  <c r="E8" i="3"/>
  <c r="G8" i="3"/>
  <c r="I7" i="1"/>
  <c r="I8" i="1"/>
  <c r="I9" i="1"/>
  <c r="I4" i="1"/>
  <c r="I5" i="1"/>
  <c r="I6" i="1"/>
  <c r="I10" i="1"/>
  <c r="B7" i="3"/>
  <c r="J7" i="1"/>
  <c r="J8" i="1"/>
  <c r="J9" i="1"/>
  <c r="J4" i="1"/>
  <c r="J5" i="1"/>
  <c r="J6" i="1"/>
  <c r="J10" i="1"/>
  <c r="C7" i="3"/>
  <c r="K7" i="1"/>
  <c r="K8" i="1"/>
  <c r="K9" i="1"/>
  <c r="K4" i="1"/>
  <c r="K5" i="1"/>
  <c r="K6" i="1"/>
  <c r="K10" i="1"/>
  <c r="D7" i="3"/>
  <c r="L7" i="1"/>
  <c r="L8" i="1"/>
  <c r="L9" i="1"/>
  <c r="L4" i="1"/>
  <c r="L5" i="1"/>
  <c r="L6" i="1"/>
  <c r="L10" i="1"/>
  <c r="E7" i="3"/>
  <c r="G7" i="3"/>
  <c r="B6" i="3"/>
  <c r="C6" i="3"/>
  <c r="D6" i="3"/>
  <c r="E6" i="3"/>
  <c r="G6" i="3"/>
  <c r="B5" i="3"/>
  <c r="C5" i="3"/>
  <c r="D5" i="3"/>
  <c r="E5" i="3"/>
  <c r="G5" i="3"/>
  <c r="B4" i="3"/>
  <c r="C4" i="3"/>
  <c r="D4" i="3"/>
  <c r="E4" i="3"/>
  <c r="G4" i="3"/>
  <c r="G73" i="1"/>
  <c r="M49" i="2"/>
  <c r="AA48" i="2"/>
  <c r="AD48" i="2"/>
  <c r="AC48" i="2"/>
  <c r="AB48" i="2"/>
  <c r="V48" i="2"/>
  <c r="Y48" i="2"/>
  <c r="X48" i="2"/>
  <c r="W48" i="2"/>
  <c r="G39" i="1"/>
  <c r="M48" i="2"/>
  <c r="D48" i="2"/>
  <c r="C48" i="2"/>
  <c r="B48" i="2"/>
  <c r="AA49" i="2"/>
  <c r="AD49" i="2"/>
  <c r="AC49" i="2"/>
  <c r="AB49" i="2"/>
  <c r="V49" i="2"/>
  <c r="Y49" i="2"/>
  <c r="X49" i="2"/>
  <c r="W49" i="2"/>
  <c r="D49" i="2"/>
  <c r="C49" i="2"/>
  <c r="B49" i="2"/>
  <c r="G30" i="1"/>
  <c r="V141" i="2"/>
  <c r="W141" i="2"/>
  <c r="G46" i="1"/>
  <c r="M50" i="2"/>
  <c r="K8" i="5"/>
  <c r="K7" i="5"/>
  <c r="K6" i="5"/>
  <c r="K5" i="5"/>
  <c r="K4" i="5"/>
  <c r="K3" i="5"/>
  <c r="D24" i="2"/>
  <c r="D23" i="2"/>
  <c r="D22" i="2"/>
  <c r="D21" i="2"/>
  <c r="D20" i="2"/>
  <c r="D19" i="2"/>
  <c r="D18" i="2"/>
  <c r="D17" i="2"/>
  <c r="D27" i="2"/>
  <c r="D50" i="2"/>
  <c r="D45" i="2"/>
  <c r="D42" i="2"/>
  <c r="D41" i="2"/>
  <c r="D40" i="2"/>
  <c r="D39" i="2"/>
  <c r="D36" i="2"/>
  <c r="D35" i="2"/>
  <c r="D34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AA22" i="2"/>
  <c r="AD22" i="2"/>
  <c r="AC22" i="2"/>
  <c r="AB22" i="2"/>
  <c r="V22" i="2"/>
  <c r="Y22" i="2"/>
  <c r="X22" i="2"/>
  <c r="W22" i="2"/>
  <c r="C22" i="2"/>
  <c r="AA21" i="2"/>
  <c r="AD21" i="2"/>
  <c r="AC21" i="2"/>
  <c r="AB21" i="2"/>
  <c r="V21" i="2"/>
  <c r="Y21" i="2"/>
  <c r="X21" i="2"/>
  <c r="W21" i="2"/>
  <c r="H52" i="1"/>
  <c r="N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P19" i="2"/>
  <c r="O19" i="2"/>
  <c r="C19" i="2"/>
  <c r="B19" i="2"/>
  <c r="AA18" i="2"/>
  <c r="AD18" i="2"/>
  <c r="AC18" i="2"/>
  <c r="AB18" i="2"/>
  <c r="V18" i="2"/>
  <c r="Y18" i="2"/>
  <c r="X18" i="2"/>
  <c r="W18" i="2"/>
  <c r="P18" i="2"/>
  <c r="O18" i="2"/>
  <c r="C18" i="2"/>
  <c r="B18" i="2"/>
  <c r="AA17" i="2"/>
  <c r="AD17" i="2"/>
  <c r="AC17" i="2"/>
  <c r="AB17" i="2"/>
  <c r="V17" i="2"/>
  <c r="Y17" i="2"/>
  <c r="X17" i="2"/>
  <c r="W17" i="2"/>
  <c r="H19" i="1"/>
  <c r="N17" i="2"/>
  <c r="P17" i="2"/>
  <c r="O17" i="2"/>
  <c r="C17" i="2"/>
  <c r="B17" i="2"/>
  <c r="O27" i="2"/>
  <c r="H88" i="1"/>
  <c r="N27" i="2"/>
  <c r="P27" i="2"/>
  <c r="AA27" i="2"/>
  <c r="AD27" i="2"/>
  <c r="AC27" i="2"/>
  <c r="AB27" i="2"/>
  <c r="V27" i="2"/>
  <c r="Y27" i="2"/>
  <c r="X27" i="2"/>
  <c r="W27" i="2"/>
  <c r="C27" i="2"/>
  <c r="B27" i="2"/>
  <c r="D301" i="2"/>
  <c r="G72" i="1"/>
  <c r="M304" i="2"/>
  <c r="G22" i="1"/>
  <c r="M301" i="2"/>
  <c r="G75" i="1"/>
  <c r="M300" i="2"/>
  <c r="AA300" i="2"/>
  <c r="AD300" i="2"/>
  <c r="AC300" i="2"/>
  <c r="AB300" i="2"/>
  <c r="V300" i="2"/>
  <c r="Y300" i="2"/>
  <c r="X300" i="2"/>
  <c r="W300" i="2"/>
  <c r="D300" i="2"/>
  <c r="C300" i="2"/>
  <c r="B300" i="2"/>
  <c r="AA302" i="2"/>
  <c r="AD302" i="2"/>
  <c r="AC302" i="2"/>
  <c r="AB302" i="2"/>
  <c r="V302" i="2"/>
  <c r="Y302" i="2"/>
  <c r="X302" i="2"/>
  <c r="W302" i="2"/>
  <c r="D302" i="2"/>
  <c r="C302" i="2"/>
  <c r="B302" i="2"/>
  <c r="AA301" i="2"/>
  <c r="AD301" i="2"/>
  <c r="AC301" i="2"/>
  <c r="AB301" i="2"/>
  <c r="V301" i="2"/>
  <c r="Y301" i="2"/>
  <c r="X301" i="2"/>
  <c r="W301" i="2"/>
  <c r="C301" i="2"/>
  <c r="B301" i="2"/>
  <c r="AA303" i="2"/>
  <c r="AD303" i="2"/>
  <c r="AC303" i="2"/>
  <c r="AB303" i="2"/>
  <c r="V303" i="2"/>
  <c r="Y303" i="2"/>
  <c r="X303" i="2"/>
  <c r="W303" i="2"/>
  <c r="D303" i="2"/>
  <c r="C303" i="2"/>
  <c r="B303" i="2"/>
  <c r="AA304" i="2"/>
  <c r="AD304" i="2"/>
  <c r="AC304" i="2"/>
  <c r="AB304" i="2"/>
  <c r="V304" i="2"/>
  <c r="Y304" i="2"/>
  <c r="X304" i="2"/>
  <c r="W304" i="2"/>
  <c r="D304" i="2"/>
  <c r="C304" i="2"/>
  <c r="B304" i="2"/>
  <c r="G85" i="1"/>
  <c r="M291" i="2"/>
  <c r="AA291" i="2"/>
  <c r="AD291" i="2"/>
  <c r="AC291" i="2"/>
  <c r="AB291" i="2"/>
  <c r="V291" i="2"/>
  <c r="Y291" i="2"/>
  <c r="X291" i="2"/>
  <c r="W291" i="2"/>
  <c r="D291" i="2"/>
  <c r="C291" i="2"/>
  <c r="B291" i="2"/>
  <c r="G27" i="1"/>
  <c r="M288" i="2"/>
  <c r="AA287" i="2"/>
  <c r="AD287" i="2"/>
  <c r="AC287" i="2"/>
  <c r="AB287" i="2"/>
  <c r="V287" i="2"/>
  <c r="Y287" i="2"/>
  <c r="X287" i="2"/>
  <c r="W287" i="2"/>
  <c r="O287" i="2"/>
  <c r="P287" i="2"/>
  <c r="D287" i="2"/>
  <c r="C287" i="2"/>
  <c r="B287" i="2"/>
  <c r="AA286" i="2"/>
  <c r="AD286" i="2"/>
  <c r="AC286" i="2"/>
  <c r="AB286" i="2"/>
  <c r="V286" i="2"/>
  <c r="Y286" i="2"/>
  <c r="X286" i="2"/>
  <c r="O286" i="2"/>
  <c r="P286" i="2"/>
  <c r="W286" i="2"/>
  <c r="D286" i="2"/>
  <c r="C286" i="2"/>
  <c r="B286" i="2"/>
  <c r="AA288" i="2"/>
  <c r="AD288" i="2"/>
  <c r="AC288" i="2"/>
  <c r="AB288" i="2"/>
  <c r="V288" i="2"/>
  <c r="Y288" i="2"/>
  <c r="X288" i="2"/>
  <c r="W288" i="2"/>
  <c r="D288" i="2"/>
  <c r="C288" i="2"/>
  <c r="B288" i="2"/>
  <c r="AA283" i="2"/>
  <c r="AD283" i="2"/>
  <c r="AC283" i="2"/>
  <c r="AB283" i="2"/>
  <c r="V283" i="2"/>
  <c r="Y283" i="2"/>
  <c r="X283" i="2"/>
  <c r="W283" i="2"/>
  <c r="H64" i="1"/>
  <c r="N283" i="2"/>
  <c r="O283" i="2"/>
  <c r="P283" i="2"/>
  <c r="D283" i="2"/>
  <c r="C283" i="2"/>
  <c r="B283" i="2"/>
  <c r="G24" i="1"/>
  <c r="AA282" i="2"/>
  <c r="AD282" i="2"/>
  <c r="AC282" i="2"/>
  <c r="AB282" i="2"/>
  <c r="V282" i="2"/>
  <c r="Y282" i="2"/>
  <c r="X282" i="2"/>
  <c r="W282" i="2"/>
  <c r="M282" i="2"/>
  <c r="D282" i="2"/>
  <c r="C282" i="2"/>
  <c r="B282" i="2"/>
  <c r="AA219" i="2"/>
  <c r="AD219" i="2"/>
  <c r="AC219" i="2"/>
  <c r="AB219" i="2"/>
  <c r="V219" i="2"/>
  <c r="Y219" i="2"/>
  <c r="X219" i="2"/>
  <c r="W219" i="2"/>
  <c r="D219" i="2"/>
  <c r="C219" i="2"/>
  <c r="AA201" i="2"/>
  <c r="AD201" i="2"/>
  <c r="AC201" i="2"/>
  <c r="AB201" i="2"/>
  <c r="V201" i="2"/>
  <c r="Y201" i="2"/>
  <c r="X201" i="2"/>
  <c r="W201" i="2"/>
  <c r="D201" i="2"/>
  <c r="C201" i="2"/>
  <c r="B349" i="2"/>
  <c r="C349" i="2"/>
  <c r="D349" i="2"/>
  <c r="H58" i="1"/>
  <c r="N349" i="2"/>
  <c r="O349" i="2"/>
  <c r="P349" i="2"/>
  <c r="V349" i="2"/>
  <c r="W349" i="2"/>
  <c r="X349" i="2"/>
  <c r="Y349" i="2"/>
  <c r="AA349" i="2"/>
  <c r="AB349" i="2"/>
  <c r="AC349" i="2"/>
  <c r="AD349" i="2"/>
  <c r="D123" i="2"/>
  <c r="D122" i="2"/>
  <c r="D121" i="2"/>
  <c r="D106" i="2"/>
  <c r="D60" i="2"/>
  <c r="O182" i="2"/>
  <c r="P182" i="2"/>
  <c r="O369" i="2"/>
  <c r="P369" i="2"/>
  <c r="D400" i="2"/>
  <c r="D399" i="2"/>
  <c r="D398" i="2"/>
  <c r="D397" i="2"/>
  <c r="D394" i="2"/>
  <c r="D393" i="2"/>
  <c r="D392" i="2"/>
  <c r="D391" i="2"/>
  <c r="D388" i="2"/>
  <c r="D387" i="2"/>
  <c r="D386" i="2"/>
  <c r="D385" i="2"/>
  <c r="D384" i="2"/>
  <c r="D381" i="2"/>
  <c r="D191" i="2"/>
  <c r="D190" i="2"/>
  <c r="D189" i="2"/>
  <c r="D184" i="2"/>
  <c r="D183" i="2"/>
  <c r="D182" i="2"/>
  <c r="D179" i="2"/>
  <c r="D178" i="2"/>
  <c r="D177" i="2"/>
  <c r="D176" i="2"/>
  <c r="D175" i="2"/>
  <c r="D172" i="2"/>
  <c r="D171" i="2"/>
  <c r="D170" i="2"/>
  <c r="D169" i="2"/>
  <c r="D168" i="2"/>
  <c r="D165" i="2"/>
  <c r="D164" i="2"/>
  <c r="D163" i="2"/>
  <c r="D340" i="2"/>
  <c r="D339" i="2"/>
  <c r="D338" i="2"/>
  <c r="D337" i="2"/>
  <c r="D336" i="2"/>
  <c r="D331" i="2"/>
  <c r="D330" i="2"/>
  <c r="D329" i="2"/>
  <c r="D328" i="2"/>
  <c r="D325" i="2"/>
  <c r="D324" i="2"/>
  <c r="D323" i="2"/>
  <c r="D322" i="2"/>
  <c r="D321" i="2"/>
  <c r="D320" i="2"/>
  <c r="D319" i="2"/>
  <c r="D315" i="2"/>
  <c r="D318" i="2"/>
  <c r="D135" i="2"/>
  <c r="D130" i="2"/>
  <c r="D129" i="2"/>
  <c r="D126" i="2"/>
  <c r="D118" i="2"/>
  <c r="D117" i="2"/>
  <c r="D116" i="2"/>
  <c r="D115" i="2"/>
  <c r="D112" i="2"/>
  <c r="D111" i="2"/>
  <c r="D108" i="2"/>
  <c r="D107" i="2"/>
  <c r="D103" i="2"/>
  <c r="D275" i="2"/>
  <c r="D274" i="2"/>
  <c r="D271" i="2"/>
  <c r="D268" i="2"/>
  <c r="D265" i="2"/>
  <c r="D260" i="2"/>
  <c r="D257" i="2"/>
  <c r="D256" i="2"/>
  <c r="D255" i="2"/>
  <c r="D254" i="2"/>
  <c r="D249" i="2"/>
  <c r="D248" i="2"/>
  <c r="D247" i="2"/>
  <c r="D246" i="2"/>
  <c r="D245" i="2"/>
  <c r="D244" i="2"/>
  <c r="D241" i="2"/>
  <c r="D239" i="2"/>
  <c r="D240" i="2"/>
  <c r="D236" i="2"/>
  <c r="D233" i="2"/>
  <c r="D232" i="2"/>
  <c r="D229" i="2"/>
  <c r="D228" i="2"/>
  <c r="D223" i="2"/>
  <c r="D220" i="2"/>
  <c r="D210" i="2"/>
  <c r="D214" i="2"/>
  <c r="D209" i="2"/>
  <c r="D213" i="2"/>
  <c r="D208" i="2"/>
  <c r="D196" i="2"/>
  <c r="D200" i="2"/>
  <c r="D199" i="2"/>
  <c r="D372" i="2"/>
  <c r="D371" i="2"/>
  <c r="D370" i="2"/>
  <c r="D369" i="2"/>
  <c r="D368" i="2"/>
  <c r="D365" i="2"/>
  <c r="D364" i="2"/>
  <c r="D363" i="2"/>
  <c r="D362" i="2"/>
  <c r="D359" i="2"/>
  <c r="D358" i="2"/>
  <c r="D355" i="2"/>
  <c r="D354" i="2"/>
  <c r="D351" i="2"/>
  <c r="D350" i="2"/>
  <c r="D348" i="2"/>
  <c r="D347" i="2"/>
  <c r="D158" i="2"/>
  <c r="D152" i="2"/>
  <c r="D157" i="2"/>
  <c r="D149" i="2"/>
  <c r="D148" i="2"/>
  <c r="D147" i="2"/>
  <c r="D146" i="2"/>
  <c r="D145" i="2"/>
  <c r="D140" i="2"/>
  <c r="D142" i="2"/>
  <c r="D141" i="2"/>
  <c r="D95" i="2"/>
  <c r="D90" i="2"/>
  <c r="D89" i="2"/>
  <c r="D88" i="2"/>
  <c r="D87" i="2"/>
  <c r="D86" i="2"/>
  <c r="D85" i="2"/>
  <c r="D82" i="2"/>
  <c r="D81" i="2"/>
  <c r="D80" i="2"/>
  <c r="D77" i="2"/>
  <c r="D70" i="2"/>
  <c r="D72" i="2"/>
  <c r="D67" i="2"/>
  <c r="D71" i="2"/>
  <c r="D66" i="2"/>
  <c r="D65" i="2"/>
  <c r="D64" i="2"/>
  <c r="D63" i="2"/>
  <c r="D59" i="2"/>
  <c r="D55" i="2"/>
  <c r="D56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7" i="2"/>
  <c r="AD397" i="2"/>
  <c r="AC397" i="2"/>
  <c r="AB397" i="2"/>
  <c r="V397" i="2"/>
  <c r="Y397" i="2"/>
  <c r="X397" i="2"/>
  <c r="W397" i="2"/>
  <c r="AA394" i="2"/>
  <c r="AD394" i="2"/>
  <c r="AC394" i="2"/>
  <c r="AB394" i="2"/>
  <c r="V394" i="2"/>
  <c r="Y394" i="2"/>
  <c r="X394" i="2"/>
  <c r="W394" i="2"/>
  <c r="AA393" i="2"/>
  <c r="AD393" i="2"/>
  <c r="AC393" i="2"/>
  <c r="AB393" i="2"/>
  <c r="V393" i="2"/>
  <c r="Y393" i="2"/>
  <c r="X393" i="2"/>
  <c r="W393" i="2"/>
  <c r="AA392" i="2"/>
  <c r="AD392" i="2"/>
  <c r="AC392" i="2"/>
  <c r="AB392" i="2"/>
  <c r="V392" i="2"/>
  <c r="Y392" i="2"/>
  <c r="X392" i="2"/>
  <c r="W392" i="2"/>
  <c r="AA391" i="2"/>
  <c r="AD391" i="2"/>
  <c r="AC391" i="2"/>
  <c r="AB391" i="2"/>
  <c r="V391" i="2"/>
  <c r="Y391" i="2"/>
  <c r="X391" i="2"/>
  <c r="W391" i="2"/>
  <c r="AA388" i="2"/>
  <c r="AD388" i="2"/>
  <c r="AC388" i="2"/>
  <c r="AB388" i="2"/>
  <c r="V388" i="2"/>
  <c r="Y388" i="2"/>
  <c r="X388" i="2"/>
  <c r="W388" i="2"/>
  <c r="AA387" i="2"/>
  <c r="AD387" i="2"/>
  <c r="AC387" i="2"/>
  <c r="AB387" i="2"/>
  <c r="V387" i="2"/>
  <c r="Y387" i="2"/>
  <c r="X387" i="2"/>
  <c r="W387" i="2"/>
  <c r="AA386" i="2"/>
  <c r="AD386" i="2"/>
  <c r="AC386" i="2"/>
  <c r="AB386" i="2"/>
  <c r="V386" i="2"/>
  <c r="Y386" i="2"/>
  <c r="X386" i="2"/>
  <c r="W386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1" i="2"/>
  <c r="AD381" i="2"/>
  <c r="AC381" i="2"/>
  <c r="AB381" i="2"/>
  <c r="V381" i="2"/>
  <c r="Y381" i="2"/>
  <c r="X381" i="2"/>
  <c r="W381" i="2"/>
  <c r="AA191" i="2"/>
  <c r="AD191" i="2"/>
  <c r="AC191" i="2"/>
  <c r="AB191" i="2"/>
  <c r="V191" i="2"/>
  <c r="Y191" i="2"/>
  <c r="X191" i="2"/>
  <c r="W191" i="2"/>
  <c r="AA189" i="2"/>
  <c r="AD189" i="2"/>
  <c r="AC189" i="2"/>
  <c r="AB189" i="2"/>
  <c r="V189" i="2"/>
  <c r="Y189" i="2"/>
  <c r="X189" i="2"/>
  <c r="W189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169" i="2"/>
  <c r="AD169" i="2"/>
  <c r="AC169" i="2"/>
  <c r="AB169" i="2"/>
  <c r="V169" i="2"/>
  <c r="Y169" i="2"/>
  <c r="X169" i="2"/>
  <c r="W169" i="2"/>
  <c r="AA168" i="2"/>
  <c r="AD168" i="2"/>
  <c r="AC168" i="2"/>
  <c r="AB168" i="2"/>
  <c r="V168" i="2"/>
  <c r="Y168" i="2"/>
  <c r="X168" i="2"/>
  <c r="W168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8" i="2"/>
  <c r="AD338" i="2"/>
  <c r="AC338" i="2"/>
  <c r="AB338" i="2"/>
  <c r="V338" i="2"/>
  <c r="Y338" i="2"/>
  <c r="X338" i="2"/>
  <c r="W338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1" i="2"/>
  <c r="AD331" i="2"/>
  <c r="AC331" i="2"/>
  <c r="AB331" i="2"/>
  <c r="V331" i="2"/>
  <c r="Y331" i="2"/>
  <c r="X331" i="2"/>
  <c r="W331" i="2"/>
  <c r="AA330" i="2"/>
  <c r="AD330" i="2"/>
  <c r="AC330" i="2"/>
  <c r="AB330" i="2"/>
  <c r="V330" i="2"/>
  <c r="Y330" i="2"/>
  <c r="X330" i="2"/>
  <c r="W330" i="2"/>
  <c r="AA329" i="2"/>
  <c r="AD329" i="2"/>
  <c r="AC329" i="2"/>
  <c r="AB329" i="2"/>
  <c r="V329" i="2"/>
  <c r="Y329" i="2"/>
  <c r="X329" i="2"/>
  <c r="W329" i="2"/>
  <c r="AA328" i="2"/>
  <c r="AD328" i="2"/>
  <c r="AC328" i="2"/>
  <c r="AB328" i="2"/>
  <c r="V328" i="2"/>
  <c r="Y328" i="2"/>
  <c r="X328" i="2"/>
  <c r="W328" i="2"/>
  <c r="AA325" i="2"/>
  <c r="AD325" i="2"/>
  <c r="AC325" i="2"/>
  <c r="AB325" i="2"/>
  <c r="V325" i="2"/>
  <c r="Y325" i="2"/>
  <c r="X325" i="2"/>
  <c r="W325" i="2"/>
  <c r="AA324" i="2"/>
  <c r="AD324" i="2"/>
  <c r="AC324" i="2"/>
  <c r="AB324" i="2"/>
  <c r="V324" i="2"/>
  <c r="Y324" i="2"/>
  <c r="X324" i="2"/>
  <c r="W324" i="2"/>
  <c r="AA323" i="2"/>
  <c r="AD323" i="2"/>
  <c r="AC323" i="2"/>
  <c r="AB323" i="2"/>
  <c r="V323" i="2"/>
  <c r="Y323" i="2"/>
  <c r="X323" i="2"/>
  <c r="W323" i="2"/>
  <c r="AA322" i="2"/>
  <c r="AD322" i="2"/>
  <c r="AC322" i="2"/>
  <c r="AB322" i="2"/>
  <c r="V322" i="2"/>
  <c r="Y322" i="2"/>
  <c r="X322" i="2"/>
  <c r="W322" i="2"/>
  <c r="AA321" i="2"/>
  <c r="AD321" i="2"/>
  <c r="AC321" i="2"/>
  <c r="AB321" i="2"/>
  <c r="V321" i="2"/>
  <c r="Y321" i="2"/>
  <c r="X321" i="2"/>
  <c r="W321" i="2"/>
  <c r="AA320" i="2"/>
  <c r="AD320" i="2"/>
  <c r="AC320" i="2"/>
  <c r="AB320" i="2"/>
  <c r="V320" i="2"/>
  <c r="Y320" i="2"/>
  <c r="X320" i="2"/>
  <c r="W320" i="2"/>
  <c r="AA319" i="2"/>
  <c r="AD319" i="2"/>
  <c r="AC319" i="2"/>
  <c r="AB319" i="2"/>
  <c r="V319" i="2"/>
  <c r="Y319" i="2"/>
  <c r="X319" i="2"/>
  <c r="W319" i="2"/>
  <c r="AA315" i="2"/>
  <c r="AD315" i="2"/>
  <c r="AC315" i="2"/>
  <c r="AB315" i="2"/>
  <c r="V315" i="2"/>
  <c r="Y315" i="2"/>
  <c r="X315" i="2"/>
  <c r="W315" i="2"/>
  <c r="AA318" i="2"/>
  <c r="AD318" i="2"/>
  <c r="AC318" i="2"/>
  <c r="AB318" i="2"/>
  <c r="V318" i="2"/>
  <c r="Y318" i="2"/>
  <c r="X318" i="2"/>
  <c r="W318" i="2"/>
  <c r="AA135" i="2"/>
  <c r="AD135" i="2"/>
  <c r="AC135" i="2"/>
  <c r="AB135" i="2"/>
  <c r="V135" i="2"/>
  <c r="Y135" i="2"/>
  <c r="X135" i="2"/>
  <c r="W135" i="2"/>
  <c r="AA130" i="2"/>
  <c r="AD130" i="2"/>
  <c r="AC130" i="2"/>
  <c r="AB130" i="2"/>
  <c r="V130" i="2"/>
  <c r="Y130" i="2"/>
  <c r="X130" i="2"/>
  <c r="W130" i="2"/>
  <c r="AA129" i="2"/>
  <c r="AD129" i="2"/>
  <c r="AC129" i="2"/>
  <c r="AB129" i="2"/>
  <c r="V129" i="2"/>
  <c r="Y129" i="2"/>
  <c r="X129" i="2"/>
  <c r="W129" i="2"/>
  <c r="AA126" i="2"/>
  <c r="AD126" i="2"/>
  <c r="AC126" i="2"/>
  <c r="AB126" i="2"/>
  <c r="V126" i="2"/>
  <c r="Y126" i="2"/>
  <c r="X126" i="2"/>
  <c r="W126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6" i="2"/>
  <c r="AD116" i="2"/>
  <c r="AC116" i="2"/>
  <c r="AB116" i="2"/>
  <c r="V116" i="2"/>
  <c r="Y116" i="2"/>
  <c r="X116" i="2"/>
  <c r="W116" i="2"/>
  <c r="AA115" i="2"/>
  <c r="AD115" i="2"/>
  <c r="AC115" i="2"/>
  <c r="AB115" i="2"/>
  <c r="V115" i="2"/>
  <c r="Y115" i="2"/>
  <c r="X115" i="2"/>
  <c r="W115" i="2"/>
  <c r="AA112" i="2"/>
  <c r="AD112" i="2"/>
  <c r="AC112" i="2"/>
  <c r="AB112" i="2"/>
  <c r="V112" i="2"/>
  <c r="Y112" i="2"/>
  <c r="X112" i="2"/>
  <c r="W112" i="2"/>
  <c r="AA111" i="2"/>
  <c r="AD111" i="2"/>
  <c r="AC111" i="2"/>
  <c r="AB111" i="2"/>
  <c r="V111" i="2"/>
  <c r="Y111" i="2"/>
  <c r="X111" i="2"/>
  <c r="W111" i="2"/>
  <c r="AA108" i="2"/>
  <c r="AD108" i="2"/>
  <c r="AC108" i="2"/>
  <c r="AB108" i="2"/>
  <c r="V108" i="2"/>
  <c r="Y108" i="2"/>
  <c r="X108" i="2"/>
  <c r="W108" i="2"/>
  <c r="AA107" i="2"/>
  <c r="AD107" i="2"/>
  <c r="AC107" i="2"/>
  <c r="AB107" i="2"/>
  <c r="V107" i="2"/>
  <c r="Y107" i="2"/>
  <c r="X107" i="2"/>
  <c r="W107" i="2"/>
  <c r="AA103" i="2"/>
  <c r="AD103" i="2"/>
  <c r="AC103" i="2"/>
  <c r="AB103" i="2"/>
  <c r="V103" i="2"/>
  <c r="Y103" i="2"/>
  <c r="X103" i="2"/>
  <c r="W103" i="2"/>
  <c r="AA271" i="2"/>
  <c r="AD271" i="2"/>
  <c r="AC271" i="2"/>
  <c r="AB271" i="2"/>
  <c r="V271" i="2"/>
  <c r="Y271" i="2"/>
  <c r="X271" i="2"/>
  <c r="W271" i="2"/>
  <c r="AA268" i="2"/>
  <c r="AD268" i="2"/>
  <c r="AC268" i="2"/>
  <c r="AB268" i="2"/>
  <c r="V268" i="2"/>
  <c r="Y268" i="2"/>
  <c r="X268" i="2"/>
  <c r="W268" i="2"/>
  <c r="AA265" i="2"/>
  <c r="AD265" i="2"/>
  <c r="AC265" i="2"/>
  <c r="AB265" i="2"/>
  <c r="V265" i="2"/>
  <c r="Y265" i="2"/>
  <c r="X265" i="2"/>
  <c r="W265" i="2"/>
  <c r="AA260" i="2"/>
  <c r="AD260" i="2"/>
  <c r="AC260" i="2"/>
  <c r="AB260" i="2"/>
  <c r="V260" i="2"/>
  <c r="Y260" i="2"/>
  <c r="X260" i="2"/>
  <c r="W260" i="2"/>
  <c r="AA257" i="2"/>
  <c r="AD257" i="2"/>
  <c r="AC257" i="2"/>
  <c r="AB257" i="2"/>
  <c r="V257" i="2"/>
  <c r="Y257" i="2"/>
  <c r="X257" i="2"/>
  <c r="W257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47" i="2"/>
  <c r="AD247" i="2"/>
  <c r="AC247" i="2"/>
  <c r="AB247" i="2"/>
  <c r="V247" i="2"/>
  <c r="Y247" i="2"/>
  <c r="X247" i="2"/>
  <c r="W247" i="2"/>
  <c r="AA246" i="2"/>
  <c r="AD246" i="2"/>
  <c r="AC246" i="2"/>
  <c r="AB246" i="2"/>
  <c r="V246" i="2"/>
  <c r="Y246" i="2"/>
  <c r="X246" i="2"/>
  <c r="W246" i="2"/>
  <c r="AA245" i="2"/>
  <c r="AD245" i="2"/>
  <c r="AC245" i="2"/>
  <c r="AB245" i="2"/>
  <c r="V245" i="2"/>
  <c r="Y245" i="2"/>
  <c r="X245" i="2"/>
  <c r="W245" i="2"/>
  <c r="AA244" i="2"/>
  <c r="AD244" i="2"/>
  <c r="AC244" i="2"/>
  <c r="AB244" i="2"/>
  <c r="V244" i="2"/>
  <c r="Y244" i="2"/>
  <c r="X244" i="2"/>
  <c r="W244" i="2"/>
  <c r="AA241" i="2"/>
  <c r="AD241" i="2"/>
  <c r="AC241" i="2"/>
  <c r="AB241" i="2"/>
  <c r="V241" i="2"/>
  <c r="Y241" i="2"/>
  <c r="X241" i="2"/>
  <c r="W241" i="2"/>
  <c r="AA239" i="2"/>
  <c r="AD239" i="2"/>
  <c r="AC239" i="2"/>
  <c r="AB239" i="2"/>
  <c r="V239" i="2"/>
  <c r="Y239" i="2"/>
  <c r="X239" i="2"/>
  <c r="W239" i="2"/>
  <c r="AA240" i="2"/>
  <c r="AD240" i="2"/>
  <c r="AC240" i="2"/>
  <c r="AB240" i="2"/>
  <c r="V240" i="2"/>
  <c r="Y240" i="2"/>
  <c r="X240" i="2"/>
  <c r="W240" i="2"/>
  <c r="AA236" i="2"/>
  <c r="AD236" i="2"/>
  <c r="AC236" i="2"/>
  <c r="AB236" i="2"/>
  <c r="V236" i="2"/>
  <c r="Y236" i="2"/>
  <c r="X236" i="2"/>
  <c r="W236" i="2"/>
  <c r="AA233" i="2"/>
  <c r="AD233" i="2"/>
  <c r="AC233" i="2"/>
  <c r="AB233" i="2"/>
  <c r="V233" i="2"/>
  <c r="Y233" i="2"/>
  <c r="X233" i="2"/>
  <c r="W233" i="2"/>
  <c r="AA232" i="2"/>
  <c r="AD232" i="2"/>
  <c r="AC232" i="2"/>
  <c r="AB232" i="2"/>
  <c r="V232" i="2"/>
  <c r="Y232" i="2"/>
  <c r="X232" i="2"/>
  <c r="W232" i="2"/>
  <c r="AA229" i="2"/>
  <c r="AD229" i="2"/>
  <c r="AC229" i="2"/>
  <c r="AB229" i="2"/>
  <c r="V229" i="2"/>
  <c r="Y229" i="2"/>
  <c r="X229" i="2"/>
  <c r="W229" i="2"/>
  <c r="AA228" i="2"/>
  <c r="AD228" i="2"/>
  <c r="AC228" i="2"/>
  <c r="AB228" i="2"/>
  <c r="V228" i="2"/>
  <c r="Y228" i="2"/>
  <c r="X228" i="2"/>
  <c r="W228" i="2"/>
  <c r="AA223" i="2"/>
  <c r="AD223" i="2"/>
  <c r="AC223" i="2"/>
  <c r="AB223" i="2"/>
  <c r="V223" i="2"/>
  <c r="Y223" i="2"/>
  <c r="X223" i="2"/>
  <c r="W223" i="2"/>
  <c r="AA220" i="2"/>
  <c r="AD220" i="2"/>
  <c r="AC220" i="2"/>
  <c r="AB220" i="2"/>
  <c r="V220" i="2"/>
  <c r="Y220" i="2"/>
  <c r="X220" i="2"/>
  <c r="W220" i="2"/>
  <c r="AA210" i="2"/>
  <c r="AD210" i="2"/>
  <c r="AC210" i="2"/>
  <c r="AB210" i="2"/>
  <c r="V210" i="2"/>
  <c r="Y210" i="2"/>
  <c r="X210" i="2"/>
  <c r="W210" i="2"/>
  <c r="AA214" i="2"/>
  <c r="AD214" i="2"/>
  <c r="AC214" i="2"/>
  <c r="AB214" i="2"/>
  <c r="V214" i="2"/>
  <c r="Y214" i="2"/>
  <c r="X214" i="2"/>
  <c r="W214" i="2"/>
  <c r="AA209" i="2"/>
  <c r="AD209" i="2"/>
  <c r="AC209" i="2"/>
  <c r="AB209" i="2"/>
  <c r="V209" i="2"/>
  <c r="Y209" i="2"/>
  <c r="X209" i="2"/>
  <c r="W209" i="2"/>
  <c r="AA213" i="2"/>
  <c r="AD213" i="2"/>
  <c r="AC213" i="2"/>
  <c r="AB213" i="2"/>
  <c r="V213" i="2"/>
  <c r="Y213" i="2"/>
  <c r="X213" i="2"/>
  <c r="W213" i="2"/>
  <c r="AA208" i="2"/>
  <c r="AD208" i="2"/>
  <c r="AC208" i="2"/>
  <c r="AB208" i="2"/>
  <c r="V208" i="2"/>
  <c r="Y208" i="2"/>
  <c r="X208" i="2"/>
  <c r="W208" i="2"/>
  <c r="AA196" i="2"/>
  <c r="AD196" i="2"/>
  <c r="AC196" i="2"/>
  <c r="AB196" i="2"/>
  <c r="V196" i="2"/>
  <c r="Y196" i="2"/>
  <c r="X196" i="2"/>
  <c r="W196" i="2"/>
  <c r="AA200" i="2"/>
  <c r="AD200" i="2"/>
  <c r="AC200" i="2"/>
  <c r="AB200" i="2"/>
  <c r="V200" i="2"/>
  <c r="Y200" i="2"/>
  <c r="X200" i="2"/>
  <c r="W200" i="2"/>
  <c r="AA199" i="2"/>
  <c r="AD199" i="2"/>
  <c r="AC199" i="2"/>
  <c r="AB199" i="2"/>
  <c r="V199" i="2"/>
  <c r="Y199" i="2"/>
  <c r="X199" i="2"/>
  <c r="W199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70" i="2"/>
  <c r="AD370" i="2"/>
  <c r="AC370" i="2"/>
  <c r="AB370" i="2"/>
  <c r="V370" i="2"/>
  <c r="Y370" i="2"/>
  <c r="X370" i="2"/>
  <c r="W370" i="2"/>
  <c r="AA369" i="2"/>
  <c r="AD369" i="2"/>
  <c r="AC369" i="2"/>
  <c r="AB369" i="2"/>
  <c r="V369" i="2"/>
  <c r="Y369" i="2"/>
  <c r="X369" i="2"/>
  <c r="W369" i="2"/>
  <c r="AA368" i="2"/>
  <c r="AD368" i="2"/>
  <c r="AC368" i="2"/>
  <c r="AB368" i="2"/>
  <c r="V368" i="2"/>
  <c r="Y368" i="2"/>
  <c r="X368" i="2"/>
  <c r="W368" i="2"/>
  <c r="AA365" i="2"/>
  <c r="AD365" i="2"/>
  <c r="AC365" i="2"/>
  <c r="AB365" i="2"/>
  <c r="V365" i="2"/>
  <c r="Y365" i="2"/>
  <c r="X365" i="2"/>
  <c r="W365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2" i="2"/>
  <c r="AD362" i="2"/>
  <c r="AC362" i="2"/>
  <c r="AB362" i="2"/>
  <c r="V362" i="2"/>
  <c r="Y362" i="2"/>
  <c r="X362" i="2"/>
  <c r="W362" i="2"/>
  <c r="AA359" i="2"/>
  <c r="AD359" i="2"/>
  <c r="AC359" i="2"/>
  <c r="AB359" i="2"/>
  <c r="V359" i="2"/>
  <c r="Y359" i="2"/>
  <c r="X359" i="2"/>
  <c r="W359" i="2"/>
  <c r="AA358" i="2"/>
  <c r="AD358" i="2"/>
  <c r="AC358" i="2"/>
  <c r="AB358" i="2"/>
  <c r="V358" i="2"/>
  <c r="Y358" i="2"/>
  <c r="X358" i="2"/>
  <c r="W358" i="2"/>
  <c r="AA355" i="2"/>
  <c r="AD355" i="2"/>
  <c r="AC355" i="2"/>
  <c r="AB355" i="2"/>
  <c r="V355" i="2"/>
  <c r="Y355" i="2"/>
  <c r="X355" i="2"/>
  <c r="W355" i="2"/>
  <c r="AA354" i="2"/>
  <c r="AD354" i="2"/>
  <c r="AC354" i="2"/>
  <c r="AB354" i="2"/>
  <c r="V354" i="2"/>
  <c r="Y354" i="2"/>
  <c r="X354" i="2"/>
  <c r="W354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152" i="2"/>
  <c r="AD152" i="2"/>
  <c r="AC152" i="2"/>
  <c r="AB152" i="2"/>
  <c r="V152" i="2"/>
  <c r="Y152" i="2"/>
  <c r="X152" i="2"/>
  <c r="W152" i="2"/>
  <c r="AA158" i="2"/>
  <c r="AD158" i="2"/>
  <c r="AC158" i="2"/>
  <c r="AB158" i="2"/>
  <c r="V158" i="2"/>
  <c r="Y158" i="2"/>
  <c r="X158" i="2"/>
  <c r="W158" i="2"/>
  <c r="AA157" i="2"/>
  <c r="AD157" i="2"/>
  <c r="AC157" i="2"/>
  <c r="AB157" i="2"/>
  <c r="V157" i="2"/>
  <c r="Y157" i="2"/>
  <c r="X157" i="2"/>
  <c r="W157" i="2"/>
  <c r="AA149" i="2"/>
  <c r="AD149" i="2"/>
  <c r="AC149" i="2"/>
  <c r="AB149" i="2"/>
  <c r="V149" i="2"/>
  <c r="Y149" i="2"/>
  <c r="X149" i="2"/>
  <c r="W149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V146" i="2"/>
  <c r="Y146" i="2"/>
  <c r="X146" i="2"/>
  <c r="W146" i="2"/>
  <c r="AA145" i="2"/>
  <c r="AD145" i="2"/>
  <c r="AC145" i="2"/>
  <c r="AB145" i="2"/>
  <c r="V145" i="2"/>
  <c r="Y145" i="2"/>
  <c r="X145" i="2"/>
  <c r="W145" i="2"/>
  <c r="AA142" i="2"/>
  <c r="AD142" i="2"/>
  <c r="AC142" i="2"/>
  <c r="AB142" i="2"/>
  <c r="V142" i="2"/>
  <c r="Y142" i="2"/>
  <c r="X142" i="2"/>
  <c r="W142" i="2"/>
  <c r="AA141" i="2"/>
  <c r="AD141" i="2"/>
  <c r="AC141" i="2"/>
  <c r="AB141" i="2"/>
  <c r="Y141" i="2"/>
  <c r="X141" i="2"/>
  <c r="AA140" i="2"/>
  <c r="AD140" i="2"/>
  <c r="AC140" i="2"/>
  <c r="AB140" i="2"/>
  <c r="V140" i="2"/>
  <c r="Y140" i="2"/>
  <c r="X140" i="2"/>
  <c r="W140" i="2"/>
  <c r="AA95" i="2"/>
  <c r="AD95" i="2"/>
  <c r="AC95" i="2"/>
  <c r="AB95" i="2"/>
  <c r="V95" i="2"/>
  <c r="Y95" i="2"/>
  <c r="X95" i="2"/>
  <c r="W95" i="2"/>
  <c r="AA90" i="2"/>
  <c r="AD90" i="2"/>
  <c r="AC90" i="2"/>
  <c r="AB90" i="2"/>
  <c r="V90" i="2"/>
  <c r="Y90" i="2"/>
  <c r="X90" i="2"/>
  <c r="W90" i="2"/>
  <c r="AA89" i="2"/>
  <c r="AD89" i="2"/>
  <c r="AC89" i="2"/>
  <c r="AB89" i="2"/>
  <c r="V89" i="2"/>
  <c r="Y89" i="2"/>
  <c r="X89" i="2"/>
  <c r="W89" i="2"/>
  <c r="AA88" i="2"/>
  <c r="AD88" i="2"/>
  <c r="AC88" i="2"/>
  <c r="AB88" i="2"/>
  <c r="V88" i="2"/>
  <c r="Y88" i="2"/>
  <c r="X88" i="2"/>
  <c r="W88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81" i="2"/>
  <c r="AD81" i="2"/>
  <c r="AC81" i="2"/>
  <c r="AB81" i="2"/>
  <c r="V81" i="2"/>
  <c r="Y81" i="2"/>
  <c r="X81" i="2"/>
  <c r="W81" i="2"/>
  <c r="AA80" i="2"/>
  <c r="AD80" i="2"/>
  <c r="AC80" i="2"/>
  <c r="AB80" i="2"/>
  <c r="V80" i="2"/>
  <c r="Y80" i="2"/>
  <c r="X80" i="2"/>
  <c r="W80" i="2"/>
  <c r="AA77" i="2"/>
  <c r="AD77" i="2"/>
  <c r="AC77" i="2"/>
  <c r="AB77" i="2"/>
  <c r="V77" i="2"/>
  <c r="Y77" i="2"/>
  <c r="X77" i="2"/>
  <c r="W77" i="2"/>
  <c r="AA67" i="2"/>
  <c r="AD67" i="2"/>
  <c r="AC67" i="2"/>
  <c r="AB67" i="2"/>
  <c r="V67" i="2"/>
  <c r="Y67" i="2"/>
  <c r="X67" i="2"/>
  <c r="W67" i="2"/>
  <c r="AA66" i="2"/>
  <c r="AD66" i="2"/>
  <c r="AC66" i="2"/>
  <c r="AB66" i="2"/>
  <c r="V66" i="2"/>
  <c r="Y66" i="2"/>
  <c r="X66" i="2"/>
  <c r="W66" i="2"/>
  <c r="AA65" i="2"/>
  <c r="AD65" i="2"/>
  <c r="AC65" i="2"/>
  <c r="AB65" i="2"/>
  <c r="V65" i="2"/>
  <c r="Y65" i="2"/>
  <c r="X65" i="2"/>
  <c r="W65" i="2"/>
  <c r="AA64" i="2"/>
  <c r="AD64" i="2"/>
  <c r="AC64" i="2"/>
  <c r="AB64" i="2"/>
  <c r="V64" i="2"/>
  <c r="Y64" i="2"/>
  <c r="X64" i="2"/>
  <c r="W64" i="2"/>
  <c r="AA63" i="2"/>
  <c r="AD63" i="2"/>
  <c r="AC63" i="2"/>
  <c r="AB63" i="2"/>
  <c r="V63" i="2"/>
  <c r="Y63" i="2"/>
  <c r="X63" i="2"/>
  <c r="W63" i="2"/>
  <c r="AA59" i="2"/>
  <c r="AD59" i="2"/>
  <c r="AC59" i="2"/>
  <c r="AB59" i="2"/>
  <c r="V59" i="2"/>
  <c r="Y59" i="2"/>
  <c r="X59" i="2"/>
  <c r="W59" i="2"/>
  <c r="AA60" i="2"/>
  <c r="AD60" i="2"/>
  <c r="AC60" i="2"/>
  <c r="AB60" i="2"/>
  <c r="V60" i="2"/>
  <c r="Y60" i="2"/>
  <c r="X60" i="2"/>
  <c r="W60" i="2"/>
  <c r="AA56" i="2"/>
  <c r="AD56" i="2"/>
  <c r="AC56" i="2"/>
  <c r="AB56" i="2"/>
  <c r="V56" i="2"/>
  <c r="Y56" i="2"/>
  <c r="X56" i="2"/>
  <c r="W56" i="2"/>
  <c r="AA55" i="2"/>
  <c r="AD55" i="2"/>
  <c r="AC55" i="2"/>
  <c r="AB55" i="2"/>
  <c r="V55" i="2"/>
  <c r="Y55" i="2"/>
  <c r="X55" i="2"/>
  <c r="W55" i="2"/>
  <c r="AA50" i="2"/>
  <c r="AD50" i="2"/>
  <c r="AC50" i="2"/>
  <c r="AB50" i="2"/>
  <c r="V50" i="2"/>
  <c r="Y50" i="2"/>
  <c r="X50" i="2"/>
  <c r="W50" i="2"/>
  <c r="AA45" i="2"/>
  <c r="AD45" i="2"/>
  <c r="AC45" i="2"/>
  <c r="AB45" i="2"/>
  <c r="V45" i="2"/>
  <c r="Y45" i="2"/>
  <c r="X45" i="2"/>
  <c r="W45" i="2"/>
  <c r="AA42" i="2"/>
  <c r="AD42" i="2"/>
  <c r="AC42" i="2"/>
  <c r="AB42" i="2"/>
  <c r="V42" i="2"/>
  <c r="Y42" i="2"/>
  <c r="X42" i="2"/>
  <c r="W42" i="2"/>
  <c r="AA41" i="2"/>
  <c r="AD41" i="2"/>
  <c r="AC41" i="2"/>
  <c r="AB41" i="2"/>
  <c r="V41" i="2"/>
  <c r="Y41" i="2"/>
  <c r="X41" i="2"/>
  <c r="W41" i="2"/>
  <c r="AA40" i="2"/>
  <c r="AD40" i="2"/>
  <c r="AC40" i="2"/>
  <c r="AB40" i="2"/>
  <c r="V40" i="2"/>
  <c r="Y40" i="2"/>
  <c r="X40" i="2"/>
  <c r="W40" i="2"/>
  <c r="AA39" i="2"/>
  <c r="AD39" i="2"/>
  <c r="AC39" i="2"/>
  <c r="AB39" i="2"/>
  <c r="V39" i="2"/>
  <c r="Y39" i="2"/>
  <c r="X39" i="2"/>
  <c r="W39" i="2"/>
  <c r="AA36" i="2"/>
  <c r="AD36" i="2"/>
  <c r="AC36" i="2"/>
  <c r="AB36" i="2"/>
  <c r="V36" i="2"/>
  <c r="Y36" i="2"/>
  <c r="X36" i="2"/>
  <c r="W36" i="2"/>
  <c r="AA35" i="2"/>
  <c r="AD35" i="2"/>
  <c r="AC35" i="2"/>
  <c r="AB35" i="2"/>
  <c r="V35" i="2"/>
  <c r="Y35" i="2"/>
  <c r="X35" i="2"/>
  <c r="W35" i="2"/>
  <c r="AA34" i="2"/>
  <c r="AD34" i="2"/>
  <c r="AC34" i="2"/>
  <c r="AB34" i="2"/>
  <c r="V34" i="2"/>
  <c r="Y34" i="2"/>
  <c r="X34" i="2"/>
  <c r="W34" i="2"/>
  <c r="G41" i="1"/>
  <c r="M183" i="2"/>
  <c r="H41" i="1"/>
  <c r="N183" i="2"/>
  <c r="P397" i="2"/>
  <c r="O397" i="2"/>
  <c r="P394" i="2"/>
  <c r="O394" i="2"/>
  <c r="P393" i="2"/>
  <c r="O393" i="2"/>
  <c r="N392" i="2"/>
  <c r="P392" i="2"/>
  <c r="O392" i="2"/>
  <c r="G38" i="1"/>
  <c r="M388" i="2"/>
  <c r="P385" i="2"/>
  <c r="O385" i="2"/>
  <c r="G56" i="1"/>
  <c r="M384" i="2"/>
  <c r="G11" i="1"/>
  <c r="M189" i="2"/>
  <c r="P184" i="2"/>
  <c r="O184" i="2"/>
  <c r="P183" i="2"/>
  <c r="P179" i="2"/>
  <c r="O179" i="2"/>
  <c r="P178" i="2"/>
  <c r="O178" i="2"/>
  <c r="P177" i="2"/>
  <c r="O177" i="2"/>
  <c r="N176" i="2"/>
  <c r="P176" i="2"/>
  <c r="O176" i="2"/>
  <c r="P172" i="2"/>
  <c r="O172" i="2"/>
  <c r="M171" i="2"/>
  <c r="N170" i="2"/>
  <c r="P170" i="2"/>
  <c r="O170" i="2"/>
  <c r="G77" i="1"/>
  <c r="M169" i="2"/>
  <c r="G67" i="1"/>
  <c r="M168" i="2"/>
  <c r="G76" i="1"/>
  <c r="M165" i="2"/>
  <c r="M164" i="2"/>
  <c r="P164" i="2"/>
  <c r="N164" i="2"/>
  <c r="P337" i="2"/>
  <c r="O337" i="2"/>
  <c r="P336" i="2"/>
  <c r="O336" i="2"/>
  <c r="P331" i="2"/>
  <c r="O331" i="2"/>
  <c r="N330" i="2"/>
  <c r="P330" i="2"/>
  <c r="O330" i="2"/>
  <c r="N329" i="2"/>
  <c r="P329" i="2"/>
  <c r="O329" i="2"/>
  <c r="G89" i="1"/>
  <c r="M328" i="2"/>
  <c r="M323" i="2"/>
  <c r="P320" i="2"/>
  <c r="O320" i="2"/>
  <c r="M319" i="2"/>
  <c r="P315" i="2"/>
  <c r="O315" i="2"/>
  <c r="M318" i="2"/>
  <c r="M126" i="2"/>
  <c r="M118" i="2"/>
  <c r="P117" i="2"/>
  <c r="O117" i="2"/>
  <c r="P112" i="2"/>
  <c r="O112" i="2"/>
  <c r="P111" i="2"/>
  <c r="O111" i="2"/>
  <c r="M108" i="2"/>
  <c r="G54" i="1"/>
  <c r="M271" i="2"/>
  <c r="G90" i="1"/>
  <c r="M268" i="2"/>
  <c r="P268" i="2"/>
  <c r="H90" i="1"/>
  <c r="N268" i="2"/>
  <c r="G87" i="1"/>
  <c r="M265" i="2"/>
  <c r="P265" i="2"/>
  <c r="H87" i="1"/>
  <c r="N265" i="2"/>
  <c r="M260" i="2"/>
  <c r="P257" i="2"/>
  <c r="O257" i="2"/>
  <c r="P256" i="2"/>
  <c r="O256" i="2"/>
  <c r="P255" i="2"/>
  <c r="O255" i="2"/>
  <c r="M254" i="2"/>
  <c r="G83" i="1"/>
  <c r="M247" i="2"/>
  <c r="G62" i="1"/>
  <c r="M246" i="2"/>
  <c r="P245" i="2"/>
  <c r="O245" i="2"/>
  <c r="N244" i="2"/>
  <c r="P244" i="2"/>
  <c r="O244" i="2"/>
  <c r="M241" i="2"/>
  <c r="P239" i="2"/>
  <c r="O239" i="2"/>
  <c r="N240" i="2"/>
  <c r="P240" i="2"/>
  <c r="O240" i="2"/>
  <c r="P236" i="2"/>
  <c r="O236" i="2"/>
  <c r="G71" i="1"/>
  <c r="M233" i="2"/>
  <c r="G17" i="1"/>
  <c r="M232" i="2"/>
  <c r="G61" i="1"/>
  <c r="M228" i="2"/>
  <c r="G57" i="1"/>
  <c r="M210" i="2"/>
  <c r="G55" i="1"/>
  <c r="M214" i="2"/>
  <c r="M209" i="2"/>
  <c r="P208" i="2"/>
  <c r="O208" i="2"/>
  <c r="M196" i="2"/>
  <c r="N200" i="2"/>
  <c r="P200" i="2"/>
  <c r="O200" i="2"/>
  <c r="N199" i="2"/>
  <c r="P199" i="2"/>
  <c r="O199" i="2"/>
  <c r="P368" i="2"/>
  <c r="O368" i="2"/>
  <c r="P364" i="2"/>
  <c r="O364" i="2"/>
  <c r="P363" i="2"/>
  <c r="O363" i="2"/>
  <c r="P362" i="2"/>
  <c r="O362" i="2"/>
  <c r="N359" i="2"/>
  <c r="P359" i="2"/>
  <c r="O359" i="2"/>
  <c r="N358" i="2"/>
  <c r="P358" i="2"/>
  <c r="O358" i="2"/>
  <c r="M355" i="2"/>
  <c r="M354" i="2"/>
  <c r="M351" i="2"/>
  <c r="M350" i="2"/>
  <c r="P348" i="2"/>
  <c r="O348" i="2"/>
  <c r="M347" i="2"/>
  <c r="G70" i="1"/>
  <c r="H70" i="1"/>
  <c r="P149" i="2"/>
  <c r="O149" i="2"/>
  <c r="P148" i="2"/>
  <c r="O148" i="2"/>
  <c r="P147" i="2"/>
  <c r="O147" i="2"/>
  <c r="M146" i="2"/>
  <c r="P145" i="2"/>
  <c r="O145" i="2"/>
  <c r="P142" i="2"/>
  <c r="O142" i="2"/>
  <c r="P141" i="2"/>
  <c r="O141" i="2"/>
  <c r="M140" i="2"/>
  <c r="P89" i="2"/>
  <c r="O89" i="2"/>
  <c r="P81" i="2"/>
  <c r="O81" i="2"/>
  <c r="P80" i="2"/>
  <c r="O80" i="2"/>
  <c r="P59" i="2"/>
  <c r="O59" i="2"/>
  <c r="N60" i="2"/>
  <c r="P60" i="2"/>
  <c r="O60" i="2"/>
  <c r="M55" i="2"/>
  <c r="N55" i="2"/>
  <c r="P55" i="2"/>
  <c r="M40" i="2"/>
  <c r="M41" i="2"/>
  <c r="M45" i="2"/>
  <c r="M36" i="2"/>
  <c r="M35" i="2"/>
  <c r="M34" i="2"/>
  <c r="C50" i="2"/>
  <c r="B50" i="2"/>
  <c r="C45" i="2"/>
  <c r="B45" i="2"/>
  <c r="C42" i="2"/>
  <c r="B42" i="2"/>
  <c r="C41" i="2"/>
  <c r="B41" i="2"/>
  <c r="C40" i="2"/>
  <c r="B40" i="2"/>
  <c r="C39" i="2"/>
  <c r="B39" i="2"/>
  <c r="C35" i="2"/>
  <c r="B35" i="2"/>
  <c r="C34" i="2"/>
  <c r="B34" i="2"/>
  <c r="C36" i="2"/>
  <c r="B36" i="2"/>
  <c r="C399" i="2"/>
  <c r="C398" i="2"/>
  <c r="C397" i="2"/>
  <c r="B397" i="2"/>
  <c r="C394" i="2"/>
  <c r="B394" i="2"/>
  <c r="C393" i="2"/>
  <c r="B393" i="2"/>
  <c r="C392" i="2"/>
  <c r="B392" i="2"/>
  <c r="C391" i="2"/>
  <c r="B391" i="2"/>
  <c r="C381" i="2"/>
  <c r="B381" i="2"/>
  <c r="C388" i="2"/>
  <c r="B388" i="2"/>
  <c r="C387" i="2"/>
  <c r="B387" i="2"/>
  <c r="C386" i="2"/>
  <c r="B386" i="2"/>
  <c r="C385" i="2"/>
  <c r="B385" i="2"/>
  <c r="C384" i="2"/>
  <c r="B384" i="2"/>
  <c r="C191" i="2"/>
  <c r="C190" i="2"/>
  <c r="C189" i="2"/>
  <c r="B189" i="2"/>
  <c r="C182" i="2"/>
  <c r="B182" i="2"/>
  <c r="C183" i="2"/>
  <c r="B183" i="2"/>
  <c r="C184" i="2"/>
  <c r="B184" i="2"/>
  <c r="C176" i="2"/>
  <c r="B176" i="2"/>
  <c r="C175" i="2"/>
  <c r="B175" i="2"/>
  <c r="C178" i="2"/>
  <c r="B178" i="2"/>
  <c r="C177" i="2"/>
  <c r="B177" i="2"/>
  <c r="C179" i="2"/>
  <c r="B179" i="2"/>
  <c r="C168" i="2"/>
  <c r="B168" i="2"/>
  <c r="C170" i="2"/>
  <c r="B170" i="2"/>
  <c r="C169" i="2"/>
  <c r="B169" i="2"/>
  <c r="C171" i="2"/>
  <c r="B171" i="2"/>
  <c r="C172" i="2"/>
  <c r="B172" i="2"/>
  <c r="C165" i="2"/>
  <c r="B165" i="2"/>
  <c r="C163" i="2"/>
  <c r="C164" i="2"/>
  <c r="B164" i="2"/>
  <c r="C340" i="2"/>
  <c r="C339" i="2"/>
  <c r="C338" i="2"/>
  <c r="C330" i="2"/>
  <c r="B330" i="2"/>
  <c r="C329" i="2"/>
  <c r="B329" i="2"/>
  <c r="C328" i="2"/>
  <c r="B328" i="2"/>
  <c r="C336" i="2"/>
  <c r="B336" i="2"/>
  <c r="C331" i="2"/>
  <c r="B331" i="2"/>
  <c r="B322" i="2"/>
  <c r="B321" i="2"/>
  <c r="B320" i="2"/>
  <c r="B319" i="2"/>
  <c r="B315" i="2"/>
  <c r="C337" i="2"/>
  <c r="B337" i="2"/>
  <c r="C325" i="2"/>
  <c r="B325" i="2"/>
  <c r="C324" i="2"/>
  <c r="B324" i="2"/>
  <c r="C323" i="2"/>
  <c r="B323" i="2"/>
  <c r="C322" i="2"/>
  <c r="C321" i="2"/>
  <c r="C320" i="2"/>
  <c r="C319" i="2"/>
  <c r="C315" i="2"/>
  <c r="C318" i="2"/>
  <c r="B318" i="2"/>
  <c r="C370" i="2"/>
  <c r="C372" i="2"/>
  <c r="C371" i="2"/>
  <c r="B130" i="2"/>
  <c r="B129" i="2"/>
  <c r="B126" i="2"/>
  <c r="B118" i="2"/>
  <c r="B117" i="2"/>
  <c r="B116" i="2"/>
  <c r="B115" i="2"/>
  <c r="B112" i="2"/>
  <c r="B111" i="2"/>
  <c r="B108" i="2"/>
  <c r="B107" i="2"/>
  <c r="B103" i="2"/>
  <c r="B271" i="2"/>
  <c r="B268" i="2"/>
  <c r="B265" i="2"/>
  <c r="B260" i="2"/>
  <c r="B257" i="2"/>
  <c r="B256" i="2"/>
  <c r="B255" i="2"/>
  <c r="B254" i="2"/>
  <c r="B247" i="2"/>
  <c r="B246" i="2"/>
  <c r="B245" i="2"/>
  <c r="B244" i="2"/>
  <c r="B241" i="2"/>
  <c r="B239" i="2"/>
  <c r="B240" i="2"/>
  <c r="B236" i="2"/>
  <c r="B233" i="2"/>
  <c r="B232" i="2"/>
  <c r="B229" i="2"/>
  <c r="B228" i="2"/>
  <c r="B210" i="2"/>
  <c r="B214" i="2"/>
  <c r="B209" i="2"/>
  <c r="B213" i="2"/>
  <c r="B208" i="2"/>
  <c r="B196" i="2"/>
  <c r="B200" i="2"/>
  <c r="B199" i="2"/>
  <c r="B369" i="2"/>
  <c r="B368" i="2"/>
  <c r="B365" i="2"/>
  <c r="B364" i="2"/>
  <c r="B363" i="2"/>
  <c r="B362" i="2"/>
  <c r="B359" i="2"/>
  <c r="B358" i="2"/>
  <c r="B355" i="2"/>
  <c r="B354" i="2"/>
  <c r="B351" i="2"/>
  <c r="B350" i="2"/>
  <c r="B348" i="2"/>
  <c r="B347" i="2"/>
  <c r="B152" i="2"/>
  <c r="B149" i="2"/>
  <c r="B148" i="2"/>
  <c r="B147" i="2"/>
  <c r="B146" i="2"/>
  <c r="B145" i="2"/>
  <c r="B142" i="2"/>
  <c r="B141" i="2"/>
  <c r="B140" i="2"/>
  <c r="B95" i="2"/>
  <c r="B90" i="2"/>
  <c r="B89" i="2"/>
  <c r="B88" i="2"/>
  <c r="B87" i="2"/>
  <c r="B86" i="2"/>
  <c r="B85" i="2"/>
  <c r="B82" i="2"/>
  <c r="B81" i="2"/>
  <c r="B80" i="2"/>
  <c r="B77" i="2"/>
  <c r="B67" i="2"/>
  <c r="B66" i="2"/>
  <c r="B65" i="2"/>
  <c r="B64" i="2"/>
  <c r="B63" i="2"/>
  <c r="B59" i="2"/>
  <c r="B60" i="2"/>
  <c r="B56" i="2"/>
  <c r="B55" i="2"/>
  <c r="C369" i="2"/>
  <c r="C135" i="2"/>
  <c r="C130" i="2"/>
  <c r="C129" i="2"/>
  <c r="C126" i="2"/>
  <c r="C118" i="2"/>
  <c r="C117" i="2"/>
  <c r="C116" i="2"/>
  <c r="C115" i="2"/>
  <c r="C112" i="2"/>
  <c r="C111" i="2"/>
  <c r="C108" i="2"/>
  <c r="C107" i="2"/>
  <c r="C103" i="2"/>
  <c r="C271" i="2"/>
  <c r="C268" i="2"/>
  <c r="C265" i="2"/>
  <c r="C260" i="2"/>
  <c r="C257" i="2"/>
  <c r="C256" i="2"/>
  <c r="C255" i="2"/>
  <c r="C254" i="2"/>
  <c r="C247" i="2"/>
  <c r="C246" i="2"/>
  <c r="C245" i="2"/>
  <c r="C244" i="2"/>
  <c r="C241" i="2"/>
  <c r="C239" i="2"/>
  <c r="C240" i="2"/>
  <c r="C236" i="2"/>
  <c r="C233" i="2"/>
  <c r="C232" i="2"/>
  <c r="C229" i="2"/>
  <c r="C228" i="2"/>
  <c r="C223" i="2"/>
  <c r="C220" i="2"/>
  <c r="C210" i="2"/>
  <c r="C214" i="2"/>
  <c r="C209" i="2"/>
  <c r="C213" i="2"/>
  <c r="C208" i="2"/>
  <c r="C196" i="2"/>
  <c r="C200" i="2"/>
  <c r="C199" i="2"/>
  <c r="C368" i="2"/>
  <c r="C365" i="2"/>
  <c r="C364" i="2"/>
  <c r="C363" i="2"/>
  <c r="C362" i="2"/>
  <c r="C359" i="2"/>
  <c r="C358" i="2"/>
  <c r="C355" i="2"/>
  <c r="C354" i="2"/>
  <c r="C351" i="2"/>
  <c r="C350" i="2"/>
  <c r="C348" i="2"/>
  <c r="C347" i="2"/>
  <c r="C152" i="2"/>
  <c r="C158" i="2"/>
  <c r="C157" i="2"/>
  <c r="C149" i="2"/>
  <c r="C148" i="2"/>
  <c r="C147" i="2"/>
  <c r="C146" i="2"/>
  <c r="C145" i="2"/>
  <c r="C142" i="2"/>
  <c r="C141" i="2"/>
  <c r="C140" i="2"/>
  <c r="C95" i="2"/>
  <c r="C90" i="2"/>
  <c r="C89" i="2"/>
  <c r="C88" i="2"/>
  <c r="C87" i="2"/>
  <c r="C86" i="2"/>
  <c r="C85" i="2"/>
  <c r="C82" i="2"/>
  <c r="C81" i="2"/>
  <c r="C80" i="2"/>
  <c r="C77" i="2"/>
  <c r="C71" i="2"/>
  <c r="C67" i="2"/>
  <c r="C66" i="2"/>
  <c r="C65" i="2"/>
  <c r="C64" i="2"/>
  <c r="C63" i="2"/>
  <c r="C59" i="2"/>
  <c r="C60" i="2"/>
  <c r="C56" i="2"/>
  <c r="C55" i="2"/>
  <c r="H45" i="1"/>
  <c r="G45" i="1"/>
  <c r="H31" i="1"/>
  <c r="G31" i="1"/>
  <c r="H29" i="1"/>
  <c r="G29" i="1"/>
</calcChain>
</file>

<file path=xl/sharedStrings.xml><?xml version="1.0" encoding="utf-8"?>
<sst xmlns="http://schemas.openxmlformats.org/spreadsheetml/2006/main" count="1609" uniqueCount="455">
  <si>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</si>
  <si>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</si>
  <si>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</si>
  <si>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</si>
  <si>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</si>
  <si>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</si>
  <si>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</si>
  <si>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</si>
  <si>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</si>
  <si>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</si>
  <si>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</si>
  <si>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</si>
  <si>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</si>
  <si>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</si>
  <si>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</si>
  <si>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</si>
  <si>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</si>
  <si>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</si>
  <si>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</si>
  <si>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</si>
  <si>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</si>
  <si>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</si>
  <si>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</si>
  <si>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</si>
  <si>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</si>
  <si>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</si>
  <si>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</si>
  <si>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</si>
  <si>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</si>
  <si>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</si>
  <si>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</si>
  <si>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</si>
  <si>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</si>
  <si>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</si>
  <si>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</si>
  <si>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</si>
  <si>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</si>
  <si>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</si>
  <si>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</si>
  <si>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</si>
  <si>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</si>
  <si>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</si>
  <si>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</si>
  <si>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</si>
  <si>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</si>
  <si>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</si>
  <si>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</si>
  <si>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tins chopped tomatoes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</si>
  <si>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</si>
  <si>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</si>
  <si>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</si>
  <si>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</si>
  <si>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</si>
  <si>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</si>
  <si>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</si>
  <si>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</si>
  <si>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</si>
  <si>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</si>
  <si>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</si>
  <si>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</si>
  <si>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</si>
  <si>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</si>
  <si>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</si>
  <si>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</si>
  <si>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</si>
  <si>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</si>
  <si>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</si>
  <si>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</si>
  <si>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</si>
  <si>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</si>
  <si>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</si>
  <si>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</si>
  <si>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</si>
  <si>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</si>
  <si>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tins creamed corn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</si>
  <si>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</si>
  <si>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</si>
  <si>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</si>
  <si>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</si>
  <si>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</si>
  <si>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</si>
  <si>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</si>
  <si>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</si>
  <si>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</si>
  <si>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</si>
  <si>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</si>
  <si>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tins chickpeas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</si>
  <si>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</si>
  <si>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</si>
  <si>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</si>
  <si>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</si>
  <si>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</si>
  <si>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</si>
  <si>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</si>
  <si>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</si>
  <si>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</si>
  <si>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</si>
  <si>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</si>
  <si>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</si>
  <si>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</si>
  <si>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</si>
  <si>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</si>
  <si>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</si>
  <si>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</si>
  <si>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</si>
  <si>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</si>
  <si>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</si>
  <si>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</si>
  <si>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</si>
  <si>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</si>
  <si>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</si>
  <si>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tins coconut cream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</si>
  <si>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</si>
  <si>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</si>
  <si>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</si>
  <si>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</si>
  <si>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</si>
  <si>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</si>
  <si>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</si>
  <si>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</si>
  <si>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</si>
  <si>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</si>
  <si>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tins coconut milk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</si>
  <si>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</si>
  <si>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</si>
  <si>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</si>
  <si>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</si>
  <si>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</si>
  <si>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</si>
  <si>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</si>
  <si>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</si>
  <si>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</si>
  <si>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</si>
  <si>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</si>
  <si>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</si>
  <si>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</si>
  <si>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</si>
  <si>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</si>
  <si>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</si>
  <si>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</si>
  <si>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</si>
  <si>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</si>
  <si>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</si>
  <si>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</si>
  <si>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</si>
  <si>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</si>
  <si>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</si>
  <si>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</si>
  <si>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</si>
  <si>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</si>
  <si>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</si>
  <si>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</si>
  <si>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</si>
  <si>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</si>
  <si>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</si>
  <si>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</si>
  <si>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</si>
  <si>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</si>
  <si>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</si>
  <si>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tins black beans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</si>
  <si>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</si>
  <si>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</si>
  <si>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</si>
  <si>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</si>
  <si>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</si>
  <si>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</si>
  <si>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</si>
  <si>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</si>
  <si>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</si>
  <si>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</si>
  <si>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</si>
  <si>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</si>
  <si>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</si>
  <si>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</si>
  <si>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</si>
  <si>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</si>
  <si>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</si>
  <si>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</si>
  <si>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</si>
  <si>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tins bamboo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</si>
  <si>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</si>
  <si>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</si>
  <si>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</si>
  <si>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</si>
  <si>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</si>
  <si>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</si>
  <si>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</si>
  <si>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</si>
  <si>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</si>
  <si>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</si>
  <si>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</si>
  <si>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</si>
  <si>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</si>
  <si>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</si>
  <si>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</si>
  <si>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</si>
  <si>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</si>
  <si>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</si>
  <si>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</si>
  <si>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</si>
  <si>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</si>
  <si>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</si>
  <si>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</si>
  <si>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</si>
  <si>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</si>
  <si>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</si>
  <si>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</si>
  <si>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</si>
  <si>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</si>
  <si>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</si>
  <si>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</si>
  <si>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</si>
  <si>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</si>
  <si>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</si>
  <si>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</si>
  <si>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</si>
  <si>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</si>
  <si>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</si>
  <si>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</si>
  <si>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</si>
  <si>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</si>
  <si>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</si>
  <si>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</si>
  <si>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</si>
  <si>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</si>
  <si>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</si>
  <si>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</si>
  <si>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</si>
  <si>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</si>
  <si>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</si>
  <si>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</si>
  <si>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</si>
  <si>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</si>
  <si>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</si>
  <si>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</si>
  <si>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</si>
  <si>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</si>
  <si>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</si>
  <si>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</si>
  <si>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</si>
  <si>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</si>
  <si>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</si>
  <si>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</si>
  <si>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</si>
  <si>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</si>
  <si>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</si>
  <si>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</si>
  <si>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</si>
  <si>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</si>
  <si>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</si>
  <si>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</si>
  <si>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</si>
  <si>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</si>
  <si>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</si>
  <si>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</si>
  <si>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</si>
  <si>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</si>
  <si>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</si>
  <si>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</si>
  <si>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</si>
  <si>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</si>
  <si>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</si>
  <si>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</si>
  <si>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</si>
  <si>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</si>
  <si>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</si>
  <si>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</si>
  <si>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</si>
  <si>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</si>
  <si>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</si>
  <si>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</si>
  <si>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</si>
  <si>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</si>
  <si>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</si>
  <si>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</si>
  <si>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</si>
  <si>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</si>
  <si>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</si>
  <si>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</si>
  <si>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</si>
  <si>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</si>
  <si>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</si>
  <si>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</si>
  <si>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</si>
  <si>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</si>
  <si>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</si>
  <si>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</si>
  <si>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</si>
  <si>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</si>
  <si>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</si>
  <si>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tins pasta sauce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</si>
  <si>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</si>
  <si>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</si>
  <si>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</si>
  <si>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</si>
  <si>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</si>
  <si>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</si>
  <si>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</si>
  <si>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</si>
  <si>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</si>
  <si>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</si>
  <si>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</si>
  <si>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</si>
  <si>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</si>
  <si>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</si>
  <si>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</si>
  <si>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</si>
  <si>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</si>
  <si>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</si>
  <si>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</si>
  <si>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</si>
  <si>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</si>
  <si>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</si>
  <si>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</si>
  <si>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</si>
  <si>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</si>
  <si>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</si>
  <si>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</si>
  <si>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</si>
  <si>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</si>
  <si>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</si>
  <si>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</si>
  <si>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</si>
  <si>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</si>
  <si>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</si>
  <si>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</si>
  <si>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</si>
  <si>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</si>
  <si>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</si>
  <si>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</si>
  <si>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</si>
  <si>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</si>
  <si>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</si>
  <si>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</si>
  <si>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</si>
  <si>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</si>
  <si>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</si>
  <si>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</si>
  <si>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</si>
  <si>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</si>
  <si>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</si>
  <si>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</si>
  <si>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</si>
  <si>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</si>
  <si>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</si>
  <si>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</si>
  <si>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</si>
  <si>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</si>
  <si>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</si>
  <si>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</si>
  <si>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</si>
  <si>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</si>
  <si>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</si>
  <si>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</si>
  <si>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</si>
  <si>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</si>
  <si>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</si>
  <si>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</si>
  <si>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</si>
  <si>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</si>
  <si>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</si>
  <si>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</si>
  <si>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</si>
  <si>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</si>
  <si>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</si>
  <si>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</si>
  <si>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</si>
  <si>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</si>
  <si>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</si>
  <si>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</si>
  <si>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</si>
  <si>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</si>
  <si>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</si>
  <si>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</si>
  <si>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</si>
  <si>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</si>
  <si>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</si>
  <si>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</si>
  <si>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</si>
  <si>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</si>
  <si>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</si>
  <si>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</si>
  <si>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</si>
  <si>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</si>
  <si>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</si>
  <si>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</si>
  <si>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</si>
  <si>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</si>
  <si>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</si>
  <si>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</si>
  <si>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</si>
  <si>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</si>
  <si>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</si>
  <si>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</si>
  <si>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</si>
  <si>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</si>
  <si>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</si>
  <si>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</si>
  <si>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</si>
  <si>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</si>
  <si>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</si>
  <si>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</si>
  <si>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</si>
  <si>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</si>
  <si>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</si>
  <si>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</si>
  <si>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</si>
  <si>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</si>
  <si>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</si>
  <si>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</si>
  <si>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</si>
  <si>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</si>
  <si>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</si>
  <si>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</si>
  <si>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</si>
  <si>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</si>
  <si>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</si>
  <si>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</si>
  <si>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</si>
  <si>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</si>
  <si>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</si>
  <si>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</si>
  <si>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</si>
  <si>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</si>
  <si>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</si>
  <si>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</si>
  <si>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</si>
  <si>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</si>
  <si>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</si>
  <si>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</si>
  <si>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large tins fruit</t>
  </si>
  <si>
    <t>too pricey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</si>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</sst>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theme="9" tint="0.39994506668294322"/>
      </left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2" fontId="2" fillId="2" borderId="24" xfId="0" applyNumberFormat="1" applyFont="1" applyFill="1" applyBorder="1"/>
    <xf numFmtId="2" fontId="2" fillId="2" borderId="25" xfId="0" applyNumberFormat="1" applyFont="1" applyFill="1" applyBorder="1"/>
    <xf numFmtId="2" fontId="2" fillId="2" borderId="26" xfId="0" applyNumberFormat="1" applyFont="1" applyFill="1" applyBorder="1"/>
    <xf numFmtId="0" fontId="2" fillId="2" borderId="0" xfId="0" applyFont="1" applyFill="1"/>
    <xf numFmtId="2" fontId="2" fillId="2" borderId="23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8" xfId="0" applyFont="1" applyFill="1" applyBorder="1"/>
    <xf numFmtId="0" fontId="3" fillId="2" borderId="29" xfId="0" applyFont="1" applyFill="1" applyBorder="1"/>
    <xf numFmtId="0" fontId="3" fillId="2" borderId="26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2" fillId="4" borderId="27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9" borderId="33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righ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20" xfId="0" applyNumberFormat="1" applyFont="1" applyFill="1" applyBorder="1"/>
    <xf numFmtId="0" fontId="2" fillId="2" borderId="0" xfId="0" applyNumberFormat="1" applyFont="1" applyFill="1" applyBorder="1"/>
    <xf numFmtId="0" fontId="2" fillId="2" borderId="25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2" fillId="2" borderId="20" xfId="0" quotePrefix="1" applyNumberFormat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7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12" fontId="7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D38" sqref="D38"/>
    </sheetView>
  </sheetViews>
  <sheetFormatPr defaultRowHeight="12.75" x14ac:dyDescent="0.2"/>
  <cols>
    <col min="1" max="1" width="11.85546875" style="77" bestFit="1" customWidth="1"/>
    <col min="2" max="3" width="8.28515625" style="31" bestFit="1" customWidth="1"/>
    <col min="4" max="4" width="8.85546875" style="31" bestFit="1" customWidth="1"/>
    <col min="5" max="5" width="8" style="31" bestFit="1" customWidth="1"/>
    <col min="6" max="6" width="8.5703125" style="31" bestFit="1" customWidth="1"/>
    <col min="7" max="7" width="8" style="31" bestFit="1" customWidth="1"/>
    <col min="8" max="8" width="7.7109375" style="31" bestFit="1" customWidth="1"/>
    <col min="9" max="9" width="5.28515625" style="31" bestFit="1" customWidth="1"/>
    <col min="10" max="10" width="9.140625" style="31"/>
    <col min="11" max="11" width="5.5703125" style="31" bestFit="1" customWidth="1"/>
    <col min="12" max="12" width="11.85546875" style="31" bestFit="1" customWidth="1"/>
    <col min="13" max="16384" width="9.140625" style="31"/>
  </cols>
  <sheetData>
    <row r="2" spans="1:12" ht="13.5" thickBot="1" x14ac:dyDescent="0.25">
      <c r="B2" s="78" t="s">
        <v>340</v>
      </c>
      <c r="C2" s="78" t="s">
        <v>341</v>
      </c>
      <c r="D2" s="78" t="s">
        <v>342</v>
      </c>
      <c r="E2" s="78" t="s">
        <v>343</v>
      </c>
      <c r="F2" s="78" t="s">
        <v>344</v>
      </c>
      <c r="G2" s="78" t="s">
        <v>345</v>
      </c>
      <c r="H2" s="78" t="s">
        <v>346</v>
      </c>
      <c r="K2" s="78" t="s">
        <v>339</v>
      </c>
    </row>
    <row r="3" spans="1:12" ht="13.5" thickBot="1" x14ac:dyDescent="0.25">
      <c r="A3" s="79" t="s">
        <v>347</v>
      </c>
      <c r="B3" s="86">
        <v>10</v>
      </c>
      <c r="C3" s="86">
        <v>10</v>
      </c>
      <c r="D3" s="86">
        <v>10</v>
      </c>
      <c r="E3" s="86">
        <v>10</v>
      </c>
      <c r="F3" s="86">
        <v>10</v>
      </c>
      <c r="G3" s="86">
        <v>10</v>
      </c>
      <c r="H3" s="86">
        <v>10</v>
      </c>
      <c r="I3" s="80" t="s">
        <v>332</v>
      </c>
      <c r="K3" s="86">
        <f t="shared" ref="K3:K8" si="0">SUM(B3:H3)</f>
        <v>70</v>
      </c>
      <c r="L3" s="80" t="s">
        <v>353</v>
      </c>
    </row>
    <row r="4" spans="1:12" ht="13.5" thickBot="1" x14ac:dyDescent="0.25">
      <c r="A4" s="79" t="s">
        <v>348</v>
      </c>
      <c r="B4" s="86">
        <v>1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8">
        <v>1</v>
      </c>
      <c r="I4" s="81" t="s">
        <v>335</v>
      </c>
      <c r="K4" s="86">
        <f t="shared" si="0"/>
        <v>7</v>
      </c>
      <c r="L4" s="80" t="s">
        <v>354</v>
      </c>
    </row>
    <row r="5" spans="1:12" ht="13.5" thickBot="1" x14ac:dyDescent="0.25">
      <c r="A5" s="79" t="s">
        <v>349</v>
      </c>
      <c r="B5" s="86">
        <v>10</v>
      </c>
      <c r="C5" s="86">
        <v>10</v>
      </c>
      <c r="D5" s="86">
        <v>10</v>
      </c>
      <c r="E5" s="86">
        <v>10</v>
      </c>
      <c r="F5" s="86">
        <v>10</v>
      </c>
      <c r="G5" s="87">
        <v>10</v>
      </c>
      <c r="H5" s="89"/>
      <c r="I5" s="81" t="s">
        <v>333</v>
      </c>
      <c r="K5" s="86">
        <f t="shared" si="0"/>
        <v>60</v>
      </c>
      <c r="L5" s="80" t="s">
        <v>355</v>
      </c>
    </row>
    <row r="6" spans="1:12" ht="13.5" thickBot="1" x14ac:dyDescent="0.25">
      <c r="A6" s="79" t="s">
        <v>350</v>
      </c>
      <c r="B6" s="86">
        <v>1</v>
      </c>
      <c r="C6" s="86">
        <v>1</v>
      </c>
      <c r="D6" s="86">
        <v>1</v>
      </c>
      <c r="E6" s="86">
        <v>1</v>
      </c>
      <c r="F6" s="86">
        <v>1</v>
      </c>
      <c r="G6" s="87">
        <v>1</v>
      </c>
      <c r="H6" s="89"/>
      <c r="I6" s="81" t="s">
        <v>336</v>
      </c>
      <c r="K6" s="86">
        <f t="shared" si="0"/>
        <v>6</v>
      </c>
      <c r="L6" s="80" t="s">
        <v>356</v>
      </c>
    </row>
    <row r="7" spans="1:12" ht="13.5" thickBot="1" x14ac:dyDescent="0.25">
      <c r="A7" s="79" t="s">
        <v>351</v>
      </c>
      <c r="B7" s="86">
        <v>10</v>
      </c>
      <c r="C7" s="86">
        <v>10</v>
      </c>
      <c r="D7" s="86">
        <v>10</v>
      </c>
      <c r="E7" s="86">
        <v>10</v>
      </c>
      <c r="F7" s="86">
        <v>10</v>
      </c>
      <c r="G7" s="87">
        <v>10</v>
      </c>
      <c r="H7" s="89"/>
      <c r="I7" s="81" t="s">
        <v>334</v>
      </c>
      <c r="K7" s="86">
        <f t="shared" si="0"/>
        <v>60</v>
      </c>
      <c r="L7" s="80" t="s">
        <v>357</v>
      </c>
    </row>
    <row r="8" spans="1:12" ht="13.5" thickBot="1" x14ac:dyDescent="0.25">
      <c r="A8" s="79" t="s">
        <v>352</v>
      </c>
      <c r="B8" s="86">
        <v>1</v>
      </c>
      <c r="C8" s="86">
        <v>1</v>
      </c>
      <c r="D8" s="86">
        <v>1</v>
      </c>
      <c r="E8" s="86">
        <v>1</v>
      </c>
      <c r="F8" s="86">
        <v>1</v>
      </c>
      <c r="G8" s="87">
        <v>1</v>
      </c>
      <c r="H8" s="89"/>
      <c r="I8" s="82" t="s">
        <v>337</v>
      </c>
      <c r="K8" s="86">
        <f t="shared" si="0"/>
        <v>6</v>
      </c>
      <c r="L8" s="80" t="s">
        <v>358</v>
      </c>
    </row>
    <row r="9" spans="1:12" ht="13.5" thickBot="1" x14ac:dyDescent="0.25">
      <c r="B9" s="83" t="s">
        <v>325</v>
      </c>
      <c r="C9" s="84" t="s">
        <v>326</v>
      </c>
      <c r="D9" s="84" t="s">
        <v>327</v>
      </c>
      <c r="E9" s="84" t="s">
        <v>328</v>
      </c>
      <c r="F9" s="84" t="s">
        <v>329</v>
      </c>
      <c r="G9" s="84" t="s">
        <v>330</v>
      </c>
      <c r="H9" s="85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14"/>
  <sheetViews>
    <sheetView tabSelected="1" topLeftCell="A24" zoomScaleNormal="100" workbookViewId="0">
      <selection activeCell="I35" sqref="I35"/>
    </sheetView>
  </sheetViews>
  <sheetFormatPr defaultRowHeight="15" x14ac:dyDescent="0.25"/>
  <cols>
    <col min="1" max="1" width="2.140625" style="40" bestFit="1" customWidth="1"/>
    <col min="2" max="2" width="10.42578125" style="40" bestFit="1" customWidth="1"/>
    <col min="3" max="3" width="4.85546875" style="39" bestFit="1" customWidth="1"/>
    <col min="4" max="4" width="78" style="40" customWidth="1"/>
    <col min="5" max="5" width="14.140625" style="44" bestFit="1" customWidth="1"/>
    <col min="6" max="6" width="4.85546875" style="44" bestFit="1" customWidth="1"/>
    <col min="7" max="7" width="14.7109375" style="44" bestFit="1" customWidth="1"/>
    <col min="8" max="8" width="2.7109375" style="44" customWidth="1"/>
    <col min="9" max="9" width="5.7109375" style="45" bestFit="1" customWidth="1"/>
    <col min="10" max="10" width="4.42578125" style="44" bestFit="1" customWidth="1"/>
    <col min="11" max="11" width="28.5703125" style="44" bestFit="1" customWidth="1"/>
    <col min="12" max="12" width="4.42578125" style="46" bestFit="1" customWidth="1"/>
    <col min="13" max="13" width="5.7109375" style="47" bestFit="1" customWidth="1"/>
    <col min="14" max="14" width="4.42578125" style="47" bestFit="1" customWidth="1"/>
    <col min="15" max="16" width="4" style="47" bestFit="1" customWidth="1"/>
    <col min="17" max="17" width="5.7109375" style="47" bestFit="1" customWidth="1"/>
    <col min="18" max="19" width="4.28515625" style="47" bestFit="1" customWidth="1"/>
    <col min="20" max="20" width="4.85546875" style="47" bestFit="1" customWidth="1"/>
    <col min="21" max="21" width="28.140625" style="44" customWidth="1"/>
    <col min="22" max="22" width="5.28515625" style="44" bestFit="1" customWidth="1"/>
    <col min="23" max="23" width="6.42578125" style="48" bestFit="1" customWidth="1"/>
    <col min="24" max="24" width="4.42578125" style="44" bestFit="1" customWidth="1"/>
    <col min="25" max="25" width="28.5703125" style="44" bestFit="1" customWidth="1"/>
    <col min="26" max="26" width="33.85546875" style="49" customWidth="1"/>
    <col min="27" max="27" width="5.28515625" style="44" bestFit="1" customWidth="1"/>
    <col min="28" max="29" width="4.42578125" style="44" bestFit="1" customWidth="1"/>
    <col min="30" max="30" width="9.140625" style="44" bestFit="1" customWidth="1"/>
    <col min="31" max="16384" width="9.140625" style="44"/>
  </cols>
  <sheetData>
    <row r="1" spans="1:30" s="106" customFormat="1" ht="15.75" x14ac:dyDescent="0.25">
      <c r="A1" s="110" t="s">
        <v>445</v>
      </c>
      <c r="B1" s="110"/>
      <c r="C1" s="110"/>
      <c r="D1" s="110"/>
      <c r="E1" s="43" t="s">
        <v>425</v>
      </c>
      <c r="F1" s="104" t="s">
        <v>426</v>
      </c>
      <c r="G1" s="104"/>
      <c r="I1" s="45"/>
      <c r="L1" s="46"/>
      <c r="M1" s="47"/>
      <c r="N1" s="47"/>
      <c r="O1" s="47"/>
      <c r="P1" s="47"/>
      <c r="Q1" s="47"/>
      <c r="R1" s="47"/>
      <c r="S1" s="47"/>
      <c r="T1" s="47"/>
      <c r="W1" s="48"/>
      <c r="Z1" s="49"/>
    </row>
    <row r="2" spans="1:30" s="106" customFormat="1" ht="24" x14ac:dyDescent="0.2">
      <c r="A2" s="110" t="s">
        <v>446</v>
      </c>
      <c r="B2" s="110"/>
      <c r="C2" s="110"/>
      <c r="D2" s="110"/>
      <c r="E2" s="104" t="s">
        <v>56</v>
      </c>
      <c r="F2" s="90">
        <v>10</v>
      </c>
      <c r="G2" s="47"/>
      <c r="I2" s="70" t="s">
        <v>448</v>
      </c>
      <c r="J2" s="71" t="s">
        <v>449</v>
      </c>
      <c r="K2" s="71" t="s">
        <v>17</v>
      </c>
      <c r="L2" s="72" t="s">
        <v>452</v>
      </c>
      <c r="M2" s="70" t="s">
        <v>148</v>
      </c>
      <c r="N2" s="70" t="s">
        <v>149</v>
      </c>
      <c r="O2" s="70" t="s">
        <v>450</v>
      </c>
      <c r="P2" s="70" t="s">
        <v>451</v>
      </c>
      <c r="Q2" s="71" t="s">
        <v>364</v>
      </c>
      <c r="R2" s="70" t="s">
        <v>365</v>
      </c>
      <c r="S2" s="70" t="s">
        <v>366</v>
      </c>
      <c r="T2" s="70" t="s">
        <v>367</v>
      </c>
      <c r="U2" s="71" t="s">
        <v>22</v>
      </c>
      <c r="V2" s="71" t="s">
        <v>212</v>
      </c>
      <c r="W2" s="73" t="s">
        <v>364</v>
      </c>
      <c r="X2" s="71" t="s">
        <v>210</v>
      </c>
      <c r="Y2" s="71" t="s">
        <v>211</v>
      </c>
      <c r="Z2" s="71" t="s">
        <v>313</v>
      </c>
      <c r="AA2" s="71" t="s">
        <v>213</v>
      </c>
      <c r="AB2" s="73" t="s">
        <v>364</v>
      </c>
      <c r="AC2" s="71" t="s">
        <v>214</v>
      </c>
      <c r="AD2" s="71" t="s">
        <v>215</v>
      </c>
    </row>
    <row r="3" spans="1:30" s="106" customFormat="1" ht="15.75" thickBot="1" x14ac:dyDescent="0.3">
      <c r="A3" s="111"/>
      <c r="B3" s="111"/>
      <c r="C3" s="111"/>
      <c r="D3" s="111"/>
      <c r="E3" s="104" t="s">
        <v>359</v>
      </c>
      <c r="F3" s="90">
        <v>10</v>
      </c>
      <c r="G3" s="47"/>
      <c r="I3" s="45"/>
      <c r="L3" s="46"/>
      <c r="M3" s="47"/>
      <c r="N3" s="47"/>
      <c r="O3" s="47"/>
      <c r="P3" s="47"/>
      <c r="Q3" s="47"/>
      <c r="R3" s="47"/>
      <c r="S3" s="47"/>
      <c r="T3" s="47"/>
      <c r="W3" s="48"/>
      <c r="Z3" s="49"/>
    </row>
    <row r="4" spans="1:30" s="106" customFormat="1" ht="15.75" thickBot="1" x14ac:dyDescent="0.3">
      <c r="A4" s="111" t="s">
        <v>429</v>
      </c>
      <c r="B4" s="111"/>
      <c r="C4" s="111"/>
      <c r="D4" s="111"/>
      <c r="E4" s="104" t="s">
        <v>362</v>
      </c>
      <c r="F4" s="50">
        <f>F3/F2</f>
        <v>1</v>
      </c>
      <c r="G4" s="51" t="s">
        <v>427</v>
      </c>
      <c r="I4" s="45"/>
      <c r="L4" s="46"/>
      <c r="M4" s="47"/>
      <c r="N4" s="47"/>
      <c r="O4" s="47"/>
      <c r="P4" s="47"/>
      <c r="Q4" s="47"/>
      <c r="R4" s="47"/>
      <c r="S4" s="47"/>
      <c r="T4" s="47"/>
      <c r="W4" s="48"/>
      <c r="Z4" s="49"/>
    </row>
    <row r="5" spans="1:30" s="106" customFormat="1" ht="15.75" thickBot="1" x14ac:dyDescent="0.3">
      <c r="A5" s="103" t="s">
        <v>21</v>
      </c>
      <c r="B5" s="52">
        <f t="shared" ref="B5" si="0">Q5</f>
        <v>0.25</v>
      </c>
      <c r="C5" s="39" t="str">
        <f t="shared" ref="C5" si="1">IF(L5="","",L5)</f>
        <v/>
      </c>
      <c r="D5" s="103" t="str">
        <f t="shared" ref="D5" si="2">_xlfn.CONCAT(K5, U5)</f>
        <v>large tins fruit</v>
      </c>
      <c r="E5" s="104" t="s">
        <v>338</v>
      </c>
      <c r="F5" s="106">
        <f>totalBrCount + totalSbrCount</f>
        <v>77</v>
      </c>
      <c r="I5" s="54">
        <v>0.25</v>
      </c>
      <c r="J5" s="55"/>
      <c r="K5" s="55" t="s">
        <v>430</v>
      </c>
      <c r="L5" s="56"/>
      <c r="M5" s="47">
        <f t="shared" ref="M5" si="3">INDEX(itemGPerQty, MATCH(K5, itemNames, 0))</f>
        <v>0</v>
      </c>
      <c r="N5" s="47">
        <f t="shared" ref="N5" si="4">INDEX(itemMlPerQty, MATCH(K5, itemNames, 0))</f>
        <v>0</v>
      </c>
      <c r="O5" s="47">
        <f t="shared" ref="O5" si="5">IF(J5 = "", I5 * M5, IF(ISNA(CONVERT(I5, J5, "kg")), CONVERT(I5, J5, "l") * IF(N5 &lt;&gt; 0, M5 / N5, 0), CONVERT(I5, J5, "kg")))</f>
        <v>0</v>
      </c>
      <c r="P5" s="47">
        <f t="shared" ref="P5" si="6">IF(J5 = "", I5 * N5, IF(ISNA(CONVERT(I5, J5, "l")), CONVERT(I5, J5, "kg") * IF(M5 &lt;&gt; 0, N5 / M5, 0), CONVERT(I5, J5, "l")))</f>
        <v>0</v>
      </c>
      <c r="Q5" s="47">
        <f>MROUND(IF(AND(J5 = "", L5 = ""), I5 * recipe15DayScale, IF(ISNA(CONVERT(O5, "kg", L5)), CONVERT(P5 * recipe15DayScale, "l", L5), CONVERT(O5 * recipe15DayScale, "kg", L5))), roundTo)</f>
        <v>0.25</v>
      </c>
      <c r="R5" s="47">
        <f>recipe15TotScale * IF(L5 = "", Q5 * M5, IF(ISNA(CONVERT(Q5, L5, "kg")), CONVERT(Q5, L5, "l") * IF(N5 &lt;&gt; 0, M5 / N5, 0), CONVERT(Q5, L5, "kg")))</f>
        <v>0</v>
      </c>
      <c r="S5" s="47">
        <f>recipe15TotScale * IF(R5 = 0, IF(L5 = "", Q5 * N5, IF(ISNA(CONVERT(Q5, L5, "l")), CONVERT(Q5, L5, "kg") * IF(M5 &lt;&gt; 0, N5 / M5, 0), CONVERT(Q5, L5, "l"))), 0)</f>
        <v>0</v>
      </c>
      <c r="T5" s="47">
        <f>recipe15TotScale * IF(AND(R5 = 0, S5 = 0, J5 = "", L5 = ""), Q5, 0)</f>
        <v>1.925</v>
      </c>
      <c r="V5" s="106" t="b">
        <f t="shared" ref="V5" si="7">INDEX(itemPrepMethods, MATCH(K5, itemNames, 0))="chop"</f>
        <v>0</v>
      </c>
      <c r="W5" s="57" t="str">
        <f t="shared" ref="W5" si="8">IF(V5, Q5, "")</f>
        <v/>
      </c>
      <c r="X5" s="58" t="str">
        <f t="shared" ref="X5" si="9">IF(V5, IF(L5 = "", "", L5), "")</f>
        <v/>
      </c>
      <c r="Y5" s="58" t="str">
        <f t="shared" ref="Y5" si="10">IF(V5, K5, "")</f>
        <v/>
      </c>
      <c r="Z5" s="59"/>
      <c r="AA5" s="106" t="b">
        <f t="shared" ref="AA5" si="11">INDEX(itemPrepMethods, MATCH(K5, itemNames, 0))="soak"</f>
        <v>0</v>
      </c>
      <c r="AB5" s="58" t="str">
        <f t="shared" ref="AB5" si="12">IF(AA5, Q5, "")</f>
        <v/>
      </c>
      <c r="AC5" s="58" t="str">
        <f t="shared" ref="AC5" si="13">IF(AA5, IF(L5 = "", "", L5), "")</f>
        <v/>
      </c>
      <c r="AD5" s="58" t="str">
        <f t="shared" ref="AD5" si="14">IF(AA5, K5, "")</f>
        <v/>
      </c>
    </row>
    <row r="6" spans="1:30" s="106" customFormat="1" ht="15.75" thickBot="1" x14ac:dyDescent="0.3">
      <c r="A6" s="103" t="s">
        <v>21</v>
      </c>
      <c r="B6" s="52">
        <f t="shared" ref="B6:B7" si="15">Q6</f>
        <v>2</v>
      </c>
      <c r="C6" s="39" t="str">
        <f t="shared" ref="C6:C7" si="16">IF(L6="","",L6)</f>
        <v/>
      </c>
      <c r="D6" s="103" t="str">
        <f t="shared" ref="D6:D7" si="17">_xlfn.CONCAT(K6, U6)</f>
        <v>chopped apples</v>
      </c>
      <c r="E6" s="104" t="s">
        <v>363</v>
      </c>
      <c r="F6" s="50">
        <f>F5/F3</f>
        <v>7.7</v>
      </c>
      <c r="G6" s="51" t="s">
        <v>428</v>
      </c>
      <c r="I6" s="54">
        <v>2</v>
      </c>
      <c r="J6" s="55"/>
      <c r="K6" s="55" t="s">
        <v>436</v>
      </c>
      <c r="L6" s="56"/>
      <c r="M6" s="47">
        <f t="shared" ref="M6:M7" si="18">INDEX(itemGPerQty, MATCH(K6, itemNames, 0))</f>
        <v>0</v>
      </c>
      <c r="N6" s="47">
        <f t="shared" ref="N6:N7" si="19">INDEX(itemMlPerQty, MATCH(K6, itemNames, 0))</f>
        <v>0</v>
      </c>
      <c r="O6" s="47">
        <f t="shared" ref="O6:O7" si="20">IF(J6 = "", I6 * M6, IF(ISNA(CONVERT(I6, J6, "kg")), CONVERT(I6, J6, "l") * IF(N6 &lt;&gt; 0, M6 / N6, 0), CONVERT(I6, J6, "kg")))</f>
        <v>0</v>
      </c>
      <c r="P6" s="47">
        <f t="shared" ref="P6:P7" si="21">IF(J6 = "", I6 * N6, IF(ISNA(CONVERT(I6, J6, "l")), CONVERT(I6, J6, "kg") * IF(M6 &lt;&gt; 0, N6 / M6, 0), CONVERT(I6, J6, "l")))</f>
        <v>0</v>
      </c>
      <c r="Q6" s="47">
        <f>MROUND(IF(AND(J6 = "", L6 = ""), I6 * recipe15DayScale, IF(ISNA(CONVERT(O6, "kg", L6)), CONVERT(P6 * recipe15DayScale, "l", L6), CONVERT(O6 * recipe15DayScale, "kg", L6))), roundTo)</f>
        <v>2</v>
      </c>
      <c r="R6" s="47">
        <f>recipe15TotScale * IF(L6 = "", Q6 * M6, IF(ISNA(CONVERT(Q6, L6, "kg")), CONVERT(Q6, L6, "l") * IF(N6 &lt;&gt; 0, M6 / N6, 0), CONVERT(Q6, L6, "kg")))</f>
        <v>0</v>
      </c>
      <c r="S6" s="47">
        <f>recipe15TotScale * IF(R6 = 0, IF(L6 = "", Q6 * N6, IF(ISNA(CONVERT(Q6, L6, "l")), CONVERT(Q6, L6, "kg") * IF(M6 &lt;&gt; 0, N6 / M6, 0), CONVERT(Q6, L6, "l"))), 0)</f>
        <v>0</v>
      </c>
      <c r="T6" s="47">
        <f>recipe15TotScale * IF(AND(R6 = 0, S6 = 0, J6 = "", L6 = ""), Q6, 0)</f>
        <v>15.4</v>
      </c>
      <c r="V6" s="106" t="b">
        <f t="shared" ref="V6:V7" si="22">INDEX(itemPrepMethods, MATCH(K6, itemNames, 0))="chop"</f>
        <v>1</v>
      </c>
      <c r="W6" s="57">
        <f t="shared" ref="W6:W7" si="23">IF(V6, Q6, "")</f>
        <v>2</v>
      </c>
      <c r="X6" s="58" t="str">
        <f t="shared" ref="X6:X7" si="24">IF(V6, IF(L6 = "", "", L6), "")</f>
        <v/>
      </c>
      <c r="Y6" s="58" t="str">
        <f t="shared" ref="Y6:Y7" si="25">IF(V6, K6, "")</f>
        <v>chopped apples</v>
      </c>
      <c r="Z6" s="59"/>
      <c r="AA6" s="106" t="b">
        <f t="shared" ref="AA6:AA7" si="26">INDEX(itemPrepMethods, MATCH(K6, itemNames, 0))="soak"</f>
        <v>0</v>
      </c>
      <c r="AB6" s="58" t="str">
        <f t="shared" ref="AB6:AB7" si="27">IF(AA6, Q6, "")</f>
        <v/>
      </c>
      <c r="AC6" s="58" t="str">
        <f t="shared" ref="AC6:AC7" si="28">IF(AA6, IF(L6 = "", "", L6), "")</f>
        <v/>
      </c>
      <c r="AD6" s="58" t="str">
        <f t="shared" ref="AD6:AD7" si="29">IF(AA6, K6, "")</f>
        <v/>
      </c>
    </row>
    <row r="7" spans="1:30" s="106" customFormat="1" x14ac:dyDescent="0.25">
      <c r="A7" s="103" t="s">
        <v>21</v>
      </c>
      <c r="B7" s="52">
        <f t="shared" si="15"/>
        <v>2</v>
      </c>
      <c r="C7" s="39" t="str">
        <f t="shared" si="16"/>
        <v/>
      </c>
      <c r="D7" s="103" t="str">
        <f t="shared" si="17"/>
        <v>sliced bananas</v>
      </c>
      <c r="I7" s="54">
        <v>2</v>
      </c>
      <c r="J7" s="55"/>
      <c r="K7" s="55" t="s">
        <v>437</v>
      </c>
      <c r="L7" s="56"/>
      <c r="M7" s="47">
        <f t="shared" si="18"/>
        <v>0</v>
      </c>
      <c r="N7" s="47">
        <f t="shared" si="19"/>
        <v>0</v>
      </c>
      <c r="O7" s="47">
        <f t="shared" si="20"/>
        <v>0</v>
      </c>
      <c r="P7" s="47">
        <f t="shared" si="21"/>
        <v>0</v>
      </c>
      <c r="Q7" s="47">
        <f>MROUND(IF(AND(J7 = "", L7 = ""), I7 * recipe15DayScale, IF(ISNA(CONVERT(O7, "kg", L7)), CONVERT(P7 * recipe15DayScale, "l", L7), CONVERT(O7 * recipe15DayScale, "kg", L7))), roundTo)</f>
        <v>2</v>
      </c>
      <c r="R7" s="47">
        <f>recipe15TotScale * IF(L7 = "", Q7 * M7, IF(ISNA(CONVERT(Q7, L7, "kg")), CONVERT(Q7, L7, "l") * IF(N7 &lt;&gt; 0, M7 / N7, 0), CONVERT(Q7, L7, "kg")))</f>
        <v>0</v>
      </c>
      <c r="S7" s="47">
        <f>recipe15TotScale * IF(R7 = 0, IF(L7 = "", Q7 * N7, IF(ISNA(CONVERT(Q7, L7, "l")), CONVERT(Q7, L7, "kg") * IF(M7 &lt;&gt; 0, N7 / M7, 0), CONVERT(Q7, L7, "l"))), 0)</f>
        <v>0</v>
      </c>
      <c r="T7" s="47">
        <f>recipe15TotScale * IF(AND(R7 = 0, S7 = 0, J7 = "", L7 = ""), Q7, 0)</f>
        <v>15.4</v>
      </c>
      <c r="V7" s="106" t="b">
        <f t="shared" si="22"/>
        <v>1</v>
      </c>
      <c r="W7" s="57">
        <f t="shared" si="23"/>
        <v>2</v>
      </c>
      <c r="X7" s="58" t="str">
        <f t="shared" si="24"/>
        <v/>
      </c>
      <c r="Y7" s="58" t="str">
        <f t="shared" si="25"/>
        <v>sliced bananas</v>
      </c>
      <c r="Z7" s="59"/>
      <c r="AA7" s="106" t="b">
        <f t="shared" si="26"/>
        <v>0</v>
      </c>
      <c r="AB7" s="58" t="str">
        <f t="shared" si="27"/>
        <v/>
      </c>
      <c r="AC7" s="58" t="str">
        <f t="shared" si="28"/>
        <v/>
      </c>
      <c r="AD7" s="58" t="str">
        <f t="shared" si="29"/>
        <v/>
      </c>
    </row>
    <row r="8" spans="1:30" s="106" customFormat="1" x14ac:dyDescent="0.25">
      <c r="A8" s="103" t="s">
        <v>21</v>
      </c>
      <c r="B8" s="52">
        <f t="shared" ref="B8:B9" si="30">Q8</f>
        <v>2</v>
      </c>
      <c r="C8" s="39" t="str">
        <f t="shared" ref="C8:C10" si="31">IF(L8="","",L8)</f>
        <v/>
      </c>
      <c r="D8" s="103" t="str">
        <f t="shared" ref="D8:D10" si="32">_xlfn.CONCAT(K8, U8)</f>
        <v>chopped pears</v>
      </c>
      <c r="I8" s="54">
        <v>2</v>
      </c>
      <c r="J8" s="55"/>
      <c r="K8" s="55" t="s">
        <v>438</v>
      </c>
      <c r="L8" s="56"/>
      <c r="M8" s="47">
        <f t="shared" ref="M8:M9" si="33">INDEX(itemGPerQty, MATCH(K8, itemNames, 0))</f>
        <v>0</v>
      </c>
      <c r="N8" s="47">
        <f t="shared" ref="N8:N9" si="34">INDEX(itemMlPerQty, MATCH(K8, itemNames, 0))</f>
        <v>0</v>
      </c>
      <c r="O8" s="47">
        <f t="shared" ref="O8:O9" si="35">IF(J8 = "", I8 * M8, IF(ISNA(CONVERT(I8, J8, "kg")), CONVERT(I8, J8, "l") * IF(N8 &lt;&gt; 0, M8 / N8, 0), CONVERT(I8, J8, "kg")))</f>
        <v>0</v>
      </c>
      <c r="P8" s="47">
        <f t="shared" ref="P8:P9" si="36">IF(J8 = "", I8 * N8, IF(ISNA(CONVERT(I8, J8, "l")), CONVERT(I8, J8, "kg") * IF(M8 &lt;&gt; 0, N8 / M8, 0), CONVERT(I8, J8, "l")))</f>
        <v>0</v>
      </c>
      <c r="Q8" s="47">
        <f>MROUND(IF(AND(J8 = "", L8 = ""), I8 * recipe15DayScale, IF(ISNA(CONVERT(O8, "kg", L8)), CONVERT(P8 * recipe15DayScale, "l", L8), CONVERT(O8 * recipe15DayScale, "kg", L8))), roundTo)</f>
        <v>2</v>
      </c>
      <c r="R8" s="47">
        <f>recipe15TotScale * IF(L8 = "", Q8 * M8, IF(ISNA(CONVERT(Q8, L8, "kg")), CONVERT(Q8, L8, "l") * IF(N8 &lt;&gt; 0, M8 / N8, 0), CONVERT(Q8, L8, "kg")))</f>
        <v>0</v>
      </c>
      <c r="S8" s="47">
        <f>recipe15TotScale * IF(R8 = 0, IF(L8 = "", Q8 * N8, IF(ISNA(CONVERT(Q8, L8, "l")), CONVERT(Q8, L8, "kg") * IF(M8 &lt;&gt; 0, N8 / M8, 0), CONVERT(Q8, L8, "l"))), 0)</f>
        <v>0</v>
      </c>
      <c r="T8" s="47">
        <f>recipe15TotScale * IF(AND(R8 = 0, S8 = 0, J8 = "", L8 = ""), Q8, 0)</f>
        <v>15.4</v>
      </c>
      <c r="V8" s="106" t="b">
        <f t="shared" ref="V8:V10" si="37">INDEX(itemPrepMethods, MATCH(K8, itemNames, 0))="chop"</f>
        <v>1</v>
      </c>
      <c r="W8" s="57">
        <f t="shared" ref="W8:W10" si="38">IF(V8, Q8, "")</f>
        <v>2</v>
      </c>
      <c r="X8" s="58" t="str">
        <f t="shared" ref="X8:X10" si="39">IF(V8, IF(L8 = "", "", L8), "")</f>
        <v/>
      </c>
      <c r="Y8" s="58" t="str">
        <f t="shared" ref="Y8:Y10" si="40">IF(V8, K8, "")</f>
        <v>chopped pears</v>
      </c>
      <c r="Z8" s="59"/>
      <c r="AA8" s="106" t="b">
        <f t="shared" ref="AA8:AA10" si="41">INDEX(itemPrepMethods, MATCH(K8, itemNames, 0))="soak"</f>
        <v>0</v>
      </c>
      <c r="AB8" s="58" t="str">
        <f t="shared" ref="AB8:AB10" si="42">IF(AA8, Q8, "")</f>
        <v/>
      </c>
      <c r="AC8" s="58" t="str">
        <f t="shared" ref="AC8:AC10" si="43">IF(AA8, IF(L8 = "", "", L8), "")</f>
        <v/>
      </c>
      <c r="AD8" s="58" t="str">
        <f t="shared" ref="AD8:AD10" si="44">IF(AA8, K8, "")</f>
        <v/>
      </c>
    </row>
    <row r="9" spans="1:30" s="106" customFormat="1" x14ac:dyDescent="0.25">
      <c r="A9" s="103" t="s">
        <v>21</v>
      </c>
      <c r="B9" s="52">
        <f t="shared" si="30"/>
        <v>2</v>
      </c>
      <c r="C9" s="39" t="str">
        <f t="shared" si="31"/>
        <v/>
      </c>
      <c r="D9" s="103" t="str">
        <f t="shared" si="32"/>
        <v>chopped peeled oranges</v>
      </c>
      <c r="I9" s="54">
        <v>2</v>
      </c>
      <c r="J9" s="55"/>
      <c r="K9" s="55" t="s">
        <v>439</v>
      </c>
      <c r="L9" s="56"/>
      <c r="M9" s="47">
        <f t="shared" si="33"/>
        <v>0</v>
      </c>
      <c r="N9" s="47">
        <f t="shared" si="34"/>
        <v>0</v>
      </c>
      <c r="O9" s="47">
        <f t="shared" si="35"/>
        <v>0</v>
      </c>
      <c r="P9" s="47">
        <f t="shared" si="36"/>
        <v>0</v>
      </c>
      <c r="Q9" s="47">
        <f>MROUND(IF(AND(J9 = "", L9 = ""), I9 * recipe15DayScale, IF(ISNA(CONVERT(O9, "kg", L9)), CONVERT(P9 * recipe15DayScale, "l", L9), CONVERT(O9 * recipe15DayScale, "kg", L9))), roundTo)</f>
        <v>2</v>
      </c>
      <c r="R9" s="47">
        <f>recipe15TotScale * IF(L9 = "", Q9 * M9, IF(ISNA(CONVERT(Q9, L9, "kg")), CONVERT(Q9, L9, "l") * IF(N9 &lt;&gt; 0, M9 / N9, 0), CONVERT(Q9, L9, "kg")))</f>
        <v>0</v>
      </c>
      <c r="S9" s="47">
        <f>recipe15TotScale * IF(R9 = 0, IF(L9 = "", Q9 * N9, IF(ISNA(CONVERT(Q9, L9, "l")), CONVERT(Q9, L9, "kg") * IF(M9 &lt;&gt; 0, N9 / M9, 0), CONVERT(Q9, L9, "l"))), 0)</f>
        <v>0</v>
      </c>
      <c r="T9" s="47">
        <f>recipe15TotScale * IF(AND(R9 = 0, S9 = 0, J9 = "", L9 = ""), Q9, 0)</f>
        <v>15.4</v>
      </c>
      <c r="V9" s="106" t="b">
        <f t="shared" si="37"/>
        <v>1</v>
      </c>
      <c r="W9" s="57">
        <f t="shared" si="38"/>
        <v>2</v>
      </c>
      <c r="X9" s="58" t="str">
        <f t="shared" si="39"/>
        <v/>
      </c>
      <c r="Y9" s="58" t="str">
        <f t="shared" si="40"/>
        <v>chopped peeled oranges</v>
      </c>
      <c r="Z9" s="59"/>
      <c r="AA9" s="106" t="b">
        <f t="shared" si="41"/>
        <v>0</v>
      </c>
      <c r="AB9" s="58" t="str">
        <f t="shared" si="42"/>
        <v/>
      </c>
      <c r="AC9" s="58" t="str">
        <f t="shared" si="43"/>
        <v/>
      </c>
      <c r="AD9" s="58" t="str">
        <f t="shared" si="44"/>
        <v/>
      </c>
    </row>
    <row r="10" spans="1:30" s="106" customFormat="1" x14ac:dyDescent="0.25">
      <c r="A10" s="103" t="s">
        <v>21</v>
      </c>
      <c r="B10" s="52"/>
      <c r="C10" s="39" t="str">
        <f t="shared" si="31"/>
        <v/>
      </c>
      <c r="D10" s="103" t="str">
        <f t="shared" si="32"/>
        <v>grapes, if available</v>
      </c>
      <c r="K10" s="55" t="s">
        <v>441</v>
      </c>
      <c r="R10" s="47"/>
      <c r="S10" s="47"/>
      <c r="U10" s="106" t="s">
        <v>238</v>
      </c>
      <c r="V10" s="106" t="b">
        <f t="shared" si="37"/>
        <v>0</v>
      </c>
      <c r="W10" s="57" t="str">
        <f t="shared" si="38"/>
        <v/>
      </c>
      <c r="X10" s="58" t="str">
        <f t="shared" si="39"/>
        <v/>
      </c>
      <c r="Y10" s="58" t="str">
        <f t="shared" si="40"/>
        <v/>
      </c>
      <c r="Z10" s="59"/>
      <c r="AA10" s="106" t="b">
        <f t="shared" si="41"/>
        <v>0</v>
      </c>
      <c r="AB10" s="58" t="str">
        <f t="shared" si="42"/>
        <v/>
      </c>
      <c r="AC10" s="58" t="str">
        <f t="shared" si="43"/>
        <v/>
      </c>
      <c r="AD10" s="58" t="str">
        <f t="shared" si="44"/>
        <v/>
      </c>
    </row>
    <row r="11" spans="1:30" s="106" customFormat="1" x14ac:dyDescent="0.25">
      <c r="A11" s="111"/>
      <c r="B11" s="111"/>
      <c r="C11" s="111"/>
      <c r="D11" s="111"/>
      <c r="I11" s="45"/>
      <c r="L11" s="46"/>
      <c r="M11" s="47"/>
      <c r="N11" s="47"/>
      <c r="O11" s="47"/>
      <c r="P11" s="47"/>
      <c r="Q11" s="47"/>
      <c r="R11" s="47"/>
      <c r="S11" s="47"/>
      <c r="T11" s="47"/>
      <c r="W11" s="48"/>
      <c r="Z11" s="49"/>
    </row>
    <row r="12" spans="1:30" s="106" customFormat="1" x14ac:dyDescent="0.25">
      <c r="A12" s="111" t="s">
        <v>442</v>
      </c>
      <c r="B12" s="111"/>
      <c r="C12" s="111"/>
      <c r="D12" s="111"/>
      <c r="I12" s="45"/>
      <c r="L12" s="46"/>
      <c r="M12" s="47"/>
      <c r="N12" s="47"/>
      <c r="O12" s="47"/>
      <c r="P12" s="47"/>
      <c r="Q12" s="47"/>
      <c r="R12" s="47"/>
      <c r="S12" s="47"/>
      <c r="T12" s="47"/>
      <c r="W12" s="48"/>
      <c r="Z12" s="49"/>
    </row>
    <row r="13" spans="1:30" s="67" customFormat="1" ht="15.75" x14ac:dyDescent="0.25">
      <c r="A13" s="110" t="s">
        <v>443</v>
      </c>
      <c r="B13" s="110"/>
      <c r="C13" s="110"/>
      <c r="D13" s="110"/>
      <c r="E13" s="43" t="s">
        <v>314</v>
      </c>
      <c r="F13" s="104" t="s">
        <v>454</v>
      </c>
      <c r="G13" s="104"/>
      <c r="I13" s="45"/>
      <c r="L13" s="46"/>
      <c r="M13" s="47"/>
      <c r="N13" s="47"/>
      <c r="O13" s="47"/>
      <c r="P13" s="47"/>
      <c r="Q13" s="47"/>
      <c r="R13" s="47"/>
      <c r="S13" s="47"/>
      <c r="T13" s="47"/>
      <c r="W13" s="48"/>
      <c r="Z13" s="49"/>
    </row>
    <row r="14" spans="1:30" s="67" customFormat="1" ht="24" x14ac:dyDescent="0.2">
      <c r="A14" s="110" t="s">
        <v>444</v>
      </c>
      <c r="B14" s="110"/>
      <c r="C14" s="110"/>
      <c r="D14" s="110"/>
      <c r="E14" s="66" t="s">
        <v>56</v>
      </c>
      <c r="F14" s="90">
        <v>10</v>
      </c>
      <c r="G14" s="47"/>
      <c r="I14" s="70" t="s">
        <v>448</v>
      </c>
      <c r="J14" s="71" t="s">
        <v>449</v>
      </c>
      <c r="K14" s="71" t="s">
        <v>17</v>
      </c>
      <c r="L14" s="72" t="s">
        <v>452</v>
      </c>
      <c r="M14" s="70" t="s">
        <v>148</v>
      </c>
      <c r="N14" s="70" t="s">
        <v>149</v>
      </c>
      <c r="O14" s="70" t="s">
        <v>450</v>
      </c>
      <c r="P14" s="70" t="s">
        <v>451</v>
      </c>
      <c r="Q14" s="71" t="s">
        <v>364</v>
      </c>
      <c r="R14" s="70" t="s">
        <v>365</v>
      </c>
      <c r="S14" s="70" t="s">
        <v>366</v>
      </c>
      <c r="T14" s="70" t="s">
        <v>367</v>
      </c>
      <c r="U14" s="71" t="s">
        <v>22</v>
      </c>
      <c r="V14" s="71" t="s">
        <v>212</v>
      </c>
      <c r="W14" s="73" t="s">
        <v>364</v>
      </c>
      <c r="X14" s="71" t="s">
        <v>210</v>
      </c>
      <c r="Y14" s="71" t="s">
        <v>211</v>
      </c>
      <c r="Z14" s="71" t="s">
        <v>313</v>
      </c>
      <c r="AA14" s="71" t="s">
        <v>213</v>
      </c>
      <c r="AB14" s="73" t="s">
        <v>364</v>
      </c>
      <c r="AC14" s="71" t="s">
        <v>214</v>
      </c>
      <c r="AD14" s="71" t="s">
        <v>215</v>
      </c>
    </row>
    <row r="15" spans="1:30" s="67" customFormat="1" ht="15.75" thickBot="1" x14ac:dyDescent="0.3">
      <c r="A15" s="111"/>
      <c r="B15" s="111"/>
      <c r="C15" s="111"/>
      <c r="D15" s="111"/>
      <c r="E15" s="66" t="s">
        <v>359</v>
      </c>
      <c r="F15" s="90">
        <v>10</v>
      </c>
      <c r="G15" s="47"/>
      <c r="I15" s="47"/>
      <c r="L15" s="46"/>
      <c r="M15" s="47"/>
      <c r="N15" s="47"/>
      <c r="O15" s="47"/>
      <c r="P15" s="47"/>
      <c r="Q15" s="47"/>
      <c r="R15" s="47"/>
      <c r="S15" s="47"/>
      <c r="T15" s="47"/>
      <c r="W15" s="48"/>
      <c r="Z15" s="49"/>
    </row>
    <row r="16" spans="1:30" s="67" customFormat="1" ht="15.75" thickBot="1" x14ac:dyDescent="0.3">
      <c r="A16" s="111" t="s">
        <v>323</v>
      </c>
      <c r="B16" s="111"/>
      <c r="C16" s="111"/>
      <c r="D16" s="111"/>
      <c r="E16" s="66" t="s">
        <v>362</v>
      </c>
      <c r="F16" s="50">
        <f>F15/F14</f>
        <v>1</v>
      </c>
      <c r="G16" s="51" t="s">
        <v>360</v>
      </c>
      <c r="I16" s="47"/>
      <c r="L16" s="46"/>
      <c r="M16" s="47"/>
      <c r="N16" s="47"/>
      <c r="O16" s="47"/>
      <c r="P16" s="47"/>
      <c r="Q16" s="47"/>
      <c r="R16" s="47"/>
      <c r="S16" s="47"/>
      <c r="T16" s="47"/>
      <c r="W16" s="48"/>
      <c r="Z16" s="49"/>
    </row>
    <row r="17" spans="1:30" s="67" customFormat="1" ht="15.75" thickBot="1" x14ac:dyDescent="0.3">
      <c r="A17" s="65" t="s">
        <v>21</v>
      </c>
      <c r="B17" s="52">
        <f t="shared" ref="B17:B21" si="45">Q17</f>
        <v>0.5</v>
      </c>
      <c r="C17" s="39" t="str">
        <f t="shared" ref="C17:C24" si="46">IF(L17="","",L17)</f>
        <v/>
      </c>
      <c r="D17" s="65" t="str">
        <f t="shared" ref="D17:D24" si="47">_xlfn.CONCAT(K17, U17)</f>
        <v>sliced cucumbers</v>
      </c>
      <c r="E17" s="66" t="s">
        <v>338</v>
      </c>
      <c r="F17" s="67">
        <f>totalLuCount + totalSluCount</f>
        <v>66</v>
      </c>
      <c r="H17" s="53"/>
      <c r="I17" s="54">
        <v>0.5</v>
      </c>
      <c r="J17" s="55"/>
      <c r="K17" s="55" t="s">
        <v>317</v>
      </c>
      <c r="L17" s="56"/>
      <c r="M17" s="47">
        <f t="shared" ref="M17:M21" si="48">INDEX(itemGPerQty, MATCH(K17, itemNames, 0))</f>
        <v>0.30599999999999999</v>
      </c>
      <c r="N17" s="47">
        <f t="shared" ref="N17:N21" si="49">INDEX(itemMlPerQty, MATCH(K17, itemNames, 0))</f>
        <v>0</v>
      </c>
      <c r="O17" s="47">
        <f t="shared" ref="O17:O21" si="50">IF(J17 = "", I17 * M17, IF(ISNA(CONVERT(I17, J17, "kg")), CONVERT(I17, J17, "l") * IF(N17 &lt;&gt; 0, M17 / N17, 0), CONVERT(I17, J17, "kg")))</f>
        <v>0.153</v>
      </c>
      <c r="P17" s="47">
        <f t="shared" ref="P17:P21" si="51">IF(J17 = "", I17 * N17, IF(ISNA(CONVERT(I17, J17, "l")), CONVERT(I17, J17, "kg") * IF(M17 &lt;&gt; 0, N17 / M17, 0), CONVERT(I17, J17, "l")))</f>
        <v>0</v>
      </c>
      <c r="Q17" s="47">
        <f t="shared" ref="Q17:Q21" si="52">MROUND(IF(AND(J17 = "", L17 = ""), I17 * recipe14DayScale, IF(ISNA(CONVERT(O17, "kg", L17)), CONVERT(P17 * recipe14DayScale, "l", L17), CONVERT(O17 * recipe14DayScale, "kg", L17))), roundTo)</f>
        <v>0.5</v>
      </c>
      <c r="R17" s="47">
        <f t="shared" ref="R17:R21" si="53">recipe14TotScale * IF(L17 = "", Q17 * M17, IF(ISNA(CONVERT(Q17, L17, "kg")), CONVERT(Q17, L17, "l") * IF(N17 &lt;&gt; 0, M17 / N17, 0), CONVERT(Q17, L17, "kg")))</f>
        <v>1.0098</v>
      </c>
      <c r="S17" s="47">
        <f t="shared" ref="S17:S21" si="54">recipe14TotScale * IF(R17 = 0, IF(L17 = "", Q17 * N17, IF(ISNA(CONVERT(Q17, L17, "l")), CONVERT(Q17, L17, "kg") * IF(M17 &lt;&gt; 0, N17 / M17, 0), CONVERT(Q17, L17, "l"))), 0)</f>
        <v>0</v>
      </c>
      <c r="T17" s="47">
        <f t="shared" ref="T17:T21" si="55">recipe14TotScale * IF(AND(R17 = 0, S17 = 0, J17 = "", L17 = ""), Q17, 0)</f>
        <v>0</v>
      </c>
      <c r="V17" s="67" t="b">
        <f t="shared" ref="V17:V24" si="56">INDEX(itemPrepMethods, MATCH(K17, itemNames, 0))="chop"</f>
        <v>1</v>
      </c>
      <c r="W17" s="57">
        <f t="shared" ref="W17:W24" si="57">IF(V17, Q17, "")</f>
        <v>0.5</v>
      </c>
      <c r="X17" s="58" t="str">
        <f t="shared" ref="X17:X24" si="58">IF(V17, IF(L17 = "", "", L17), "")</f>
        <v/>
      </c>
      <c r="Y17" s="58" t="str">
        <f t="shared" ref="Y17:Y24" si="59">IF(V17, K17, "")</f>
        <v>sliced cucumbers</v>
      </c>
      <c r="Z17" s="59"/>
      <c r="AA17" s="67" t="b">
        <f t="shared" ref="AA17:AA24" si="60">INDEX(itemPrepMethods, MATCH(K17, itemNames, 0))="soak"</f>
        <v>0</v>
      </c>
      <c r="AB17" s="58" t="str">
        <f t="shared" ref="AB17:AB24" si="61">IF(AA17, Q17, "")</f>
        <v/>
      </c>
      <c r="AC17" s="58" t="str">
        <f t="shared" ref="AC17:AC24" si="62">IF(AA17, IF(L17 = "", "", L17), "")</f>
        <v/>
      </c>
      <c r="AD17" s="58" t="str">
        <f t="shared" ref="AD17:AD24" si="63">IF(AA17, K17, "")</f>
        <v/>
      </c>
    </row>
    <row r="18" spans="1:30" s="67" customFormat="1" ht="15.75" thickBot="1" x14ac:dyDescent="0.3">
      <c r="A18" s="65" t="s">
        <v>21</v>
      </c>
      <c r="B18" s="52">
        <f t="shared" si="45"/>
        <v>0.5</v>
      </c>
      <c r="C18" s="39" t="str">
        <f t="shared" si="46"/>
        <v/>
      </c>
      <c r="D18" s="65" t="str">
        <f t="shared" si="47"/>
        <v>grated carrots</v>
      </c>
      <c r="E18" s="66" t="s">
        <v>363</v>
      </c>
      <c r="F18" s="50">
        <f>F17/F15</f>
        <v>6.6</v>
      </c>
      <c r="G18" s="51" t="s">
        <v>361</v>
      </c>
      <c r="H18" s="53"/>
      <c r="I18" s="54">
        <v>0.5</v>
      </c>
      <c r="J18" s="55"/>
      <c r="K18" s="55" t="s">
        <v>318</v>
      </c>
      <c r="L18" s="56"/>
      <c r="M18" s="47">
        <f t="shared" si="48"/>
        <v>0</v>
      </c>
      <c r="N18" s="47">
        <f t="shared" si="49"/>
        <v>0</v>
      </c>
      <c r="O18" s="47">
        <f t="shared" si="50"/>
        <v>0</v>
      </c>
      <c r="P18" s="47">
        <f t="shared" si="51"/>
        <v>0</v>
      </c>
      <c r="Q18" s="47">
        <f t="shared" si="52"/>
        <v>0.5</v>
      </c>
      <c r="R18" s="47">
        <f t="shared" si="53"/>
        <v>0</v>
      </c>
      <c r="S18" s="47">
        <f t="shared" si="54"/>
        <v>0</v>
      </c>
      <c r="T18" s="47">
        <f t="shared" si="55"/>
        <v>3.3</v>
      </c>
      <c r="V18" s="67" t="b">
        <f t="shared" si="56"/>
        <v>1</v>
      </c>
      <c r="W18" s="57">
        <f t="shared" si="57"/>
        <v>0.5</v>
      </c>
      <c r="X18" s="58" t="str">
        <f t="shared" si="58"/>
        <v/>
      </c>
      <c r="Y18" s="58" t="str">
        <f t="shared" si="59"/>
        <v>grated carrots</v>
      </c>
      <c r="Z18" s="59"/>
      <c r="AA18" s="67" t="b">
        <f t="shared" si="60"/>
        <v>0</v>
      </c>
      <c r="AB18" s="58" t="str">
        <f t="shared" si="61"/>
        <v/>
      </c>
      <c r="AC18" s="58" t="str">
        <f t="shared" si="62"/>
        <v/>
      </c>
      <c r="AD18" s="58" t="str">
        <f t="shared" si="63"/>
        <v/>
      </c>
    </row>
    <row r="19" spans="1:30" s="67" customFormat="1" x14ac:dyDescent="0.25">
      <c r="A19" s="65" t="s">
        <v>21</v>
      </c>
      <c r="B19" s="52">
        <f t="shared" si="45"/>
        <v>1.5</v>
      </c>
      <c r="C19" s="39" t="str">
        <f t="shared" si="46"/>
        <v/>
      </c>
      <c r="D19" s="65" t="str">
        <f t="shared" si="47"/>
        <v>sliced celery stalks</v>
      </c>
      <c r="H19" s="53"/>
      <c r="I19" s="54">
        <v>1.5</v>
      </c>
      <c r="J19" s="55"/>
      <c r="K19" s="55" t="s">
        <v>177</v>
      </c>
      <c r="L19" s="56"/>
      <c r="M19" s="47">
        <f t="shared" si="48"/>
        <v>0</v>
      </c>
      <c r="N19" s="47">
        <f t="shared" si="49"/>
        <v>0</v>
      </c>
      <c r="O19" s="47">
        <f t="shared" si="50"/>
        <v>0</v>
      </c>
      <c r="P19" s="47">
        <f t="shared" si="51"/>
        <v>0</v>
      </c>
      <c r="Q19" s="47">
        <f t="shared" si="52"/>
        <v>1.5</v>
      </c>
      <c r="R19" s="47">
        <f t="shared" si="53"/>
        <v>0</v>
      </c>
      <c r="S19" s="47">
        <f t="shared" si="54"/>
        <v>0</v>
      </c>
      <c r="T19" s="47">
        <f t="shared" si="55"/>
        <v>9.8999999999999986</v>
      </c>
      <c r="V19" s="67" t="b">
        <f t="shared" si="56"/>
        <v>1</v>
      </c>
      <c r="W19" s="57">
        <f t="shared" si="57"/>
        <v>1.5</v>
      </c>
      <c r="X19" s="58" t="str">
        <f t="shared" si="58"/>
        <v/>
      </c>
      <c r="Y19" s="58" t="str">
        <f t="shared" si="59"/>
        <v>sliced celery stalks</v>
      </c>
      <c r="Z19" s="59"/>
      <c r="AA19" s="67" t="b">
        <f t="shared" si="60"/>
        <v>0</v>
      </c>
      <c r="AB19" s="58" t="str">
        <f t="shared" si="61"/>
        <v/>
      </c>
      <c r="AC19" s="58" t="str">
        <f t="shared" si="62"/>
        <v/>
      </c>
      <c r="AD19" s="58" t="str">
        <f t="shared" si="63"/>
        <v/>
      </c>
    </row>
    <row r="20" spans="1:30" s="67" customFormat="1" x14ac:dyDescent="0.25">
      <c r="A20" s="65" t="s">
        <v>21</v>
      </c>
      <c r="B20" s="52">
        <f t="shared" si="45"/>
        <v>0.5</v>
      </c>
      <c r="C20" s="39" t="str">
        <f t="shared" si="46"/>
        <v/>
      </c>
      <c r="D20" s="65" t="str">
        <f t="shared" si="47"/>
        <v>sliced green capsicums</v>
      </c>
      <c r="H20" s="53"/>
      <c r="I20" s="54">
        <v>0.5</v>
      </c>
      <c r="J20" s="55"/>
      <c r="K20" s="55" t="s">
        <v>319</v>
      </c>
      <c r="L20" s="56"/>
      <c r="M20" s="47">
        <f t="shared" si="48"/>
        <v>0</v>
      </c>
      <c r="N20" s="47">
        <f t="shared" si="49"/>
        <v>0</v>
      </c>
      <c r="O20" s="47">
        <f t="shared" si="50"/>
        <v>0</v>
      </c>
      <c r="P20" s="47">
        <f t="shared" si="51"/>
        <v>0</v>
      </c>
      <c r="Q20" s="47">
        <f t="shared" si="52"/>
        <v>0.5</v>
      </c>
      <c r="R20" s="47">
        <f t="shared" si="53"/>
        <v>0</v>
      </c>
      <c r="S20" s="47">
        <f t="shared" si="54"/>
        <v>0</v>
      </c>
      <c r="T20" s="47">
        <f t="shared" si="55"/>
        <v>3.3</v>
      </c>
      <c r="V20" s="67" t="b">
        <f t="shared" si="56"/>
        <v>1</v>
      </c>
      <c r="W20" s="57">
        <f t="shared" si="57"/>
        <v>0.5</v>
      </c>
      <c r="X20" s="58" t="str">
        <f t="shared" si="58"/>
        <v/>
      </c>
      <c r="Y20" s="58" t="str">
        <f t="shared" si="59"/>
        <v>sliced green capsicums</v>
      </c>
      <c r="Z20" s="59"/>
      <c r="AA20" s="67" t="b">
        <f t="shared" si="60"/>
        <v>0</v>
      </c>
      <c r="AB20" s="58" t="str">
        <f t="shared" si="61"/>
        <v/>
      </c>
      <c r="AC20" s="58" t="str">
        <f t="shared" si="62"/>
        <v/>
      </c>
      <c r="AD20" s="58" t="str">
        <f t="shared" si="63"/>
        <v/>
      </c>
    </row>
    <row r="21" spans="1:30" s="67" customFormat="1" x14ac:dyDescent="0.25">
      <c r="A21" s="65" t="s">
        <v>21</v>
      </c>
      <c r="B21" s="52">
        <f t="shared" si="45"/>
        <v>1</v>
      </c>
      <c r="C21" s="39" t="str">
        <f t="shared" si="46"/>
        <v/>
      </c>
      <c r="D21" s="65" t="str">
        <f t="shared" si="47"/>
        <v>coarsely chopped lettuces</v>
      </c>
      <c r="H21" s="53"/>
      <c r="I21" s="54">
        <v>1</v>
      </c>
      <c r="J21" s="55"/>
      <c r="K21" s="55" t="s">
        <v>414</v>
      </c>
      <c r="L21" s="56"/>
      <c r="M21" s="47">
        <f t="shared" si="48"/>
        <v>0.84399999999999997</v>
      </c>
      <c r="N21" s="47">
        <f t="shared" si="49"/>
        <v>0</v>
      </c>
      <c r="O21" s="47">
        <f t="shared" si="50"/>
        <v>0.84399999999999997</v>
      </c>
      <c r="P21" s="47">
        <f t="shared" si="51"/>
        <v>0</v>
      </c>
      <c r="Q21" s="47">
        <f t="shared" si="52"/>
        <v>1</v>
      </c>
      <c r="R21" s="47">
        <f t="shared" si="53"/>
        <v>5.5703999999999994</v>
      </c>
      <c r="S21" s="47">
        <f t="shared" si="54"/>
        <v>0</v>
      </c>
      <c r="T21" s="47">
        <f t="shared" si="55"/>
        <v>0</v>
      </c>
      <c r="V21" s="67" t="b">
        <f t="shared" si="56"/>
        <v>1</v>
      </c>
      <c r="W21" s="57">
        <f t="shared" si="57"/>
        <v>1</v>
      </c>
      <c r="X21" s="58" t="str">
        <f t="shared" si="58"/>
        <v/>
      </c>
      <c r="Y21" s="58" t="str">
        <f t="shared" si="59"/>
        <v>coarsely chopped lettuces</v>
      </c>
      <c r="Z21" s="59" t="s">
        <v>453</v>
      </c>
      <c r="AA21" s="67" t="b">
        <f t="shared" si="60"/>
        <v>0</v>
      </c>
      <c r="AB21" s="58" t="str">
        <f t="shared" si="61"/>
        <v/>
      </c>
      <c r="AC21" s="58" t="str">
        <f t="shared" si="62"/>
        <v/>
      </c>
      <c r="AD21" s="58" t="str">
        <f t="shared" si="63"/>
        <v/>
      </c>
    </row>
    <row r="22" spans="1:30" s="67" customFormat="1" x14ac:dyDescent="0.25">
      <c r="A22" s="65" t="s">
        <v>21</v>
      </c>
      <c r="B22" s="52"/>
      <c r="C22" s="39" t="str">
        <f t="shared" si="46"/>
        <v/>
      </c>
      <c r="D22" s="65" t="str">
        <f t="shared" si="47"/>
        <v>fresh sprouts</v>
      </c>
      <c r="H22" s="53"/>
      <c r="I22" s="45"/>
      <c r="J22" s="45"/>
      <c r="K22" s="55" t="s">
        <v>320</v>
      </c>
      <c r="L22" s="45"/>
      <c r="M22" s="45"/>
      <c r="N22" s="45"/>
      <c r="O22" s="45"/>
      <c r="P22" s="45"/>
      <c r="Q22" s="45"/>
      <c r="R22" s="45"/>
      <c r="S22" s="45"/>
      <c r="T22" s="45"/>
      <c r="V22" s="67" t="b">
        <f t="shared" si="56"/>
        <v>0</v>
      </c>
      <c r="W22" s="57" t="str">
        <f t="shared" si="57"/>
        <v/>
      </c>
      <c r="X22" s="58" t="str">
        <f t="shared" si="58"/>
        <v/>
      </c>
      <c r="Y22" s="58" t="str">
        <f t="shared" si="59"/>
        <v/>
      </c>
      <c r="Z22" s="59"/>
      <c r="AA22" s="67" t="b">
        <f t="shared" si="60"/>
        <v>0</v>
      </c>
      <c r="AB22" s="58" t="str">
        <f t="shared" si="61"/>
        <v/>
      </c>
      <c r="AC22" s="58" t="str">
        <f t="shared" si="62"/>
        <v/>
      </c>
      <c r="AD22" s="58" t="str">
        <f t="shared" si="63"/>
        <v/>
      </c>
    </row>
    <row r="23" spans="1:30" s="67" customFormat="1" x14ac:dyDescent="0.25">
      <c r="A23" s="65" t="s">
        <v>21</v>
      </c>
      <c r="B23" s="52"/>
      <c r="C23" s="39" t="str">
        <f t="shared" si="46"/>
        <v/>
      </c>
      <c r="D23" s="65" t="str">
        <f t="shared" si="47"/>
        <v>fresh herbs, if available</v>
      </c>
      <c r="H23" s="53"/>
      <c r="I23" s="45"/>
      <c r="J23" s="45"/>
      <c r="K23" s="55" t="s">
        <v>321</v>
      </c>
      <c r="L23" s="45"/>
      <c r="M23" s="45"/>
      <c r="N23" s="45"/>
      <c r="O23" s="45"/>
      <c r="P23" s="45"/>
      <c r="Q23" s="45"/>
      <c r="R23" s="45"/>
      <c r="S23" s="45"/>
      <c r="T23" s="45"/>
      <c r="U23" s="67" t="s">
        <v>238</v>
      </c>
      <c r="V23" s="67" t="b">
        <f t="shared" si="56"/>
        <v>0</v>
      </c>
      <c r="W23" s="57" t="str">
        <f t="shared" si="57"/>
        <v/>
      </c>
      <c r="X23" s="58" t="str">
        <f t="shared" si="58"/>
        <v/>
      </c>
      <c r="Y23" s="58" t="str">
        <f t="shared" si="59"/>
        <v/>
      </c>
      <c r="Z23" s="59"/>
      <c r="AA23" s="67" t="b">
        <f t="shared" si="60"/>
        <v>0</v>
      </c>
      <c r="AB23" s="58" t="str">
        <f t="shared" si="61"/>
        <v/>
      </c>
      <c r="AC23" s="58" t="str">
        <f t="shared" si="62"/>
        <v/>
      </c>
      <c r="AD23" s="58" t="str">
        <f t="shared" si="63"/>
        <v/>
      </c>
    </row>
    <row r="24" spans="1:30" s="67" customFormat="1" x14ac:dyDescent="0.25">
      <c r="A24" s="65" t="s">
        <v>21</v>
      </c>
      <c r="B24" s="52"/>
      <c r="C24" s="39" t="str">
        <f t="shared" si="46"/>
        <v/>
      </c>
      <c r="D24" s="65" t="str">
        <f t="shared" si="47"/>
        <v>sunflower seeds</v>
      </c>
      <c r="H24" s="53"/>
      <c r="I24" s="45"/>
      <c r="J24" s="45"/>
      <c r="K24" s="55" t="s">
        <v>322</v>
      </c>
      <c r="L24" s="45"/>
      <c r="M24" s="45"/>
      <c r="N24" s="45"/>
      <c r="O24" s="45"/>
      <c r="P24" s="45"/>
      <c r="Q24" s="45"/>
      <c r="R24" s="45"/>
      <c r="S24" s="45"/>
      <c r="T24" s="45"/>
      <c r="V24" s="67" t="b">
        <f t="shared" si="56"/>
        <v>0</v>
      </c>
      <c r="W24" s="57" t="str">
        <f t="shared" si="57"/>
        <v/>
      </c>
      <c r="X24" s="58" t="str">
        <f t="shared" si="58"/>
        <v/>
      </c>
      <c r="Y24" s="58" t="str">
        <f t="shared" si="59"/>
        <v/>
      </c>
      <c r="Z24" s="59"/>
      <c r="AA24" s="67" t="b">
        <f t="shared" si="60"/>
        <v>0</v>
      </c>
      <c r="AB24" s="58" t="str">
        <f t="shared" si="61"/>
        <v/>
      </c>
      <c r="AC24" s="58" t="str">
        <f t="shared" si="62"/>
        <v/>
      </c>
      <c r="AD24" s="58" t="str">
        <f t="shared" si="63"/>
        <v/>
      </c>
    </row>
    <row r="25" spans="1:30" s="69" customFormat="1" x14ac:dyDescent="0.25">
      <c r="A25" s="111"/>
      <c r="B25" s="111"/>
      <c r="C25" s="111"/>
      <c r="D25" s="111"/>
      <c r="I25" s="45"/>
      <c r="L25" s="46"/>
      <c r="M25" s="47"/>
      <c r="N25" s="47"/>
      <c r="O25" s="47"/>
      <c r="P25" s="47"/>
      <c r="Q25" s="47"/>
      <c r="R25" s="47"/>
      <c r="S25" s="47"/>
      <c r="T25" s="47"/>
      <c r="W25" s="74"/>
      <c r="X25" s="74"/>
      <c r="Y25" s="74"/>
      <c r="Z25" s="74"/>
      <c r="AB25" s="74"/>
      <c r="AC25" s="74"/>
      <c r="AD25" s="74"/>
    </row>
    <row r="26" spans="1:30" s="69" customFormat="1" x14ac:dyDescent="0.25">
      <c r="A26" s="111" t="s">
        <v>413</v>
      </c>
      <c r="B26" s="111"/>
      <c r="C26" s="111"/>
      <c r="D26" s="111"/>
      <c r="I26" s="45"/>
      <c r="L26" s="46"/>
      <c r="M26" s="47"/>
      <c r="N26" s="47"/>
      <c r="O26" s="47"/>
      <c r="P26" s="47"/>
      <c r="Q26" s="47"/>
      <c r="R26" s="47"/>
      <c r="S26" s="47"/>
      <c r="T26" s="47"/>
      <c r="W26" s="74"/>
      <c r="X26" s="74"/>
      <c r="Y26" s="74"/>
      <c r="Z26" s="74"/>
      <c r="AB26" s="74"/>
      <c r="AC26" s="74"/>
      <c r="AD26" s="74"/>
    </row>
    <row r="27" spans="1:30" s="67" customFormat="1" x14ac:dyDescent="0.25">
      <c r="A27" s="65" t="s">
        <v>21</v>
      </c>
      <c r="B27" s="52">
        <f>Q27</f>
        <v>2</v>
      </c>
      <c r="C27" s="39" t="str">
        <f>IF(L27="","",L27)</f>
        <v/>
      </c>
      <c r="D27" s="65" t="str">
        <f>_xlfn.CONCAT(K27, U27)</f>
        <v>chopped tomatoes</v>
      </c>
      <c r="H27" s="53"/>
      <c r="I27" s="54">
        <v>2</v>
      </c>
      <c r="J27" s="55"/>
      <c r="K27" s="55" t="s">
        <v>315</v>
      </c>
      <c r="L27" s="56"/>
      <c r="M27" s="47">
        <f>INDEX(itemGPerQty, MATCH(K27, itemNames, 0))</f>
        <v>0.13250000000000001</v>
      </c>
      <c r="N27" s="47">
        <f>INDEX(itemMlPerQty, MATCH(K27, itemNames, 0))</f>
        <v>0</v>
      </c>
      <c r="O27" s="47">
        <f>IF(J27 = "", I27 * M27, IF(ISNA(CONVERT(I27, J27, "kg")), CONVERT(I27, J27, "l") * IF(N27 &lt;&gt; 0, M27 / N27, 0), CONVERT(I27, J27, "kg")))</f>
        <v>0.26500000000000001</v>
      </c>
      <c r="P27" s="47">
        <f>IF(J27 = "", I27 * N27, IF(ISNA(CONVERT(I27, J27, "l")), CONVERT(I27, J27, "kg") * IF(M27 &lt;&gt; 0, N27 / M27, 0), CONVERT(I27, J27, "l")))</f>
        <v>0</v>
      </c>
      <c r="Q27" s="47">
        <f>MROUND(IF(AND(J27 = "", L27 = ""), I27 * recipe14DayScale, IF(ISNA(CONVERT(O27, "kg", L27)), CONVERT(P27 * recipe14DayScale, "l", L27), CONVERT(O27 * recipe14DayScale, "kg", L27))), roundTo)</f>
        <v>2</v>
      </c>
      <c r="R27" s="47">
        <f>recipe14TotScale * IF(L27 = "", Q27 * M27, IF(ISNA(CONVERT(Q27, L27, "kg")), CONVERT(Q27, L27, "l") * IF(N27 &lt;&gt; 0, M27 / N27, 0), CONVERT(Q27, L27, "kg")))</f>
        <v>1.7489999999999999</v>
      </c>
      <c r="S27" s="47">
        <f>recipe14TotScale * IF(R27 = 0, IF(L27 = "", Q27 * N27, IF(ISNA(CONVERT(Q27, L27, "l")), CONVERT(Q27, L27, "kg") * IF(M27 &lt;&gt; 0, N27 / M27, 0), CONVERT(Q27, L27, "l"))), 0)</f>
        <v>0</v>
      </c>
      <c r="T27" s="47">
        <f>recipe14TotScale * IF(AND(R27 = 0, S27 = 0, J27 = "", L27 = ""), Q27, 0)</f>
        <v>0</v>
      </c>
      <c r="V27" s="67" t="b">
        <f>INDEX(itemPrepMethods, MATCH(K27, itemNames, 0))="chop"</f>
        <v>1</v>
      </c>
      <c r="W27" s="57">
        <f>IF(V27, Q27, "")</f>
        <v>2</v>
      </c>
      <c r="X27" s="58" t="str">
        <f>IF(V27, IF(L27 = "", "", L27), "")</f>
        <v/>
      </c>
      <c r="Y27" s="58" t="str">
        <f>IF(V27, K27, "")</f>
        <v>chopped tomatoes</v>
      </c>
      <c r="Z27" s="59"/>
      <c r="AA27" s="67" t="b">
        <f>INDEX(itemPrepMethods, MATCH(K27, itemNames, 0))="soak"</f>
        <v>0</v>
      </c>
      <c r="AB27" s="58" t="str">
        <f>IF(AA27, Q27, "")</f>
        <v/>
      </c>
      <c r="AC27" s="58" t="str">
        <f>IF(AA27, IF(L27 = "", "", L27), "")</f>
        <v/>
      </c>
      <c r="AD27" s="58" t="str">
        <f>IF(AA27, K27, "")</f>
        <v/>
      </c>
    </row>
    <row r="28" spans="1:30" s="69" customFormat="1" x14ac:dyDescent="0.25">
      <c r="A28" s="111"/>
      <c r="B28" s="111"/>
      <c r="C28" s="111"/>
      <c r="D28" s="111"/>
      <c r="I28" s="45"/>
      <c r="L28" s="46"/>
      <c r="M28" s="47"/>
      <c r="N28" s="47"/>
      <c r="O28" s="47"/>
      <c r="P28" s="47"/>
      <c r="Q28" s="47"/>
      <c r="R28" s="47"/>
      <c r="S28" s="47"/>
      <c r="T28" s="47"/>
      <c r="W28" s="48"/>
      <c r="Z28" s="49"/>
    </row>
    <row r="29" spans="1:30" s="69" customFormat="1" x14ac:dyDescent="0.25">
      <c r="A29" s="111" t="s">
        <v>412</v>
      </c>
      <c r="B29" s="111"/>
      <c r="C29" s="111"/>
      <c r="D29" s="111"/>
      <c r="I29" s="45"/>
      <c r="L29" s="46"/>
      <c r="M29" s="47"/>
      <c r="N29" s="47"/>
      <c r="O29" s="47"/>
      <c r="P29" s="47"/>
      <c r="Q29" s="47"/>
      <c r="R29" s="47"/>
      <c r="S29" s="47"/>
      <c r="T29" s="47"/>
      <c r="W29" s="48"/>
      <c r="Z29" s="49"/>
    </row>
    <row r="30" spans="1:30" ht="15.75" x14ac:dyDescent="0.25">
      <c r="A30" s="110" t="s">
        <v>193</v>
      </c>
      <c r="B30" s="110"/>
      <c r="C30" s="110"/>
      <c r="D30" s="110"/>
      <c r="E30" s="43" t="s">
        <v>194</v>
      </c>
      <c r="F30" s="104"/>
      <c r="G30" s="104"/>
    </row>
    <row r="31" spans="1:30" ht="24" x14ac:dyDescent="0.2">
      <c r="A31" s="110" t="s">
        <v>396</v>
      </c>
      <c r="B31" s="110"/>
      <c r="C31" s="110"/>
      <c r="D31" s="110"/>
      <c r="E31" s="42" t="s">
        <v>56</v>
      </c>
      <c r="F31" s="90">
        <v>4</v>
      </c>
      <c r="G31" s="47"/>
      <c r="I31" s="70" t="s">
        <v>448</v>
      </c>
      <c r="J31" s="71" t="s">
        <v>449</v>
      </c>
      <c r="K31" s="71" t="s">
        <v>17</v>
      </c>
      <c r="L31" s="72" t="s">
        <v>452</v>
      </c>
      <c r="M31" s="70" t="s">
        <v>148</v>
      </c>
      <c r="N31" s="70" t="s">
        <v>149</v>
      </c>
      <c r="O31" s="70" t="s">
        <v>450</v>
      </c>
      <c r="P31" s="70" t="s">
        <v>451</v>
      </c>
      <c r="Q31" s="71" t="s">
        <v>364</v>
      </c>
      <c r="R31" s="70" t="s">
        <v>365</v>
      </c>
      <c r="S31" s="70" t="s">
        <v>366</v>
      </c>
      <c r="T31" s="70" t="s">
        <v>367</v>
      </c>
      <c r="U31" s="71" t="s">
        <v>22</v>
      </c>
      <c r="V31" s="71" t="s">
        <v>212</v>
      </c>
      <c r="W31" s="73" t="s">
        <v>364</v>
      </c>
      <c r="X31" s="71" t="s">
        <v>210</v>
      </c>
      <c r="Y31" s="71" t="s">
        <v>211</v>
      </c>
      <c r="Z31" s="71" t="s">
        <v>313</v>
      </c>
      <c r="AA31" s="71" t="s">
        <v>213</v>
      </c>
      <c r="AB31" s="73" t="s">
        <v>364</v>
      </c>
      <c r="AC31" s="71" t="s">
        <v>214</v>
      </c>
      <c r="AD31" s="71" t="s">
        <v>215</v>
      </c>
    </row>
    <row r="32" spans="1:30" ht="15.75" thickBot="1" x14ac:dyDescent="0.3">
      <c r="A32" s="111"/>
      <c r="B32" s="111"/>
      <c r="C32" s="111"/>
      <c r="D32" s="111"/>
      <c r="E32" s="42" t="s">
        <v>359</v>
      </c>
      <c r="F32" s="90">
        <v>4</v>
      </c>
      <c r="G32" s="47"/>
      <c r="I32" s="47"/>
    </row>
    <row r="33" spans="1:30" ht="15.75" thickBot="1" x14ac:dyDescent="0.3">
      <c r="A33" s="111" t="s">
        <v>397</v>
      </c>
      <c r="B33" s="111"/>
      <c r="C33" s="111"/>
      <c r="D33" s="111"/>
      <c r="E33" s="42" t="s">
        <v>362</v>
      </c>
      <c r="F33" s="50">
        <f>F32/F31</f>
        <v>1</v>
      </c>
      <c r="G33" s="51" t="s">
        <v>368</v>
      </c>
      <c r="I33" s="47"/>
    </row>
    <row r="34" spans="1:30" x14ac:dyDescent="0.25">
      <c r="A34" s="40" t="s">
        <v>21</v>
      </c>
      <c r="B34" s="52">
        <f>Q34</f>
        <v>2</v>
      </c>
      <c r="C34" s="39" t="str">
        <f>IF(L34="","",L34)</f>
        <v>tbs</v>
      </c>
      <c r="D34" s="65" t="str">
        <f t="shared" ref="D34:D36" si="64">_xlfn.CONCAT(K34, U34)</f>
        <v>minced fresh ginger</v>
      </c>
      <c r="H34" s="53"/>
      <c r="I34" s="54">
        <v>2</v>
      </c>
      <c r="J34" s="55" t="s">
        <v>15</v>
      </c>
      <c r="K34" s="55" t="s">
        <v>231</v>
      </c>
      <c r="L34" s="56" t="s">
        <v>15</v>
      </c>
      <c r="M34" s="47">
        <f>INDEX(itemGPerQty, MATCH(K34, itemNames, 0))</f>
        <v>0</v>
      </c>
      <c r="N34" s="47">
        <f>INDEX(itemMlPerQty, MATCH(K34, itemNames, 0))</f>
        <v>0</v>
      </c>
      <c r="O34" s="47">
        <f>IF(J34 = "", I34 * M34, IF(ISNA(CONVERT(I34, J34, "kg")), CONVERT(I34, J34, "l") * IF(N34 &lt;&gt; 0, M34 / N34, 0), CONVERT(I34, J34, "kg")))</f>
        <v>0</v>
      </c>
      <c r="P34" s="47">
        <f>IF(J34 = "", I34 * N34, IF(ISNA(CONVERT(I34, J34, "l")), CONVERT(I34, J34, "kg") * IF(M34 &lt;&gt; 0, N34 / M34, 0), CONVERT(I34, J34, "l")))</f>
        <v>2.9573529562499999E-2</v>
      </c>
      <c r="Q34" s="47">
        <f>MROUND(IF(AND(J34 = "", L34 = ""), I34 * recipe13DayScale, IF(ISNA(CONVERT(O34, "kg", L34)), CONVERT(P34 * recipe13DayScale, "l", L34), CONVERT(O34 * recipe13DayScale, "kg", L34))), roundTo)</f>
        <v>2</v>
      </c>
      <c r="R34" s="47">
        <f>recipe13TotScale * IF(L34 = "", Q34 * M34, IF(ISNA(CONVERT(Q34, L34, "kg")), CONVERT(Q34, L34, "l") * IF(N34 &lt;&gt; 0, M34 / N34, 0), CONVERT(Q34, L34, "kg")))</f>
        <v>0</v>
      </c>
      <c r="S34" s="47">
        <f>recipe13TotScale * IF(R34 = 0, IF(L34 = "", Q34 * N34, IF(ISNA(CONVERT(Q34, L34, "l")), CONVERT(Q34, L34, "kg") * IF(M34 &lt;&gt; 0, N34 / M34, 0), CONVERT(Q34, L34, "l"))), 0)</f>
        <v>4.4360294343749995E-2</v>
      </c>
      <c r="T34" s="47">
        <f>recipe13TotScale * IF(AND(R34 = 0, S34 = 0, J34 = "", L34 = ""), Q34, 0)</f>
        <v>0</v>
      </c>
      <c r="V34" s="44" t="b">
        <f>INDEX(itemPrepMethods, MATCH(K34, itemNames, 0))="chop"</f>
        <v>1</v>
      </c>
      <c r="W34" s="57">
        <f>IF(V34, Q34, "")</f>
        <v>2</v>
      </c>
      <c r="X34" s="58" t="str">
        <f>IF(V34, IF(L34 = "", "", L34), "")</f>
        <v>tbs</v>
      </c>
      <c r="Y34" s="58" t="str">
        <f>IF(V34, K34, "")</f>
        <v>minced fresh ginger</v>
      </c>
      <c r="Z34" s="59"/>
      <c r="AA34" s="44" t="b">
        <f>INDEX(itemPrepMethods, MATCH(K34, itemNames, 0))="soak"</f>
        <v>0</v>
      </c>
      <c r="AB34" s="58" t="str">
        <f>IF(AA34, Q34, "")</f>
        <v/>
      </c>
      <c r="AC34" s="58" t="str">
        <f>IF(AA34, IF(L34 = "", "", L34), "")</f>
        <v/>
      </c>
      <c r="AD34" s="58" t="str">
        <f>IF(AA34, K34, "")</f>
        <v/>
      </c>
    </row>
    <row r="35" spans="1:30" ht="15.75" thickBot="1" x14ac:dyDescent="0.3">
      <c r="A35" s="40" t="s">
        <v>21</v>
      </c>
      <c r="B35" s="52">
        <f>Q35</f>
        <v>1</v>
      </c>
      <c r="C35" s="39" t="str">
        <f>IF(L35="","",L35)</f>
        <v>tbs</v>
      </c>
      <c r="D35" s="65" t="str">
        <f t="shared" si="64"/>
        <v>finely chopped fresh corriander</v>
      </c>
      <c r="E35" s="66" t="s">
        <v>338</v>
      </c>
      <c r="F35" s="67">
        <f>totalSluCount</f>
        <v>6</v>
      </c>
      <c r="G35" s="67"/>
      <c r="H35" s="53"/>
      <c r="I35" s="54">
        <v>1</v>
      </c>
      <c r="J35" s="55" t="s">
        <v>15</v>
      </c>
      <c r="K35" s="55" t="s">
        <v>398</v>
      </c>
      <c r="L35" s="56" t="s">
        <v>15</v>
      </c>
      <c r="M35" s="47">
        <f>INDEX(itemGPerQty, MATCH(K35, itemNames, 0))</f>
        <v>0</v>
      </c>
      <c r="N35" s="47">
        <f>INDEX(itemMlPerQty, MATCH(K35, itemNames, 0))</f>
        <v>0</v>
      </c>
      <c r="O35" s="47">
        <f>IF(J35 = "", I35 * M35, IF(ISNA(CONVERT(I35, J35, "kg")), CONVERT(I35, J35, "l") * IF(N35 &lt;&gt; 0, M35 / N35, 0), CONVERT(I35, J35, "kg")))</f>
        <v>0</v>
      </c>
      <c r="P35" s="47">
        <f>IF(J35 = "", I35 * N35, IF(ISNA(CONVERT(I35, J35, "l")), CONVERT(I35, J35, "kg") * IF(M35 &lt;&gt; 0, N35 / M35, 0), CONVERT(I35, J35, "l")))</f>
        <v>1.478676478125E-2</v>
      </c>
      <c r="Q35" s="47">
        <f>MROUND(IF(AND(J35 = "", L35 = ""), I35 * recipe13DayScale, IF(ISNA(CONVERT(O35, "kg", L35)), CONVERT(P35 * recipe13DayScale, "l", L35), CONVERT(O35 * recipe13DayScale, "kg", L35))), roundTo)</f>
        <v>1</v>
      </c>
      <c r="R35" s="47">
        <f>recipe13TotScale * IF(L35 = "", Q35 * M35, IF(ISNA(CONVERT(Q35, L35, "kg")), CONVERT(Q35, L35, "l") * IF(N35 &lt;&gt; 0, M35 / N35, 0), CONVERT(Q35, L35, "kg")))</f>
        <v>0</v>
      </c>
      <c r="S35" s="47">
        <f>recipe13TotScale * IF(R35 = 0, IF(L35 = "", Q35 * N35, IF(ISNA(CONVERT(Q35, L35, "l")), CONVERT(Q35, L35, "kg") * IF(M35 &lt;&gt; 0, N35 / M35, 0), CONVERT(Q35, L35, "l"))), 0)</f>
        <v>2.2180147171874998E-2</v>
      </c>
      <c r="T35" s="47">
        <f>recipe13TotScale * IF(AND(R35 = 0, S35 = 0, J35 = "", L35 = ""), Q35, 0)</f>
        <v>0</v>
      </c>
      <c r="V35" s="44" t="b">
        <f>INDEX(itemPrepMethods, MATCH(K35, itemNames, 0))="chop"</f>
        <v>1</v>
      </c>
      <c r="W35" s="57">
        <f>IF(V35, Q35, "")</f>
        <v>1</v>
      </c>
      <c r="X35" s="58" t="str">
        <f>IF(V35, IF(L35 = "", "", L35), "")</f>
        <v>tbs</v>
      </c>
      <c r="Y35" s="58" t="str">
        <f>IF(V35, K35, "")</f>
        <v>finely chopped fresh corriander</v>
      </c>
      <c r="Z35" s="59"/>
      <c r="AA35" s="44" t="b">
        <f>INDEX(itemPrepMethods, MATCH(K35, itemNames, 0))="soak"</f>
        <v>0</v>
      </c>
      <c r="AB35" s="58" t="str">
        <f>IF(AA35, Q35, "")</f>
        <v/>
      </c>
      <c r="AC35" s="58" t="str">
        <f>IF(AA35, IF(L35 = "", "", L35), "")</f>
        <v/>
      </c>
      <c r="AD35" s="58" t="str">
        <f>IF(AA35, K35, "")</f>
        <v/>
      </c>
    </row>
    <row r="36" spans="1:30" ht="15.75" thickBot="1" x14ac:dyDescent="0.3">
      <c r="A36" s="40" t="s">
        <v>21</v>
      </c>
      <c r="B36" s="52">
        <f>Q36</f>
        <v>3</v>
      </c>
      <c r="C36" s="39" t="str">
        <f>IF(L36="","",L36)</f>
        <v>cup</v>
      </c>
      <c r="D36" s="65" t="str">
        <f t="shared" si="64"/>
        <v>blocks tofu, cut into cubes</v>
      </c>
      <c r="E36" s="66" t="s">
        <v>363</v>
      </c>
      <c r="F36" s="50">
        <f>F35/F32</f>
        <v>1.5</v>
      </c>
      <c r="G36" s="51" t="s">
        <v>369</v>
      </c>
      <c r="H36" s="53"/>
      <c r="I36" s="54">
        <v>3</v>
      </c>
      <c r="J36" s="55" t="s">
        <v>16</v>
      </c>
      <c r="K36" s="55" t="s">
        <v>270</v>
      </c>
      <c r="L36" s="56" t="s">
        <v>16</v>
      </c>
      <c r="M36" s="47">
        <f>INDEX(itemGPerQty, MATCH(K36, itemNames, 0))</f>
        <v>0</v>
      </c>
      <c r="N36" s="47">
        <f>INDEX(itemMlPerQty, MATCH(K36, itemNames, 0))</f>
        <v>0</v>
      </c>
      <c r="O36" s="47">
        <f>IF(J36 = "", I36 * M36, IF(ISNA(CONVERT(I36, J36, "kg")), CONVERT(I36, J36, "l") * IF(N36 &lt;&gt; 0, M36 / N36, 0), CONVERT(I36, J36, "kg")))</f>
        <v>0</v>
      </c>
      <c r="P36" s="47">
        <f>IF(J36 = "", I36 * N36, IF(ISNA(CONVERT(I36, J36, "l")), CONVERT(I36, J36, "kg") * IF(M36 &lt;&gt; 0, N36 / M36, 0), CONVERT(I36, J36, "l")))</f>
        <v>0.70976470949999992</v>
      </c>
      <c r="Q36" s="47">
        <f>MROUND(IF(AND(J36 = "", L36 = ""), I36 * recipe13DayScale, IF(ISNA(CONVERT(O36, "kg", L36)), CONVERT(P36 * recipe13DayScale, "l", L36), CONVERT(O36 * recipe13DayScale, "kg", L36))), roundTo)</f>
        <v>3</v>
      </c>
      <c r="R36" s="47">
        <f>recipe13TotScale * IF(L36 = "", Q36 * M36, IF(ISNA(CONVERT(Q36, L36, "kg")), CONVERT(Q36, L36, "l") * IF(N36 &lt;&gt; 0, M36 / N36, 0), CONVERT(Q36, L36, "kg")))</f>
        <v>0</v>
      </c>
      <c r="S36" s="47">
        <f>recipe13TotScale * IF(R36 = 0, IF(L36 = "", Q36 * N36, IF(ISNA(CONVERT(Q36, L36, "l")), CONVERT(Q36, L36, "kg") * IF(M36 &lt;&gt; 0, N36 / M36, 0), CONVERT(Q36, L36, "l"))), 0)</f>
        <v>1.0646470642499999</v>
      </c>
      <c r="T36" s="47">
        <f>recipe13TotScale * IF(AND(R36 = 0, S36 = 0, J36 = "", L36 = ""), Q36, 0)</f>
        <v>0</v>
      </c>
      <c r="V36" s="44" t="b">
        <f>INDEX(itemPrepMethods, MATCH(K36, itemNames, 0))="chop"</f>
        <v>1</v>
      </c>
      <c r="W36" s="57">
        <f>IF(V36, Q36, "")</f>
        <v>3</v>
      </c>
      <c r="X36" s="58" t="str">
        <f>IF(V36, IF(L36 = "", "", L36), "")</f>
        <v>cup</v>
      </c>
      <c r="Y36" s="58" t="str">
        <f>IF(V36, K36, "")</f>
        <v>blocks tofu, cut into cubes</v>
      </c>
      <c r="Z36" s="59"/>
      <c r="AA36" s="44" t="b">
        <f>INDEX(itemPrepMethods, MATCH(K36, itemNames, 0))="soak"</f>
        <v>0</v>
      </c>
      <c r="AB36" s="58" t="str">
        <f>IF(AA36, Q36, "")</f>
        <v/>
      </c>
      <c r="AC36" s="58" t="str">
        <f>IF(AA36, IF(L36 = "", "", L36), "")</f>
        <v/>
      </c>
      <c r="AD36" s="58" t="str">
        <f>IF(AA36, K36, "")</f>
        <v/>
      </c>
    </row>
    <row r="37" spans="1:30" x14ac:dyDescent="0.25">
      <c r="A37" s="111"/>
      <c r="B37" s="111"/>
      <c r="C37" s="111"/>
      <c r="D37" s="111"/>
      <c r="I37" s="47"/>
      <c r="W37" s="74"/>
      <c r="X37" s="74"/>
      <c r="Y37" s="74"/>
      <c r="Z37" s="74"/>
      <c r="AA37" s="67"/>
      <c r="AB37" s="74"/>
      <c r="AC37" s="74"/>
      <c r="AD37" s="74"/>
    </row>
    <row r="38" spans="1:30" x14ac:dyDescent="0.25">
      <c r="A38" s="111" t="s">
        <v>124</v>
      </c>
      <c r="B38" s="111"/>
      <c r="C38" s="111"/>
      <c r="D38" s="111"/>
      <c r="I38" s="47"/>
      <c r="W38" s="74"/>
      <c r="X38" s="74"/>
      <c r="Y38" s="74"/>
      <c r="Z38" s="74"/>
      <c r="AA38" s="67"/>
      <c r="AB38" s="74"/>
      <c r="AC38" s="74"/>
      <c r="AD38" s="74"/>
    </row>
    <row r="39" spans="1:30" x14ac:dyDescent="0.25">
      <c r="A39" s="40" t="s">
        <v>21</v>
      </c>
      <c r="B39" s="52">
        <f t="shared" ref="B39:B50" si="65">Q39</f>
        <v>1</v>
      </c>
      <c r="C39" s="39" t="str">
        <f t="shared" ref="C39:C50" si="66">IF(L39="","",L39)</f>
        <v>cup</v>
      </c>
      <c r="D39" s="65" t="str">
        <f t="shared" ref="D39:D50" si="67">_xlfn.CONCAT(K39, U39)</f>
        <v>chopped carrots</v>
      </c>
      <c r="H39" s="53"/>
      <c r="I39" s="54">
        <v>1</v>
      </c>
      <c r="J39" s="55" t="s">
        <v>16</v>
      </c>
      <c r="K39" s="55" t="s">
        <v>5</v>
      </c>
      <c r="L39" s="56" t="s">
        <v>16</v>
      </c>
      <c r="M39" s="47">
        <f t="shared" ref="M39:M50" si="68">INDEX(itemGPerQty, MATCH(K39, itemNames, 0))</f>
        <v>0.14833333333333334</v>
      </c>
      <c r="N39" s="47">
        <f t="shared" ref="N39:N50" si="69">INDEX(itemMlPerQty, MATCH(K39, itemNames, 0))</f>
        <v>0.19999999999999998</v>
      </c>
      <c r="O39" s="47">
        <f t="shared" ref="O39:O50" si="70">IF(J39 = "", I39 * M39, IF(ISNA(CONVERT(I39, J39, "kg")), CONVERT(I39, J39, "l") * IF(N39 &lt;&gt; 0, M39 / N39, 0), CONVERT(I39, J39, "kg")))</f>
        <v>0.17546960873750003</v>
      </c>
      <c r="P39" s="47">
        <f t="shared" ref="P39:P50" si="71">IF(J39 = "", I39 * N39, IF(ISNA(CONVERT(I39, J39, "l")), CONVERT(I39, J39, "kg") * IF(M39 &lt;&gt; 0, N39 / M39, 0), CONVERT(I39, J39, "l")))</f>
        <v>0.23658823649999999</v>
      </c>
      <c r="Q39" s="47">
        <f t="shared" ref="Q39:Q50" si="72">MROUND(IF(AND(J39 = "", L39 = ""), I39 * recipe13DayScale, IF(ISNA(CONVERT(O39, "kg", L39)), CONVERT(P39 * recipe13DayScale, "l", L39), CONVERT(O39 * recipe13DayScale, "kg", L39))), roundTo)</f>
        <v>1</v>
      </c>
      <c r="R39" s="47">
        <f t="shared" ref="R39:R50" si="73">recipe13TotScale * IF(L39 = "", Q39 * M39, IF(ISNA(CONVERT(Q39, L39, "kg")), CONVERT(Q39, L39, "l") * IF(N39 &lt;&gt; 0, M39 / N39, 0), CONVERT(Q39, L39, "kg")))</f>
        <v>0.26320441310625003</v>
      </c>
      <c r="S39" s="47">
        <f t="shared" ref="S39:S50" si="74">recipe13TotScale * IF(R39 = 0, IF(L39 = "", Q39 * N39, IF(ISNA(CONVERT(Q39, L39, "l")), CONVERT(Q39, L39, "kg") * IF(M39 &lt;&gt; 0, N39 / M39, 0), CONVERT(Q39, L39, "l"))), 0)</f>
        <v>0</v>
      </c>
      <c r="T39" s="47">
        <f t="shared" ref="T39:T50" si="75">recipe13TotScale * IF(AND(R39 = 0, S39 = 0, J39 = "", L39 = ""), Q39, 0)</f>
        <v>0</v>
      </c>
      <c r="V39" s="44" t="b">
        <f t="shared" ref="V39:V50" si="76">INDEX(itemPrepMethods, MATCH(K39, itemNames, 0))="chop"</f>
        <v>1</v>
      </c>
      <c r="W39" s="57">
        <f t="shared" ref="W39:W50" si="77">IF(V39, Q39, "")</f>
        <v>1</v>
      </c>
      <c r="X39" s="58" t="str">
        <f t="shared" ref="X39:X50" si="78">IF(V39, IF(L39 = "", "", L39), "")</f>
        <v>cup</v>
      </c>
      <c r="Y39" s="58" t="str">
        <f t="shared" ref="Y39:Y50" si="79">IF(V39, K39, "")</f>
        <v>chopped carrots</v>
      </c>
      <c r="Z39" s="59"/>
      <c r="AA39" s="44" t="b">
        <f t="shared" ref="AA39:AA50" si="80">INDEX(itemPrepMethods, MATCH(K39, itemNames, 0))="soak"</f>
        <v>0</v>
      </c>
      <c r="AB39" s="58" t="str">
        <f t="shared" ref="AB39:AB50" si="81">IF(AA39, Q39, "")</f>
        <v/>
      </c>
      <c r="AC39" s="58" t="str">
        <f t="shared" ref="AC39:AC50" si="82">IF(AA39, IF(L39 = "", "", L39), "")</f>
        <v/>
      </c>
      <c r="AD39" s="58" t="str">
        <f t="shared" ref="AD39:AD50" si="83">IF(AA39, K39, "")</f>
        <v/>
      </c>
    </row>
    <row r="40" spans="1:30" x14ac:dyDescent="0.25">
      <c r="A40" s="40" t="s">
        <v>21</v>
      </c>
      <c r="B40" s="52">
        <f t="shared" si="65"/>
        <v>2</v>
      </c>
      <c r="C40" s="39" t="str">
        <f t="shared" si="66"/>
        <v>cup</v>
      </c>
      <c r="D40" s="65" t="str">
        <f t="shared" si="67"/>
        <v>chopped kumara</v>
      </c>
      <c r="H40" s="53"/>
      <c r="I40" s="54">
        <v>2</v>
      </c>
      <c r="J40" s="55" t="s">
        <v>16</v>
      </c>
      <c r="K40" s="55" t="s">
        <v>158</v>
      </c>
      <c r="L40" s="56" t="s">
        <v>16</v>
      </c>
      <c r="M40" s="47">
        <f t="shared" si="68"/>
        <v>0.34</v>
      </c>
      <c r="N40" s="47">
        <f t="shared" si="69"/>
        <v>0</v>
      </c>
      <c r="O40" s="47">
        <f t="shared" si="70"/>
        <v>0</v>
      </c>
      <c r="P40" s="47">
        <f t="shared" si="71"/>
        <v>0.47317647299999999</v>
      </c>
      <c r="Q40" s="47">
        <f t="shared" si="72"/>
        <v>2</v>
      </c>
      <c r="R40" s="47">
        <f t="shared" si="73"/>
        <v>0</v>
      </c>
      <c r="S40" s="47">
        <f t="shared" si="74"/>
        <v>0.70976470949999992</v>
      </c>
      <c r="T40" s="47">
        <f t="shared" si="75"/>
        <v>0</v>
      </c>
      <c r="V40" s="44" t="b">
        <f t="shared" si="76"/>
        <v>1</v>
      </c>
      <c r="W40" s="57">
        <f t="shared" si="77"/>
        <v>2</v>
      </c>
      <c r="X40" s="58" t="str">
        <f t="shared" si="78"/>
        <v>cup</v>
      </c>
      <c r="Y40" s="58" t="str">
        <f t="shared" si="79"/>
        <v>chopped kumara</v>
      </c>
      <c r="Z40" s="59"/>
      <c r="AA40" s="44" t="b">
        <f t="shared" si="80"/>
        <v>0</v>
      </c>
      <c r="AB40" s="58" t="str">
        <f t="shared" si="81"/>
        <v/>
      </c>
      <c r="AC40" s="58" t="str">
        <f t="shared" si="82"/>
        <v/>
      </c>
      <c r="AD40" s="58" t="str">
        <f t="shared" si="83"/>
        <v/>
      </c>
    </row>
    <row r="41" spans="1:30" x14ac:dyDescent="0.25">
      <c r="A41" s="40" t="s">
        <v>21</v>
      </c>
      <c r="B41" s="52">
        <f t="shared" si="65"/>
        <v>1.5</v>
      </c>
      <c r="C41" s="39" t="str">
        <f t="shared" si="66"/>
        <v>cup</v>
      </c>
      <c r="D41" s="65" t="str">
        <f t="shared" si="67"/>
        <v>chopped broccoli</v>
      </c>
      <c r="H41" s="53"/>
      <c r="I41" s="54">
        <v>1.5</v>
      </c>
      <c r="J41" s="55" t="s">
        <v>16</v>
      </c>
      <c r="K41" s="55" t="s">
        <v>120</v>
      </c>
      <c r="L41" s="56" t="s">
        <v>16</v>
      </c>
      <c r="M41" s="47">
        <f t="shared" si="68"/>
        <v>0.313</v>
      </c>
      <c r="N41" s="47">
        <f t="shared" si="69"/>
        <v>0</v>
      </c>
      <c r="O41" s="47">
        <f t="shared" si="70"/>
        <v>0</v>
      </c>
      <c r="P41" s="47">
        <f t="shared" si="71"/>
        <v>0.35488235474999996</v>
      </c>
      <c r="Q41" s="47">
        <f t="shared" si="72"/>
        <v>1.5</v>
      </c>
      <c r="R41" s="47">
        <f t="shared" si="73"/>
        <v>0</v>
      </c>
      <c r="S41" s="47">
        <f t="shared" si="74"/>
        <v>0.53232353212499994</v>
      </c>
      <c r="T41" s="47">
        <f t="shared" si="75"/>
        <v>0</v>
      </c>
      <c r="V41" s="44" t="b">
        <f t="shared" si="76"/>
        <v>1</v>
      </c>
      <c r="W41" s="57">
        <f t="shared" si="77"/>
        <v>1.5</v>
      </c>
      <c r="X41" s="58" t="str">
        <f t="shared" si="78"/>
        <v>cup</v>
      </c>
      <c r="Y41" s="58" t="str">
        <f t="shared" si="79"/>
        <v>chopped broccoli</v>
      </c>
      <c r="Z41" s="59"/>
      <c r="AA41" s="44" t="b">
        <f t="shared" si="80"/>
        <v>0</v>
      </c>
      <c r="AB41" s="58" t="str">
        <f t="shared" si="81"/>
        <v/>
      </c>
      <c r="AC41" s="58" t="str">
        <f t="shared" si="82"/>
        <v/>
      </c>
      <c r="AD41" s="58" t="str">
        <f t="shared" si="83"/>
        <v/>
      </c>
    </row>
    <row r="42" spans="1:30" x14ac:dyDescent="0.25">
      <c r="A42" s="40" t="s">
        <v>21</v>
      </c>
      <c r="B42" s="52">
        <f t="shared" si="65"/>
        <v>1</v>
      </c>
      <c r="C42" s="39" t="str">
        <f t="shared" si="66"/>
        <v>cup</v>
      </c>
      <c r="D42" s="65" t="str">
        <f t="shared" si="67"/>
        <v>chopped red capsicums</v>
      </c>
      <c r="H42" s="53"/>
      <c r="I42" s="54">
        <v>1</v>
      </c>
      <c r="J42" s="55" t="s">
        <v>16</v>
      </c>
      <c r="K42" s="55" t="s">
        <v>399</v>
      </c>
      <c r="L42" s="56" t="s">
        <v>16</v>
      </c>
      <c r="M42" s="47">
        <f t="shared" si="68"/>
        <v>0.1885</v>
      </c>
      <c r="N42" s="47">
        <f t="shared" si="69"/>
        <v>0.25</v>
      </c>
      <c r="O42" s="47">
        <f t="shared" si="70"/>
        <v>0.17838753032099999</v>
      </c>
      <c r="P42" s="47">
        <f t="shared" si="71"/>
        <v>0.23658823649999999</v>
      </c>
      <c r="Q42" s="47">
        <f t="shared" si="72"/>
        <v>1</v>
      </c>
      <c r="R42" s="47">
        <f t="shared" si="73"/>
        <v>0.2675812954815</v>
      </c>
      <c r="S42" s="47">
        <f t="shared" si="74"/>
        <v>0</v>
      </c>
      <c r="T42" s="47">
        <f t="shared" si="75"/>
        <v>0</v>
      </c>
      <c r="V42" s="44" t="b">
        <f t="shared" si="76"/>
        <v>1</v>
      </c>
      <c r="W42" s="57">
        <f t="shared" si="77"/>
        <v>1</v>
      </c>
      <c r="X42" s="58" t="str">
        <f t="shared" si="78"/>
        <v>cup</v>
      </c>
      <c r="Y42" s="58" t="str">
        <f t="shared" si="79"/>
        <v>chopped red capsicums</v>
      </c>
      <c r="Z42" s="59"/>
      <c r="AA42" s="44" t="b">
        <f t="shared" si="80"/>
        <v>0</v>
      </c>
      <c r="AB42" s="58" t="str">
        <f t="shared" si="81"/>
        <v/>
      </c>
      <c r="AC42" s="58" t="str">
        <f t="shared" si="82"/>
        <v/>
      </c>
      <c r="AD42" s="58" t="str">
        <f t="shared" si="83"/>
        <v/>
      </c>
    </row>
    <row r="43" spans="1:30" s="69" customFormat="1" x14ac:dyDescent="0.25">
      <c r="A43" s="111"/>
      <c r="B43" s="111"/>
      <c r="C43" s="111"/>
      <c r="D43" s="111"/>
      <c r="I43" s="47"/>
      <c r="L43" s="46"/>
      <c r="M43" s="47"/>
      <c r="N43" s="47"/>
      <c r="O43" s="47"/>
      <c r="P43" s="47"/>
      <c r="Q43" s="47"/>
      <c r="R43" s="47"/>
      <c r="S43" s="47"/>
      <c r="T43" s="47"/>
      <c r="W43" s="74"/>
      <c r="X43" s="74"/>
      <c r="Y43" s="74"/>
      <c r="Z43" s="74"/>
      <c r="AB43" s="74"/>
      <c r="AC43" s="74"/>
      <c r="AD43" s="74"/>
    </row>
    <row r="44" spans="1:30" s="69" customFormat="1" x14ac:dyDescent="0.25">
      <c r="A44" s="111" t="s">
        <v>401</v>
      </c>
      <c r="B44" s="111"/>
      <c r="C44" s="111"/>
      <c r="D44" s="111"/>
      <c r="I44" s="47"/>
      <c r="L44" s="46"/>
      <c r="M44" s="47"/>
      <c r="N44" s="47"/>
      <c r="O44" s="47"/>
      <c r="P44" s="47"/>
      <c r="Q44" s="47"/>
      <c r="R44" s="47"/>
      <c r="S44" s="47"/>
      <c r="T44" s="47"/>
      <c r="W44" s="74"/>
      <c r="X44" s="74"/>
      <c r="Y44" s="74"/>
      <c r="Z44" s="74"/>
      <c r="AB44" s="74"/>
      <c r="AC44" s="74"/>
      <c r="AD44" s="74"/>
    </row>
    <row r="45" spans="1:30" x14ac:dyDescent="0.25">
      <c r="A45" s="40" t="s">
        <v>21</v>
      </c>
      <c r="B45" s="52">
        <f t="shared" si="65"/>
        <v>1</v>
      </c>
      <c r="C45" s="39" t="str">
        <f t="shared" si="66"/>
        <v>cup</v>
      </c>
      <c r="D45" s="65" t="str">
        <f t="shared" si="67"/>
        <v>tins coconut milk</v>
      </c>
      <c r="H45" s="53"/>
      <c r="I45" s="54">
        <v>1</v>
      </c>
      <c r="J45" s="55" t="s">
        <v>16</v>
      </c>
      <c r="K45" s="55" t="s">
        <v>122</v>
      </c>
      <c r="L45" s="56" t="s">
        <v>16</v>
      </c>
      <c r="M45" s="47">
        <f t="shared" si="68"/>
        <v>0</v>
      </c>
      <c r="N45" s="47">
        <f t="shared" si="69"/>
        <v>0</v>
      </c>
      <c r="O45" s="47">
        <f t="shared" si="70"/>
        <v>0</v>
      </c>
      <c r="P45" s="47">
        <f t="shared" si="71"/>
        <v>0.23658823649999999</v>
      </c>
      <c r="Q45" s="47">
        <f t="shared" si="72"/>
        <v>1</v>
      </c>
      <c r="R45" s="47">
        <f t="shared" si="73"/>
        <v>0</v>
      </c>
      <c r="S45" s="47">
        <f t="shared" si="74"/>
        <v>0.35488235474999996</v>
      </c>
      <c r="T45" s="47">
        <f t="shared" si="75"/>
        <v>0</v>
      </c>
      <c r="V45" s="44" t="b">
        <f t="shared" si="76"/>
        <v>0</v>
      </c>
      <c r="W45" s="57" t="str">
        <f t="shared" si="77"/>
        <v/>
      </c>
      <c r="X45" s="58" t="str">
        <f t="shared" si="78"/>
        <v/>
      </c>
      <c r="Y45" s="58" t="str">
        <f t="shared" si="79"/>
        <v/>
      </c>
      <c r="Z45" s="59"/>
      <c r="AA45" s="44" t="b">
        <f t="shared" si="80"/>
        <v>0</v>
      </c>
      <c r="AB45" s="58" t="str">
        <f t="shared" si="81"/>
        <v/>
      </c>
      <c r="AC45" s="58" t="str">
        <f t="shared" si="82"/>
        <v/>
      </c>
      <c r="AD45" s="58" t="str">
        <f t="shared" si="83"/>
        <v/>
      </c>
    </row>
    <row r="46" spans="1:30" s="69" customFormat="1" x14ac:dyDescent="0.25">
      <c r="A46" s="111"/>
      <c r="B46" s="111"/>
      <c r="C46" s="111"/>
      <c r="D46" s="111"/>
      <c r="I46" s="47"/>
      <c r="L46" s="46"/>
      <c r="M46" s="47"/>
      <c r="N46" s="47"/>
      <c r="O46" s="47"/>
      <c r="P46" s="47"/>
      <c r="Q46" s="47"/>
      <c r="R46" s="47"/>
      <c r="S46" s="47"/>
      <c r="T46" s="47"/>
      <c r="W46" s="74"/>
      <c r="X46" s="74"/>
      <c r="Y46" s="74"/>
      <c r="Z46" s="74"/>
      <c r="AB46" s="74"/>
      <c r="AC46" s="74"/>
      <c r="AD46" s="74"/>
    </row>
    <row r="47" spans="1:30" s="69" customFormat="1" x14ac:dyDescent="0.25">
      <c r="A47" s="111" t="s">
        <v>402</v>
      </c>
      <c r="B47" s="111"/>
      <c r="C47" s="111"/>
      <c r="D47" s="111"/>
      <c r="I47" s="47"/>
      <c r="L47" s="46"/>
      <c r="M47" s="47"/>
      <c r="N47" s="47"/>
      <c r="O47" s="47"/>
      <c r="P47" s="47"/>
      <c r="Q47" s="47"/>
      <c r="R47" s="47"/>
      <c r="S47" s="47"/>
      <c r="T47" s="47"/>
      <c r="W47" s="74"/>
      <c r="X47" s="74"/>
      <c r="Y47" s="74"/>
      <c r="Z47" s="74"/>
      <c r="AB47" s="74"/>
      <c r="AC47" s="74"/>
      <c r="AD47" s="74"/>
    </row>
    <row r="48" spans="1:30" s="69" customFormat="1" x14ac:dyDescent="0.25">
      <c r="A48" s="68" t="s">
        <v>21</v>
      </c>
      <c r="B48" s="52">
        <f t="shared" ref="B48" si="84">Q48</f>
        <v>8</v>
      </c>
      <c r="C48" s="39" t="str">
        <f t="shared" ref="C48" si="85">IF(L48="","",L48)</f>
        <v>tbs</v>
      </c>
      <c r="D48" s="68" t="str">
        <f t="shared" ref="D48" si="86">_xlfn.CONCAT(K48, U48)</f>
        <v>gluten free soy sauce</v>
      </c>
      <c r="H48" s="53"/>
      <c r="I48" s="54">
        <v>8</v>
      </c>
      <c r="J48" s="55" t="s">
        <v>15</v>
      </c>
      <c r="K48" s="55" t="s">
        <v>196</v>
      </c>
      <c r="L48" s="56" t="s">
        <v>15</v>
      </c>
      <c r="M48" s="47">
        <f t="shared" ref="M48" si="87">INDEX(itemGPerQty, MATCH(K48, itemNames, 0))</f>
        <v>0</v>
      </c>
      <c r="N48" s="47">
        <f t="shared" ref="N48" si="88">INDEX(itemMlPerQty, MATCH(K48, itemNames, 0))</f>
        <v>0</v>
      </c>
      <c r="O48" s="47">
        <f t="shared" ref="O48" si="89">IF(J48 = "", I48 * M48, IF(ISNA(CONVERT(I48, J48, "kg")), CONVERT(I48, J48, "l") * IF(N48 &lt;&gt; 0, M48 / N48, 0), CONVERT(I48, J48, "kg")))</f>
        <v>0</v>
      </c>
      <c r="P48" s="47">
        <f t="shared" ref="P48" si="90">IF(J48 = "", I48 * N48, IF(ISNA(CONVERT(I48, J48, "l")), CONVERT(I48, J48, "kg") * IF(M48 &lt;&gt; 0, N48 / M48, 0), CONVERT(I48, J48, "l")))</f>
        <v>0.11829411825</v>
      </c>
      <c r="Q48" s="47">
        <f t="shared" ref="Q48" si="91">MROUND(IF(AND(J48 = "", L48 = ""), I48 * recipe13DayScale, IF(ISNA(CONVERT(O48, "kg", L48)), CONVERT(P48 * recipe13DayScale, "l", L48), CONVERT(O48 * recipe13DayScale, "kg", L48))), roundTo)</f>
        <v>8</v>
      </c>
      <c r="R48" s="47">
        <f t="shared" ref="R48" si="92">recipe13TotScale * IF(L48 = "", Q48 * M48, IF(ISNA(CONVERT(Q48, L48, "kg")), CONVERT(Q48, L48, "l") * IF(N48 &lt;&gt; 0, M48 / N48, 0), CONVERT(Q48, L48, "kg")))</f>
        <v>0</v>
      </c>
      <c r="S48" s="47">
        <f t="shared" ref="S48" si="93">recipe13TotScale * IF(R48 = 0, IF(L48 = "", Q48 * N48, IF(ISNA(CONVERT(Q48, L48, "l")), CONVERT(Q48, L48, "kg") * IF(M48 &lt;&gt; 0, N48 / M48, 0), CONVERT(Q48, L48, "l"))), 0)</f>
        <v>0.17744117737499998</v>
      </c>
      <c r="T48" s="47">
        <f t="shared" ref="T48" si="94">recipe13TotScale * IF(AND(R48 = 0, S48 = 0, J48 = "", L48 = ""), Q48, 0)</f>
        <v>0</v>
      </c>
      <c r="V48" s="69" t="b">
        <f t="shared" ref="V48" si="95">INDEX(itemPrepMethods, MATCH(K48, itemNames, 0))="chop"</f>
        <v>0</v>
      </c>
      <c r="W48" s="57" t="str">
        <f t="shared" ref="W48" si="96">IF(V48, Q48, "")</f>
        <v/>
      </c>
      <c r="X48" s="58" t="str">
        <f t="shared" ref="X48" si="97">IF(V48, IF(L48 = "", "", L48), "")</f>
        <v/>
      </c>
      <c r="Y48" s="58" t="str">
        <f t="shared" ref="Y48" si="98">IF(V48, K48, "")</f>
        <v/>
      </c>
      <c r="Z48" s="59"/>
      <c r="AA48" s="69" t="b">
        <f t="shared" ref="AA48" si="99">INDEX(itemPrepMethods, MATCH(K48, itemNames, 0))="soak"</f>
        <v>0</v>
      </c>
      <c r="AB48" s="58" t="str">
        <f t="shared" ref="AB48" si="100">IF(AA48, Q48, "")</f>
        <v/>
      </c>
      <c r="AC48" s="58" t="str">
        <f t="shared" ref="AC48" si="101">IF(AA48, IF(L48 = "", "", L48), "")</f>
        <v/>
      </c>
      <c r="AD48" s="58" t="str">
        <f t="shared" ref="AD48" si="102">IF(AA48, K48, "")</f>
        <v/>
      </c>
    </row>
    <row r="49" spans="1:30" s="69" customFormat="1" x14ac:dyDescent="0.25">
      <c r="A49" s="68" t="s">
        <v>21</v>
      </c>
      <c r="B49" s="52">
        <f t="shared" ref="B49" si="103">Q49</f>
        <v>1</v>
      </c>
      <c r="C49" s="39" t="str">
        <f t="shared" ref="C49" si="104">IF(L49="","",L49)</f>
        <v>cup</v>
      </c>
      <c r="D49" s="68" t="str">
        <f t="shared" ref="D49" si="105">_xlfn.CONCAT(K49, U49)</f>
        <v>finely chopped spinach</v>
      </c>
      <c r="H49" s="53"/>
      <c r="I49" s="54">
        <v>1</v>
      </c>
      <c r="J49" s="55" t="s">
        <v>16</v>
      </c>
      <c r="K49" s="55" t="s">
        <v>404</v>
      </c>
      <c r="L49" s="56" t="s">
        <v>16</v>
      </c>
      <c r="M49" s="47">
        <f t="shared" ref="M49" si="106">INDEX(itemGPerQty, MATCH(K49, itemNames, 0))</f>
        <v>0</v>
      </c>
      <c r="N49" s="47">
        <f t="shared" ref="N49" si="107">INDEX(itemMlPerQty, MATCH(K49, itemNames, 0))</f>
        <v>0</v>
      </c>
      <c r="O49" s="47">
        <f t="shared" ref="O49" si="108">IF(J49 = "", I49 * M49, IF(ISNA(CONVERT(I49, J49, "kg")), CONVERT(I49, J49, "l") * IF(N49 &lt;&gt; 0, M49 / N49, 0), CONVERT(I49, J49, "kg")))</f>
        <v>0</v>
      </c>
      <c r="P49" s="47">
        <f t="shared" ref="P49" si="109">IF(J49 = "", I49 * N49, IF(ISNA(CONVERT(I49, J49, "l")), CONVERT(I49, J49, "kg") * IF(M49 &lt;&gt; 0, N49 / M49, 0), CONVERT(I49, J49, "l")))</f>
        <v>0.23658823649999999</v>
      </c>
      <c r="Q49" s="47">
        <f t="shared" ref="Q49" si="110">MROUND(IF(AND(J49 = "", L49 = ""), I49 * recipe13DayScale, IF(ISNA(CONVERT(O49, "kg", L49)), CONVERT(P49 * recipe13DayScale, "l", L49), CONVERT(O49 * recipe13DayScale, "kg", L49))), roundTo)</f>
        <v>1</v>
      </c>
      <c r="R49" s="47">
        <f t="shared" ref="R49" si="111">recipe13TotScale * IF(L49 = "", Q49 * M49, IF(ISNA(CONVERT(Q49, L49, "kg")), CONVERT(Q49, L49, "l") * IF(N49 &lt;&gt; 0, M49 / N49, 0), CONVERT(Q49, L49, "kg")))</f>
        <v>0</v>
      </c>
      <c r="S49" s="47">
        <f t="shared" ref="S49" si="112">recipe13TotScale * IF(R49 = 0, IF(L49 = "", Q49 * N49, IF(ISNA(CONVERT(Q49, L49, "l")), CONVERT(Q49, L49, "kg") * IF(M49 &lt;&gt; 0, N49 / M49, 0), CONVERT(Q49, L49, "l"))), 0)</f>
        <v>0.35488235474999996</v>
      </c>
      <c r="T49" s="47">
        <f t="shared" ref="T49" si="113">recipe13TotScale * IF(AND(R49 = 0, S49 = 0, J49 = "", L49 = ""), Q49, 0)</f>
        <v>0</v>
      </c>
      <c r="V49" s="69" t="b">
        <f t="shared" ref="V49" si="114">INDEX(itemPrepMethods, MATCH(K49, itemNames, 0))="chop"</f>
        <v>1</v>
      </c>
      <c r="W49" s="57">
        <f t="shared" ref="W49" si="115">IF(V49, Q49, "")</f>
        <v>1</v>
      </c>
      <c r="X49" s="58" t="str">
        <f t="shared" ref="X49" si="116">IF(V49, IF(L49 = "", "", L49), "")</f>
        <v>cup</v>
      </c>
      <c r="Y49" s="58" t="str">
        <f t="shared" ref="Y49" si="117">IF(V49, K49, "")</f>
        <v>finely chopped spinach</v>
      </c>
      <c r="Z49" s="59"/>
      <c r="AA49" s="69" t="b">
        <f t="shared" ref="AA49" si="118">INDEX(itemPrepMethods, MATCH(K49, itemNames, 0))="soak"</f>
        <v>0</v>
      </c>
      <c r="AB49" s="58" t="str">
        <f t="shared" ref="AB49" si="119">IF(AA49, Q49, "")</f>
        <v/>
      </c>
      <c r="AC49" s="58" t="str">
        <f t="shared" ref="AC49" si="120">IF(AA49, IF(L49 = "", "", L49), "")</f>
        <v/>
      </c>
      <c r="AD49" s="58" t="str">
        <f t="shared" ref="AD49" si="121">IF(AA49, K49, "")</f>
        <v/>
      </c>
    </row>
    <row r="50" spans="1:30" x14ac:dyDescent="0.25">
      <c r="A50" s="40" t="s">
        <v>21</v>
      </c>
      <c r="B50" s="52">
        <f t="shared" si="65"/>
        <v>2</v>
      </c>
      <c r="C50" s="39" t="str">
        <f t="shared" si="66"/>
        <v>tsp</v>
      </c>
      <c r="D50" s="65" t="str">
        <f t="shared" si="67"/>
        <v>ground corriander</v>
      </c>
      <c r="H50" s="53"/>
      <c r="I50" s="54">
        <v>2</v>
      </c>
      <c r="J50" s="55" t="s">
        <v>13</v>
      </c>
      <c r="K50" s="55" t="s">
        <v>156</v>
      </c>
      <c r="L50" s="56" t="s">
        <v>13</v>
      </c>
      <c r="M50" s="47">
        <f t="shared" si="68"/>
        <v>0</v>
      </c>
      <c r="N50" s="47">
        <f t="shared" si="69"/>
        <v>0</v>
      </c>
      <c r="O50" s="47">
        <f t="shared" si="70"/>
        <v>0</v>
      </c>
      <c r="P50" s="47">
        <f t="shared" si="71"/>
        <v>9.8578431874999997E-3</v>
      </c>
      <c r="Q50" s="47">
        <f t="shared" si="72"/>
        <v>2</v>
      </c>
      <c r="R50" s="47">
        <f t="shared" si="73"/>
        <v>0</v>
      </c>
      <c r="S50" s="47">
        <f t="shared" si="74"/>
        <v>1.478676478125E-2</v>
      </c>
      <c r="T50" s="47">
        <f t="shared" si="75"/>
        <v>0</v>
      </c>
      <c r="V50" s="44" t="b">
        <f t="shared" si="76"/>
        <v>0</v>
      </c>
      <c r="W50" s="57" t="str">
        <f t="shared" si="77"/>
        <v/>
      </c>
      <c r="X50" s="58" t="str">
        <f t="shared" si="78"/>
        <v/>
      </c>
      <c r="Y50" s="58" t="str">
        <f t="shared" si="79"/>
        <v/>
      </c>
      <c r="Z50" s="59"/>
      <c r="AA50" s="44" t="b">
        <f t="shared" si="80"/>
        <v>0</v>
      </c>
      <c r="AB50" s="58" t="str">
        <f t="shared" si="81"/>
        <v/>
      </c>
      <c r="AC50" s="58" t="str">
        <f t="shared" si="82"/>
        <v/>
      </c>
      <c r="AD50" s="58" t="str">
        <f t="shared" si="83"/>
        <v/>
      </c>
    </row>
    <row r="51" spans="1:30" ht="15.75" x14ac:dyDescent="0.25">
      <c r="A51" s="110" t="s">
        <v>23</v>
      </c>
      <c r="B51" s="110"/>
      <c r="C51" s="110"/>
      <c r="D51" s="110"/>
      <c r="E51" s="42" t="s">
        <v>132</v>
      </c>
      <c r="F51" s="104" t="s">
        <v>95</v>
      </c>
      <c r="G51" s="104"/>
    </row>
    <row r="52" spans="1:30" ht="24" x14ac:dyDescent="0.2">
      <c r="A52" s="115" t="s">
        <v>20</v>
      </c>
      <c r="B52" s="115"/>
      <c r="C52" s="115"/>
      <c r="D52" s="115"/>
      <c r="E52" s="42" t="s">
        <v>56</v>
      </c>
      <c r="F52" s="90">
        <v>11</v>
      </c>
      <c r="G52" s="47"/>
      <c r="H52" s="47"/>
      <c r="I52" s="70" t="s">
        <v>448</v>
      </c>
      <c r="J52" s="71" t="s">
        <v>449</v>
      </c>
      <c r="K52" s="71" t="s">
        <v>17</v>
      </c>
      <c r="L52" s="72" t="s">
        <v>452</v>
      </c>
      <c r="M52" s="70" t="s">
        <v>148</v>
      </c>
      <c r="N52" s="70" t="s">
        <v>149</v>
      </c>
      <c r="O52" s="70" t="s">
        <v>450</v>
      </c>
      <c r="P52" s="70" t="s">
        <v>451</v>
      </c>
      <c r="Q52" s="71" t="s">
        <v>364</v>
      </c>
      <c r="R52" s="70" t="s">
        <v>365</v>
      </c>
      <c r="S52" s="70" t="s">
        <v>366</v>
      </c>
      <c r="T52" s="70" t="s">
        <v>367</v>
      </c>
      <c r="U52" s="71" t="s">
        <v>22</v>
      </c>
      <c r="V52" s="71" t="s">
        <v>212</v>
      </c>
      <c r="W52" s="73" t="s">
        <v>364</v>
      </c>
      <c r="X52" s="71" t="s">
        <v>210</v>
      </c>
      <c r="Y52" s="71" t="s">
        <v>211</v>
      </c>
      <c r="Z52" s="71" t="s">
        <v>313</v>
      </c>
      <c r="AA52" s="71" t="s">
        <v>213</v>
      </c>
      <c r="AB52" s="73" t="s">
        <v>364</v>
      </c>
      <c r="AC52" s="71" t="s">
        <v>214</v>
      </c>
      <c r="AD52" s="71" t="s">
        <v>215</v>
      </c>
    </row>
    <row r="53" spans="1:30" ht="16.5" thickBot="1" x14ac:dyDescent="0.3">
      <c r="A53" s="116"/>
      <c r="B53" s="116"/>
      <c r="C53" s="116"/>
      <c r="D53" s="116"/>
      <c r="E53" s="66" t="s">
        <v>359</v>
      </c>
      <c r="F53" s="90">
        <f>saLuCount</f>
        <v>10</v>
      </c>
      <c r="G53" s="47"/>
      <c r="H53" s="47"/>
      <c r="I53" s="63"/>
      <c r="J53" s="42"/>
      <c r="K53" s="42"/>
      <c r="L53" s="64"/>
      <c r="M53" s="63"/>
      <c r="N53" s="63"/>
      <c r="O53" s="63"/>
      <c r="P53" s="63"/>
      <c r="Q53" s="42"/>
      <c r="R53" s="63"/>
      <c r="S53" s="63"/>
      <c r="T53" s="63"/>
      <c r="U53" s="42"/>
    </row>
    <row r="54" spans="1:30" ht="15.75" thickBot="1" x14ac:dyDescent="0.3">
      <c r="A54" s="111" t="s">
        <v>406</v>
      </c>
      <c r="B54" s="111"/>
      <c r="C54" s="111"/>
      <c r="D54" s="111"/>
      <c r="E54" s="66" t="s">
        <v>362</v>
      </c>
      <c r="F54" s="50">
        <f>F53/F52</f>
        <v>0.90909090909090906</v>
      </c>
      <c r="G54" s="51" t="s">
        <v>370</v>
      </c>
      <c r="H54" s="47"/>
      <c r="I54" s="47"/>
    </row>
    <row r="55" spans="1:30" x14ac:dyDescent="0.25">
      <c r="A55" s="40" t="s">
        <v>21</v>
      </c>
      <c r="B55" s="52">
        <f>Q55</f>
        <v>1.75</v>
      </c>
      <c r="C55" s="39" t="str">
        <f>IF(L55="","",L55)</f>
        <v>kg</v>
      </c>
      <c r="D55" s="40" t="str">
        <f>_xlfn.CONCAT(K55, U55)</f>
        <v>chopped potatoes</v>
      </c>
      <c r="E55" s="67"/>
      <c r="F55" s="67"/>
      <c r="G55" s="67"/>
      <c r="H55" s="53"/>
      <c r="I55" s="54">
        <v>2</v>
      </c>
      <c r="J55" s="55" t="s">
        <v>12</v>
      </c>
      <c r="K55" s="55" t="s">
        <v>4</v>
      </c>
      <c r="L55" s="56" t="s">
        <v>12</v>
      </c>
      <c r="M55" s="47">
        <f>INDEX(itemGPerQty, MATCH(K55, itemNames, 0))</f>
        <v>0.22500000000000001</v>
      </c>
      <c r="N55" s="47">
        <f>INDEX(itemMlPerQty, MATCH(K55, itemNames, 0))</f>
        <v>0.33750000000000002</v>
      </c>
      <c r="O55" s="47">
        <f t="shared" ref="O55:O56" si="122">IF(J55 = "", I55 * M55, IF(ISNA(CONVERT(I55, J55, "kg")), CONVERT(I55, J55, "l") * IF(N55 &lt;&gt; 0, M55 / N55, 0), CONVERT(I55, J55, "kg")))</f>
        <v>2</v>
      </c>
      <c r="P55" s="47">
        <f t="shared" ref="P55:P56" si="123">IF(J55 = "", I55 * N55, IF(ISNA(CONVERT(I55, J55, "l")), CONVERT(I55, J55, "kg") * IF(M55 &lt;&gt; 0, N55 / M55, 0), CONVERT(I55, J55, "l")))</f>
        <v>3</v>
      </c>
      <c r="Q55" s="47">
        <f>MROUND(IF(AND(J55 = "", L55 = ""), I55 * recipe01DayScale, IF(ISNA(CONVERT(O55, "kg", L55)), CONVERT(P55 * recipe01DayScale, "l", L55), CONVERT(O55 * recipe01DayScale, "kg", L55))), roundTo)</f>
        <v>1.75</v>
      </c>
      <c r="R55" s="47">
        <f>recipe01TotScale * IF(L55 = "", Q55 * M55, IF(ISNA(CONVERT(Q55, L55, "kg")), CONVERT(Q55, L55, "l") * IF(N55 &lt;&gt; 0, M55 / N55, 0), CONVERT(Q55, L55, "kg")))</f>
        <v>1.75</v>
      </c>
      <c r="S55" s="47">
        <f>recipe01TotScale * IF(R55 = 0, IF(L55 = "", Q55 * N55, IF(ISNA(CONVERT(Q55, L55, "l")), CONVERT(Q55, L55, "kg") * IF(M55 &lt;&gt; 0, N55 / M55, 0), CONVERT(Q55, L55, "l"))), 0)</f>
        <v>0</v>
      </c>
      <c r="T55" s="47">
        <f>recipe01TotScale * IF(AND(R55 = 0, S55 = 0, J55 = "", L55 = ""), Q55, 0)</f>
        <v>0</v>
      </c>
      <c r="V55" s="44" t="b">
        <f>INDEX(itemPrepMethods, MATCH(K55, itemNames, 0))="chop"</f>
        <v>1</v>
      </c>
      <c r="W55" s="57">
        <f>IF(V55, Q55, "")</f>
        <v>1.75</v>
      </c>
      <c r="X55" s="58" t="str">
        <f>IF(V55, IF(L55 = "", "", L55), "")</f>
        <v>kg</v>
      </c>
      <c r="Y55" s="58" t="str">
        <f>IF(V55, K55, "")</f>
        <v>chopped potatoes</v>
      </c>
      <c r="Z55" s="59"/>
      <c r="AA55" s="44" t="b">
        <f>INDEX(itemPrepMethods, MATCH(K55, itemNames, 0))="soak"</f>
        <v>0</v>
      </c>
      <c r="AB55" s="58" t="str">
        <f>IF(AA55, Q55, "")</f>
        <v/>
      </c>
      <c r="AC55" s="58" t="str">
        <f>IF(AA55, IF(L55 = "", "", L55), "")</f>
        <v/>
      </c>
      <c r="AD55" s="58" t="str">
        <f>IF(AA55, K55, "")</f>
        <v/>
      </c>
    </row>
    <row r="56" spans="1:30" ht="15.75" thickBot="1" x14ac:dyDescent="0.3">
      <c r="A56" s="40" t="s">
        <v>21</v>
      </c>
      <c r="B56" s="52">
        <f>Q56</f>
        <v>3.75</v>
      </c>
      <c r="C56" s="39" t="str">
        <f>IF(L56="","",L56)</f>
        <v>cup</v>
      </c>
      <c r="D56" s="40" t="str">
        <f>_xlfn.CONCAT(K56, U56)</f>
        <v>split peas. Soaked by Tenzo the night before. Rinse and drain first</v>
      </c>
      <c r="E56" s="66" t="s">
        <v>338</v>
      </c>
      <c r="F56" s="67">
        <f>saLuCount</f>
        <v>10</v>
      </c>
      <c r="G56" s="67"/>
      <c r="I56" s="54">
        <v>4</v>
      </c>
      <c r="J56" s="55" t="s">
        <v>16</v>
      </c>
      <c r="K56" s="55" t="s">
        <v>7</v>
      </c>
      <c r="L56" s="56" t="s">
        <v>16</v>
      </c>
      <c r="M56" s="47">
        <f>INDEX(itemGPerQty, MATCH(K56, itemNames, 0))</f>
        <v>0.84699999999999998</v>
      </c>
      <c r="N56" s="47">
        <f>INDEX(itemMlPerQty, MATCH(K56, itemNames, 0))</f>
        <v>0.946353</v>
      </c>
      <c r="O56" s="47">
        <f t="shared" si="122"/>
        <v>0.84699995166919739</v>
      </c>
      <c r="P56" s="47">
        <f t="shared" si="123"/>
        <v>0.94635294599999997</v>
      </c>
      <c r="Q56" s="47">
        <f>MROUND(IF(AND(J56 = "", L56 = ""), I56 * recipe01DayScale, IF(ISNA(CONVERT(O56, "kg", L56)), CONVERT(P56 * recipe01DayScale, "l", L56), CONVERT(O56 * recipe01DayScale, "kg", L56))), roundTo)</f>
        <v>3.75</v>
      </c>
      <c r="R56" s="47">
        <f>recipe01TotScale * IF(L56 = "", Q56 * M56, IF(ISNA(CONVERT(Q56, L56, "kg")), CONVERT(Q56, L56, "l") * IF(N56 &lt;&gt; 0, M56 / N56, 0), CONVERT(Q56, L56, "kg")))</f>
        <v>0.79406245468987258</v>
      </c>
      <c r="S56" s="47">
        <f>recipe01TotScale * IF(R56 = 0, IF(L56 = "", Q56 * N56, IF(ISNA(CONVERT(Q56, L56, "l")), CONVERT(Q56, L56, "kg") * IF(M56 &lt;&gt; 0, N56 / M56, 0), CONVERT(Q56, L56, "l"))), 0)</f>
        <v>0</v>
      </c>
      <c r="T56" s="47">
        <f>recipe01TotScale * IF(AND(R56 = 0, S56 = 0, J56 = "", L56 = ""), Q56, 0)</f>
        <v>0</v>
      </c>
      <c r="U56" s="44" t="s">
        <v>244</v>
      </c>
      <c r="V56" s="44" t="b">
        <f>INDEX(itemPrepMethods, MATCH(K56, itemNames, 0))="chop"</f>
        <v>0</v>
      </c>
      <c r="W56" s="57" t="str">
        <f>IF(V56, Q56, "")</f>
        <v/>
      </c>
      <c r="X56" s="58" t="str">
        <f>IF(V56, IF(L56 = "", "", L56), "")</f>
        <v/>
      </c>
      <c r="Y56" s="58" t="str">
        <f>IF(V56, K56, "")</f>
        <v/>
      </c>
      <c r="Z56" s="59"/>
      <c r="AA56" s="44" t="b">
        <f>INDEX(itemPrepMethods, MATCH(K56, itemNames, 0))="soak"</f>
        <v>1</v>
      </c>
      <c r="AB56" s="58">
        <f>IF(AA56, Q56, "")</f>
        <v>3.75</v>
      </c>
      <c r="AC56" s="58" t="str">
        <f>IF(AA56, IF(L56 = "", "", L56), "")</f>
        <v>cup</v>
      </c>
      <c r="AD56" s="58" t="str">
        <f>IF(AA56, K56, "")</f>
        <v>split peas</v>
      </c>
    </row>
    <row r="57" spans="1:30" ht="15.75" thickBot="1" x14ac:dyDescent="0.3">
      <c r="A57" s="111"/>
      <c r="B57" s="111"/>
      <c r="C57" s="111"/>
      <c r="D57" s="111"/>
      <c r="E57" s="66" t="s">
        <v>363</v>
      </c>
      <c r="F57" s="50">
        <f>F56/F53</f>
        <v>1</v>
      </c>
      <c r="G57" s="51" t="s">
        <v>371</v>
      </c>
      <c r="I57" s="47"/>
      <c r="M57" s="44"/>
      <c r="N57" s="44"/>
      <c r="W57" s="74"/>
      <c r="X57" s="74"/>
      <c r="Y57" s="74"/>
      <c r="Z57" s="74"/>
      <c r="AA57" s="67"/>
      <c r="AB57" s="74"/>
      <c r="AC57" s="74"/>
      <c r="AD57" s="74"/>
    </row>
    <row r="58" spans="1:30" x14ac:dyDescent="0.25">
      <c r="A58" s="111" t="s">
        <v>19</v>
      </c>
      <c r="B58" s="111"/>
      <c r="C58" s="111"/>
      <c r="D58" s="111"/>
      <c r="I58" s="47"/>
      <c r="M58" s="44"/>
      <c r="N58" s="44"/>
      <c r="W58" s="74"/>
      <c r="X58" s="74"/>
      <c r="Y58" s="74"/>
      <c r="Z58" s="74"/>
      <c r="AA58" s="67"/>
      <c r="AB58" s="74"/>
      <c r="AC58" s="74"/>
      <c r="AD58" s="74"/>
    </row>
    <row r="59" spans="1:30" x14ac:dyDescent="0.25">
      <c r="A59" s="40" t="s">
        <v>21</v>
      </c>
      <c r="B59" s="52">
        <f>Q59</f>
        <v>6.25</v>
      </c>
      <c r="C59" s="39" t="str">
        <f>IF(L59="","",L59)</f>
        <v/>
      </c>
      <c r="D59" s="40" t="str">
        <f>_xlfn.CONCAT(K59, U59)</f>
        <v>garlic cloves. Remove from oil once cooked</v>
      </c>
      <c r="I59" s="54">
        <v>7</v>
      </c>
      <c r="J59" s="55"/>
      <c r="K59" s="55" t="s">
        <v>8</v>
      </c>
      <c r="L59" s="56"/>
      <c r="M59" s="47">
        <f>INDEX(itemGPerQty, MATCH(K59, itemNames, 0))</f>
        <v>0</v>
      </c>
      <c r="N59" s="47">
        <f>INDEX(itemMlPerQty, MATCH(K59, itemNames, 0))</f>
        <v>0</v>
      </c>
      <c r="O59" s="47">
        <f t="shared" ref="O59" si="124">IF(J59 = "", I59 * M59, IF(ISNA(CONVERT(I59, J59, "kg")), CONVERT(I59, J59, "l") * IF(N59 &lt;&gt; 0, M59 / N59, 0), CONVERT(I59, J59, "kg")))</f>
        <v>0</v>
      </c>
      <c r="P59" s="47">
        <f t="shared" ref="P59" si="125">IF(J59 = "", I59 * N59, IF(ISNA(CONVERT(I59, J59, "l")), CONVERT(I59, J59, "kg") * IF(M59 &lt;&gt; 0, N59 / M59, 0), CONVERT(I59, J59, "l")))</f>
        <v>0</v>
      </c>
      <c r="Q59" s="47">
        <f>MROUND(IF(AND(J59 = "", L59 = ""), I59 * recipe01DayScale, IF(ISNA(CONVERT(O59, "kg", L59)), CONVERT(P59 * recipe01DayScale, "l", L59), CONVERT(O59 * recipe01DayScale, "kg", L59))), roundTo)</f>
        <v>6.25</v>
      </c>
      <c r="R59" s="47">
        <f>recipe01TotScale * IF(L59 = "", Q59 * M59, IF(ISNA(CONVERT(Q59, L59, "kg")), CONVERT(Q59, L59, "l") * IF(N59 &lt;&gt; 0, M59 / N59, 0), CONVERT(Q59, L59, "kg")))</f>
        <v>0</v>
      </c>
      <c r="S59" s="47">
        <f>recipe01TotScale * IF(R59 = 0, IF(L59 = "", Q59 * N59, IF(ISNA(CONVERT(Q59, L59, "l")), CONVERT(Q59, L59, "kg") * IF(M59 &lt;&gt; 0, N59 / M59, 0), CONVERT(Q59, L59, "l"))), 0)</f>
        <v>0</v>
      </c>
      <c r="T59" s="47">
        <f>recipe01TotScale * IF(AND(R59 = 0, S59 = 0, J59 = "", L59 = ""), Q59, 0)</f>
        <v>6.25</v>
      </c>
      <c r="U59" s="44" t="s">
        <v>243</v>
      </c>
      <c r="V59" s="44" t="b">
        <f>INDEX(itemPrepMethods, MATCH(K59, itemNames, 0))="chop"</f>
        <v>0</v>
      </c>
      <c r="W59" s="57" t="str">
        <f>IF(V59, Q59, "")</f>
        <v/>
      </c>
      <c r="X59" s="58" t="str">
        <f>IF(V59, IF(L59 = "", "", L59), "")</f>
        <v/>
      </c>
      <c r="Y59" s="58" t="str">
        <f>IF(V59, K59, "")</f>
        <v/>
      </c>
      <c r="Z59" s="59"/>
      <c r="AA59" s="44" t="b">
        <f>INDEX(itemPrepMethods, MATCH(K59, itemNames, 0))="soak"</f>
        <v>0</v>
      </c>
      <c r="AB59" s="58" t="str">
        <f>IF(AA59, Q59, "")</f>
        <v/>
      </c>
      <c r="AC59" s="58" t="str">
        <f>IF(AA59, IF(L59 = "", "", L59), "")</f>
        <v/>
      </c>
      <c r="AD59" s="58" t="str">
        <f>IF(AA59, K59, "")</f>
        <v/>
      </c>
    </row>
    <row r="60" spans="1:30" x14ac:dyDescent="0.25">
      <c r="A60" s="40" t="s">
        <v>21</v>
      </c>
      <c r="B60" s="52">
        <f>Q60</f>
        <v>2</v>
      </c>
      <c r="C60" s="39" t="str">
        <f>IF(L60="","",L60)</f>
        <v/>
      </c>
      <c r="D60" s="40" t="str">
        <f>_xlfn.CONCAT(K60, U60)</f>
        <v>chopped onions</v>
      </c>
      <c r="I60" s="54">
        <v>2.25</v>
      </c>
      <c r="J60" s="55"/>
      <c r="K60" s="55" t="s">
        <v>6</v>
      </c>
      <c r="L60" s="56"/>
      <c r="M60" s="47">
        <f>INDEX(itemGPerQty, MATCH(K60, itemNames, 0))</f>
        <v>0.185</v>
      </c>
      <c r="N60" s="47">
        <f>INDEX(itemMlPerQty, MATCH(K60, itemNames, 0))</f>
        <v>0.3</v>
      </c>
      <c r="O60" s="47">
        <f>IF(J60 = "", I60 * M60, IF(ISNA(CONVERT(I60, J60, "kg")), CONVERT(I60, J60, "l") * IF(N60 &lt;&gt; 0, M60 / N60, 0), CONVERT(I60, J60, "kg")))</f>
        <v>0.41625000000000001</v>
      </c>
      <c r="P60" s="47">
        <f>IF(J60 = "", I60 * N60, IF(ISNA(CONVERT(I60, J60, "l")), CONVERT(I60, J60, "kg") * IF(M60 &lt;&gt; 0, N60 / M60, 0), CONVERT(I60, J60, "l")))</f>
        <v>0.67499999999999993</v>
      </c>
      <c r="Q60" s="47">
        <f>MROUND(IF(AND(J60 = "", L60 = ""), I60 * recipe01DayScale, IF(ISNA(CONVERT(O60, "kg", L60)), CONVERT(P60 * recipe01DayScale, "l", L60), CONVERT(O60 * recipe01DayScale, "kg", L60))), roundTo)</f>
        <v>2</v>
      </c>
      <c r="R60" s="47">
        <f>recipe01TotScale * IF(L60 = "", Q60 * M60, IF(ISNA(CONVERT(Q60, L60, "kg")), CONVERT(Q60, L60, "l") * IF(N60 &lt;&gt; 0, M60 / N60, 0), CONVERT(Q60, L60, "kg")))</f>
        <v>0.37</v>
      </c>
      <c r="S60" s="47">
        <f>recipe01TotScale * IF(R60 = 0, IF(L60 = "", Q60 * N60, IF(ISNA(CONVERT(Q60, L60, "l")), CONVERT(Q60, L60, "kg") * IF(M60 &lt;&gt; 0, N60 / M60, 0), CONVERT(Q60, L60, "l"))), 0)</f>
        <v>0</v>
      </c>
      <c r="T60" s="47">
        <f>recipe01TotScale * IF(AND(R60 = 0, S60 = 0, J60 = "", L60 = ""), Q60, 0)</f>
        <v>0</v>
      </c>
      <c r="V60" s="44" t="b">
        <f>INDEX(itemPrepMethods, MATCH(K60, itemNames, 0))="chop"</f>
        <v>1</v>
      </c>
      <c r="W60" s="57">
        <f>IF(V60, Q60, "")</f>
        <v>2</v>
      </c>
      <c r="X60" s="58" t="str">
        <f>IF(V60, IF(L60 = "", "", L60), "")</f>
        <v/>
      </c>
      <c r="Y60" s="58" t="str">
        <f>IF(V60, K60, "")</f>
        <v>chopped onions</v>
      </c>
      <c r="Z60" s="59"/>
      <c r="AA60" s="44" t="b">
        <f>INDEX(itemPrepMethods, MATCH(K60, itemNames, 0))="soak"</f>
        <v>0</v>
      </c>
      <c r="AB60" s="58" t="str">
        <f>IF(AA60, Q60, "")</f>
        <v/>
      </c>
      <c r="AC60" s="58" t="str">
        <f>IF(AA60, IF(L60 = "", "", L60), "")</f>
        <v/>
      </c>
      <c r="AD60" s="58" t="str">
        <f>IF(AA60, K60, "")</f>
        <v/>
      </c>
    </row>
    <row r="61" spans="1:30" x14ac:dyDescent="0.25">
      <c r="A61" s="111"/>
      <c r="B61" s="111"/>
      <c r="C61" s="111"/>
      <c r="D61" s="111"/>
      <c r="I61" s="47"/>
      <c r="M61" s="44"/>
      <c r="N61" s="44"/>
      <c r="W61" s="74"/>
      <c r="X61" s="74"/>
      <c r="Y61" s="74"/>
      <c r="Z61" s="74"/>
      <c r="AA61" s="67"/>
      <c r="AB61" s="74"/>
      <c r="AC61" s="74"/>
      <c r="AD61" s="74"/>
    </row>
    <row r="62" spans="1:30" x14ac:dyDescent="0.25">
      <c r="A62" s="111" t="s">
        <v>219</v>
      </c>
      <c r="B62" s="111"/>
      <c r="C62" s="111"/>
      <c r="D62" s="111"/>
      <c r="I62" s="47"/>
      <c r="M62" s="44"/>
      <c r="N62" s="44"/>
      <c r="W62" s="74"/>
      <c r="X62" s="74"/>
      <c r="Y62" s="74"/>
      <c r="Z62" s="74"/>
      <c r="AA62" s="67"/>
      <c r="AB62" s="74"/>
      <c r="AC62" s="74"/>
      <c r="AD62" s="74"/>
    </row>
    <row r="63" spans="1:30" x14ac:dyDescent="0.25">
      <c r="A63" s="40" t="s">
        <v>21</v>
      </c>
      <c r="B63" s="52">
        <f>Q63</f>
        <v>4.5</v>
      </c>
      <c r="C63" s="39" t="str">
        <f>IF(L63="","",L63)</f>
        <v>tbs</v>
      </c>
      <c r="D63" s="40" t="str">
        <f>_xlfn.CONCAT(K63, U63)</f>
        <v>curry powder</v>
      </c>
      <c r="I63" s="54">
        <v>5</v>
      </c>
      <c r="J63" s="55" t="s">
        <v>15</v>
      </c>
      <c r="K63" s="55" t="s">
        <v>9</v>
      </c>
      <c r="L63" s="56" t="s">
        <v>15</v>
      </c>
      <c r="M63" s="47">
        <f>INDEX(itemGPerQty, MATCH(K63, itemNames, 0))</f>
        <v>1.2E-2</v>
      </c>
      <c r="N63" s="47">
        <f>INDEX(itemMlPerQty, MATCH(K63, itemNames, 0))</f>
        <v>2.2180100000000001E-2</v>
      </c>
      <c r="O63" s="47">
        <f t="shared" ref="O63:O67" si="126">IF(J63 = "", I63 * M63, IF(ISNA(CONVERT(I63, J63, "kg")), CONVERT(I63, J63, "l") * IF(N63 &lt;&gt; 0, M63 / N63, 0), CONVERT(I63, J63, "kg")))</f>
        <v>4.0000085070626371E-2</v>
      </c>
      <c r="P63" s="47">
        <f t="shared" ref="P63:P67" si="127">IF(J63 = "", I63 * N63, IF(ISNA(CONVERT(I63, J63, "l")), CONVERT(I63, J63, "kg") * IF(M63 &lt;&gt; 0, N63 / M63, 0), CONVERT(I63, J63, "l")))</f>
        <v>7.3933823906250001E-2</v>
      </c>
      <c r="Q63" s="47">
        <f>MROUND(IF(AND(J63 = "", L63 = ""), I63 * recipe01DayScale, IF(ISNA(CONVERT(O63, "kg", L63)), CONVERT(P63 * recipe01DayScale, "l", L63), CONVERT(O63 * recipe01DayScale, "kg", L63))), roundTo)</f>
        <v>4.5</v>
      </c>
      <c r="R63" s="47">
        <f>recipe01TotScale * IF(L63 = "", Q63 * M63, IF(ISNA(CONVERT(Q63, L63, "kg")), CONVERT(Q63, L63, "l") * IF(N63 &lt;&gt; 0, M63 / N63, 0), CONVERT(Q63, L63, "kg")))</f>
        <v>3.6000076563563729E-2</v>
      </c>
      <c r="S63" s="47">
        <f>recipe01TotScale * IF(R63 = 0, IF(L63 = "", Q63 * N63, IF(ISNA(CONVERT(Q63, L63, "l")), CONVERT(Q63, L63, "kg") * IF(M63 &lt;&gt; 0, N63 / M63, 0), CONVERT(Q63, L63, "l"))), 0)</f>
        <v>0</v>
      </c>
      <c r="T63" s="47">
        <f>recipe01TotScale * IF(AND(R63 = 0, S63 = 0, J63 = "", L63 = ""), Q63, 0)</f>
        <v>0</v>
      </c>
      <c r="V63" s="44" t="b">
        <f>INDEX(itemPrepMethods, MATCH(K63, itemNames, 0))="chop"</f>
        <v>0</v>
      </c>
      <c r="W63" s="57" t="str">
        <f>IF(V63, Q63, "")</f>
        <v/>
      </c>
      <c r="X63" s="58" t="str">
        <f>IF(V63, IF(L63 = "", "", L63), "")</f>
        <v/>
      </c>
      <c r="Y63" s="58" t="str">
        <f>IF(V63, K63, "")</f>
        <v/>
      </c>
      <c r="Z63" s="59"/>
      <c r="AA63" s="44" t="b">
        <f>INDEX(itemPrepMethods, MATCH(K63, itemNames, 0))="soak"</f>
        <v>0</v>
      </c>
      <c r="AB63" s="58" t="str">
        <f>IF(AA63, Q63, "")</f>
        <v/>
      </c>
      <c r="AC63" s="58" t="str">
        <f>IF(AA63, IF(L63 = "", "", L63), "")</f>
        <v/>
      </c>
      <c r="AD63" s="58" t="str">
        <f>IF(AA63, K63, "")</f>
        <v/>
      </c>
    </row>
    <row r="64" spans="1:30" x14ac:dyDescent="0.25">
      <c r="A64" s="40" t="s">
        <v>21</v>
      </c>
      <c r="B64" s="52">
        <f>Q64</f>
        <v>3.75</v>
      </c>
      <c r="C64" s="39" t="str">
        <f>IF(L64="","",L64)</f>
        <v>tbs</v>
      </c>
      <c r="D64" s="40" t="str">
        <f>_xlfn.CONCAT(K64, U64)</f>
        <v>garam masala</v>
      </c>
      <c r="I64" s="54">
        <v>4</v>
      </c>
      <c r="J64" s="55" t="s">
        <v>15</v>
      </c>
      <c r="K64" s="55" t="s">
        <v>10</v>
      </c>
      <c r="L64" s="56" t="s">
        <v>15</v>
      </c>
      <c r="M64" s="47">
        <f>INDEX(itemGPerQty, MATCH(K64, itemNames, 0))</f>
        <v>0.01</v>
      </c>
      <c r="N64" s="47">
        <f>INDEX(itemMlPerQty, MATCH(K64, itemNames, 0))</f>
        <v>2.2180100000000001E-2</v>
      </c>
      <c r="O64" s="47">
        <f t="shared" si="126"/>
        <v>2.6666723380417583E-2</v>
      </c>
      <c r="P64" s="47">
        <f t="shared" si="127"/>
        <v>5.9147059124999998E-2</v>
      </c>
      <c r="Q64" s="47">
        <f>MROUND(IF(AND(J64 = "", L64 = ""), I64 * recipe01DayScale, IF(ISNA(CONVERT(O64, "kg", L64)), CONVERT(P64 * recipe01DayScale, "l", L64), CONVERT(O64 * recipe01DayScale, "kg", L64))), roundTo)</f>
        <v>3.75</v>
      </c>
      <c r="R64" s="47">
        <f>recipe01TotScale * IF(L64 = "", Q64 * M64, IF(ISNA(CONVERT(Q64, L64, "kg")), CONVERT(Q64, L64, "l") * IF(N64 &lt;&gt; 0, M64 / N64, 0), CONVERT(Q64, L64, "kg")))</f>
        <v>2.5000053169141483E-2</v>
      </c>
      <c r="S64" s="47">
        <f>recipe01TotScale * IF(R64 = 0, IF(L64 = "", Q64 * N64, IF(ISNA(CONVERT(Q64, L64, "l")), CONVERT(Q64, L64, "kg") * IF(M64 &lt;&gt; 0, N64 / M64, 0), CONVERT(Q64, L64, "l"))), 0)</f>
        <v>0</v>
      </c>
      <c r="T64" s="47">
        <f>recipe01TotScale * IF(AND(R64 = 0, S64 = 0, J64 = "", L64 = ""), Q64, 0)</f>
        <v>0</v>
      </c>
      <c r="V64" s="44" t="b">
        <f>INDEX(itemPrepMethods, MATCH(K64, itemNames, 0))="chop"</f>
        <v>0</v>
      </c>
      <c r="W64" s="57" t="str">
        <f>IF(V64, Q64, "")</f>
        <v/>
      </c>
      <c r="X64" s="58" t="str">
        <f>IF(V64, IF(L64 = "", "", L64), "")</f>
        <v/>
      </c>
      <c r="Y64" s="58" t="str">
        <f>IF(V64, K64, "")</f>
        <v/>
      </c>
      <c r="Z64" s="59"/>
      <c r="AA64" s="44" t="b">
        <f>INDEX(itemPrepMethods, MATCH(K64, itemNames, 0))="soak"</f>
        <v>0</v>
      </c>
      <c r="AB64" s="58" t="str">
        <f>IF(AA64, Q64, "")</f>
        <v/>
      </c>
      <c r="AC64" s="58" t="str">
        <f>IF(AA64, IF(L64 = "", "", L64), "")</f>
        <v/>
      </c>
      <c r="AD64" s="58" t="str">
        <f>IF(AA64, K64, "")</f>
        <v/>
      </c>
    </row>
    <row r="65" spans="1:30" x14ac:dyDescent="0.25">
      <c r="A65" s="40" t="s">
        <v>21</v>
      </c>
      <c r="B65" s="52">
        <f>Q65</f>
        <v>2.75</v>
      </c>
      <c r="C65" s="39" t="str">
        <f>IF(L65="","",L65)</f>
        <v>tsp</v>
      </c>
      <c r="D65" s="40" t="str">
        <f>_xlfn.CONCAT(K65, U65)</f>
        <v>ground turmeric</v>
      </c>
      <c r="I65" s="54">
        <v>3</v>
      </c>
      <c r="J65" s="55" t="s">
        <v>13</v>
      </c>
      <c r="K65" s="55" t="s">
        <v>316</v>
      </c>
      <c r="L65" s="56" t="s">
        <v>13</v>
      </c>
      <c r="M65" s="47">
        <f>INDEX(itemGPerQty, MATCH(K65, itemNames, 0))</f>
        <v>1.4E-2</v>
      </c>
      <c r="N65" s="47">
        <f>INDEX(itemMlPerQty, MATCH(K65, itemNames, 0))</f>
        <v>2.2180100000000001E-2</v>
      </c>
      <c r="O65" s="47">
        <f t="shared" si="126"/>
        <v>9.3333531831461536E-3</v>
      </c>
      <c r="P65" s="47">
        <f t="shared" si="127"/>
        <v>1.478676478125E-2</v>
      </c>
      <c r="Q65" s="47">
        <f>MROUND(IF(AND(J65 = "", L65 = ""), I65 * recipe01DayScale, IF(ISNA(CONVERT(O65, "kg", L65)), CONVERT(P65 * recipe01DayScale, "l", L65), CONVERT(O65 * recipe01DayScale, "kg", L65))), roundTo)</f>
        <v>2.75</v>
      </c>
      <c r="R65" s="47">
        <f>recipe01TotScale * IF(L65 = "", Q65 * M65, IF(ISNA(CONVERT(Q65, L65, "kg")), CONVERT(Q65, L65, "l") * IF(N65 &lt;&gt; 0, M65 / N65, 0), CONVERT(Q65, L65, "kg")))</f>
        <v>8.5555737512173075E-3</v>
      </c>
      <c r="S65" s="47">
        <f>recipe01TotScale * IF(R65 = 0, IF(L65 = "", Q65 * N65, IF(ISNA(CONVERT(Q65, L65, "l")), CONVERT(Q65, L65, "kg") * IF(M65 &lt;&gt; 0, N65 / M65, 0), CONVERT(Q65, L65, "l"))), 0)</f>
        <v>0</v>
      </c>
      <c r="T65" s="47">
        <f>recipe01TotScale * IF(AND(R65 = 0, S65 = 0, J65 = "", L65 = ""), Q65, 0)</f>
        <v>0</v>
      </c>
      <c r="V65" s="44" t="b">
        <f>INDEX(itemPrepMethods, MATCH(K65, itemNames, 0))="chop"</f>
        <v>0</v>
      </c>
      <c r="W65" s="57" t="str">
        <f>IF(V65, Q65, "")</f>
        <v/>
      </c>
      <c r="X65" s="58" t="str">
        <f>IF(V65, IF(L65 = "", "", L65), "")</f>
        <v/>
      </c>
      <c r="Y65" s="58" t="str">
        <f>IF(V65, K65, "")</f>
        <v/>
      </c>
      <c r="Z65" s="59"/>
      <c r="AA65" s="44" t="b">
        <f>INDEX(itemPrepMethods, MATCH(K65, itemNames, 0))="soak"</f>
        <v>0</v>
      </c>
      <c r="AB65" s="58" t="str">
        <f>IF(AA65, Q65, "")</f>
        <v/>
      </c>
      <c r="AC65" s="58" t="str">
        <f>IF(AA65, IF(L65 = "", "", L65), "")</f>
        <v/>
      </c>
      <c r="AD65" s="58" t="str">
        <f>IF(AA65, K65, "")</f>
        <v/>
      </c>
    </row>
    <row r="66" spans="1:30" x14ac:dyDescent="0.25">
      <c r="A66" s="40" t="s">
        <v>21</v>
      </c>
      <c r="B66" s="52">
        <f>Q66</f>
        <v>2.75</v>
      </c>
      <c r="C66" s="39" t="str">
        <f>IF(L66="","",L66)</f>
        <v>tsp</v>
      </c>
      <c r="D66" s="40" t="str">
        <f>_xlfn.CONCAT(K66, U66)</f>
        <v>ground cumin</v>
      </c>
      <c r="I66" s="54">
        <v>3</v>
      </c>
      <c r="J66" s="55" t="s">
        <v>13</v>
      </c>
      <c r="K66" s="55" t="s">
        <v>14</v>
      </c>
      <c r="L66" s="56" t="s">
        <v>13</v>
      </c>
      <c r="M66" s="47">
        <f>INDEX(itemGPerQty, MATCH(K66, itemNames, 0))</f>
        <v>1.0999999999999999E-2</v>
      </c>
      <c r="N66" s="47">
        <f>INDEX(itemMlPerQty, MATCH(K66, itemNames, 0))</f>
        <v>2.2180100000000001E-2</v>
      </c>
      <c r="O66" s="47">
        <f t="shared" si="126"/>
        <v>7.3333489296148338E-3</v>
      </c>
      <c r="P66" s="47">
        <f t="shared" si="127"/>
        <v>1.478676478125E-2</v>
      </c>
      <c r="Q66" s="47">
        <f>MROUND(IF(AND(J66 = "", L66 = ""), I66 * recipe01DayScale, IF(ISNA(CONVERT(O66, "kg", L66)), CONVERT(P66 * recipe01DayScale, "l", L66), CONVERT(O66 * recipe01DayScale, "kg", L66))), roundTo)</f>
        <v>2.75</v>
      </c>
      <c r="R66" s="47">
        <f>recipe01TotScale * IF(L66 = "", Q66 * M66, IF(ISNA(CONVERT(Q66, L66, "kg")), CONVERT(Q66, L66, "l") * IF(N66 &lt;&gt; 0, M66 / N66, 0), CONVERT(Q66, L66, "kg")))</f>
        <v>6.7222365188135983E-3</v>
      </c>
      <c r="S66" s="47">
        <f>recipe01TotScale * IF(R66 = 0, IF(L66 = "", Q66 * N66, IF(ISNA(CONVERT(Q66, L66, "l")), CONVERT(Q66, L66, "kg") * IF(M66 &lt;&gt; 0, N66 / M66, 0), CONVERT(Q66, L66, "l"))), 0)</f>
        <v>0</v>
      </c>
      <c r="T66" s="47">
        <f>recipe01TotScale * IF(AND(R66 = 0, S66 = 0, J66 = "", L66 = ""), Q66, 0)</f>
        <v>0</v>
      </c>
      <c r="V66" s="44" t="b">
        <f>INDEX(itemPrepMethods, MATCH(K66, itemNames, 0))="chop"</f>
        <v>0</v>
      </c>
      <c r="W66" s="57" t="str">
        <f>IF(V66, Q66, "")</f>
        <v/>
      </c>
      <c r="X66" s="58" t="str">
        <f>IF(V66, IF(L66 = "", "", L66), "")</f>
        <v/>
      </c>
      <c r="Y66" s="58" t="str">
        <f>IF(V66, K66, "")</f>
        <v/>
      </c>
      <c r="Z66" s="59"/>
      <c r="AA66" s="44" t="b">
        <f>INDEX(itemPrepMethods, MATCH(K66, itemNames, 0))="soak"</f>
        <v>0</v>
      </c>
      <c r="AB66" s="58" t="str">
        <f>IF(AA66, Q66, "")</f>
        <v/>
      </c>
      <c r="AC66" s="58" t="str">
        <f>IF(AA66, IF(L66 = "", "", L66), "")</f>
        <v/>
      </c>
      <c r="AD66" s="58" t="str">
        <f>IF(AA66, K66, "")</f>
        <v/>
      </c>
    </row>
    <row r="67" spans="1:30" x14ac:dyDescent="0.25">
      <c r="A67" s="40" t="s">
        <v>21</v>
      </c>
      <c r="B67" s="52">
        <f>Q67</f>
        <v>1.75</v>
      </c>
      <c r="C67" s="39" t="str">
        <f>IF(L67="","",L67)</f>
        <v>tsp</v>
      </c>
      <c r="D67" s="40" t="str">
        <f>_xlfn.CONCAT(K67, U67)</f>
        <v>salt</v>
      </c>
      <c r="I67" s="54">
        <v>2</v>
      </c>
      <c r="J67" s="55" t="s">
        <v>13</v>
      </c>
      <c r="K67" s="55" t="s">
        <v>11</v>
      </c>
      <c r="L67" s="56" t="s">
        <v>13</v>
      </c>
      <c r="M67" s="47">
        <f>INDEX(itemGPerQty, MATCH(K67, itemNames, 0))</f>
        <v>2.5000000000000001E-2</v>
      </c>
      <c r="N67" s="47">
        <f>INDEX(itemMlPerQty, MATCH(K67, itemNames, 0))</f>
        <v>2.2180100000000001E-2</v>
      </c>
      <c r="O67" s="47">
        <f t="shared" si="126"/>
        <v>1.111113474184066E-2</v>
      </c>
      <c r="P67" s="47">
        <f t="shared" si="127"/>
        <v>9.8578431874999997E-3</v>
      </c>
      <c r="Q67" s="47">
        <f>MROUND(IF(AND(J67 = "", L67 = ""), I67 * recipe01DayScale, IF(ISNA(CONVERT(O67, "kg", L67)), CONVERT(P67 * recipe01DayScale, "l", L67), CONVERT(O67 * recipe01DayScale, "kg", L67))), roundTo)</f>
        <v>1.75</v>
      </c>
      <c r="R67" s="47">
        <f>recipe01TotScale * IF(L67 = "", Q67 * M67, IF(ISNA(CONVERT(Q67, L67, "kg")), CONVERT(Q67, L67, "l") * IF(N67 &lt;&gt; 0, M67 / N67, 0), CONVERT(Q67, L67, "kg")))</f>
        <v>9.7222428991105784E-3</v>
      </c>
      <c r="S67" s="47">
        <f>recipe01TotScale * IF(R67 = 0, IF(L67 = "", Q67 * N67, IF(ISNA(CONVERT(Q67, L67, "l")), CONVERT(Q67, L67, "kg") * IF(M67 &lt;&gt; 0, N67 / M67, 0), CONVERT(Q67, L67, "l"))), 0)</f>
        <v>0</v>
      </c>
      <c r="T67" s="47">
        <f>recipe01TotScale * IF(AND(R67 = 0, S67 = 0, J67 = "", L67 = ""), Q67, 0)</f>
        <v>0</v>
      </c>
      <c r="V67" s="44" t="b">
        <f>INDEX(itemPrepMethods, MATCH(K67, itemNames, 0))="chop"</f>
        <v>0</v>
      </c>
      <c r="W67" s="57" t="str">
        <f>IF(V67, Q67, "")</f>
        <v/>
      </c>
      <c r="X67" s="58" t="str">
        <f>IF(V67, IF(L67 = "", "", L67), "")</f>
        <v/>
      </c>
      <c r="Y67" s="58" t="str">
        <f>IF(V67, K67, "")</f>
        <v/>
      </c>
      <c r="Z67" s="59"/>
      <c r="AA67" s="44" t="b">
        <f>INDEX(itemPrepMethods, MATCH(K67, itemNames, 0))="soak"</f>
        <v>0</v>
      </c>
      <c r="AB67" s="58" t="str">
        <f>IF(AA67, Q67, "")</f>
        <v/>
      </c>
      <c r="AC67" s="58" t="str">
        <f>IF(AA67, IF(L67 = "", "", L67), "")</f>
        <v/>
      </c>
      <c r="AD67" s="58" t="str">
        <f>IF(AA67, K67, "")</f>
        <v/>
      </c>
    </row>
    <row r="68" spans="1:30" x14ac:dyDescent="0.25">
      <c r="B68" s="52"/>
      <c r="I68" s="44"/>
      <c r="L68" s="44"/>
      <c r="W68" s="44"/>
    </row>
    <row r="69" spans="1:30" x14ac:dyDescent="0.25">
      <c r="A69" s="111" t="s">
        <v>240</v>
      </c>
      <c r="B69" s="111"/>
      <c r="C69" s="111"/>
      <c r="D69" s="111"/>
      <c r="I69" s="44"/>
      <c r="L69" s="44"/>
      <c r="W69" s="44"/>
    </row>
    <row r="70" spans="1:30" x14ac:dyDescent="0.25">
      <c r="A70" s="40" t="s">
        <v>21</v>
      </c>
      <c r="D70" s="40" t="str">
        <f>_xlfn.CONCAT(K70, U70)</f>
        <v>cooked split peas from step 1</v>
      </c>
      <c r="I70" s="47"/>
      <c r="U70" s="44" t="s">
        <v>241</v>
      </c>
      <c r="W70" s="44"/>
    </row>
    <row r="71" spans="1:30" x14ac:dyDescent="0.25">
      <c r="A71" s="40" t="s">
        <v>21</v>
      </c>
      <c r="C71" s="39" t="str">
        <f>IF(L71="","",L71)</f>
        <v/>
      </c>
      <c r="D71" s="40" t="str">
        <f>_xlfn.CONCAT(K71, U71)</f>
        <v>cooked potatoes from step 1. Should be soft but recognisable when served</v>
      </c>
      <c r="I71" s="47"/>
      <c r="J71" s="48"/>
      <c r="L71" s="48"/>
      <c r="M71" s="48"/>
      <c r="N71" s="48"/>
      <c r="O71" s="48"/>
      <c r="P71" s="48"/>
      <c r="U71" s="44" t="s">
        <v>242</v>
      </c>
      <c r="W71" s="44"/>
    </row>
    <row r="72" spans="1:30" x14ac:dyDescent="0.25">
      <c r="A72" s="40" t="s">
        <v>21</v>
      </c>
      <c r="D72" s="40" t="str">
        <f>_xlfn.CONCAT(K72, U72)</f>
        <v>NOTE: sauce will form around potatoes and peas</v>
      </c>
      <c r="I72" s="47"/>
      <c r="U72" s="44" t="s">
        <v>220</v>
      </c>
    </row>
    <row r="73" spans="1:30" ht="15.75" x14ac:dyDescent="0.25">
      <c r="A73" s="110" t="s">
        <v>24</v>
      </c>
      <c r="B73" s="110"/>
      <c r="C73" s="110"/>
      <c r="D73" s="110"/>
      <c r="E73" s="60" t="s">
        <v>133</v>
      </c>
      <c r="F73" s="104" t="s">
        <v>96</v>
      </c>
      <c r="G73" s="104"/>
    </row>
    <row r="74" spans="1:30" ht="24" x14ac:dyDescent="0.2">
      <c r="A74" s="110" t="s">
        <v>25</v>
      </c>
      <c r="B74" s="110"/>
      <c r="C74" s="110"/>
      <c r="D74" s="110"/>
      <c r="E74" s="42" t="s">
        <v>56</v>
      </c>
      <c r="F74" s="90">
        <v>11</v>
      </c>
      <c r="I74" s="70" t="s">
        <v>448</v>
      </c>
      <c r="J74" s="71" t="s">
        <v>449</v>
      </c>
      <c r="K74" s="71" t="s">
        <v>17</v>
      </c>
      <c r="L74" s="72" t="s">
        <v>452</v>
      </c>
      <c r="M74" s="70" t="s">
        <v>148</v>
      </c>
      <c r="N74" s="70" t="s">
        <v>149</v>
      </c>
      <c r="O74" s="70" t="s">
        <v>450</v>
      </c>
      <c r="P74" s="70" t="s">
        <v>451</v>
      </c>
      <c r="Q74" s="71" t="s">
        <v>364</v>
      </c>
      <c r="R74" s="70" t="s">
        <v>365</v>
      </c>
      <c r="S74" s="70" t="s">
        <v>366</v>
      </c>
      <c r="T74" s="70" t="s">
        <v>367</v>
      </c>
      <c r="U74" s="71" t="s">
        <v>22</v>
      </c>
      <c r="V74" s="71" t="s">
        <v>212</v>
      </c>
      <c r="W74" s="73" t="s">
        <v>364</v>
      </c>
      <c r="X74" s="71" t="s">
        <v>210</v>
      </c>
      <c r="Y74" s="71" t="s">
        <v>211</v>
      </c>
      <c r="Z74" s="71" t="s">
        <v>313</v>
      </c>
      <c r="AA74" s="71" t="s">
        <v>213</v>
      </c>
      <c r="AB74" s="73" t="s">
        <v>364</v>
      </c>
      <c r="AC74" s="71" t="s">
        <v>214</v>
      </c>
      <c r="AD74" s="71" t="s">
        <v>215</v>
      </c>
    </row>
    <row r="75" spans="1:30" ht="16.5" thickBot="1" x14ac:dyDescent="0.3">
      <c r="A75" s="112"/>
      <c r="B75" s="112"/>
      <c r="C75" s="112"/>
      <c r="D75" s="112"/>
      <c r="E75" s="66" t="s">
        <v>359</v>
      </c>
      <c r="F75" s="90">
        <f>saDiCount</f>
        <v>10</v>
      </c>
      <c r="G75" s="47"/>
      <c r="I75" s="63"/>
      <c r="J75" s="42"/>
      <c r="K75" s="42"/>
      <c r="L75" s="64"/>
      <c r="M75" s="63"/>
      <c r="N75" s="63"/>
      <c r="O75" s="63"/>
      <c r="P75" s="63"/>
      <c r="Q75" s="42"/>
      <c r="R75" s="63"/>
      <c r="S75" s="63"/>
      <c r="T75" s="63"/>
      <c r="U75" s="42"/>
    </row>
    <row r="76" spans="1:30" ht="15.75" thickBot="1" x14ac:dyDescent="0.3">
      <c r="A76" s="111" t="s">
        <v>18</v>
      </c>
      <c r="B76" s="111"/>
      <c r="C76" s="111"/>
      <c r="D76" s="111"/>
      <c r="E76" s="66" t="s">
        <v>362</v>
      </c>
      <c r="F76" s="50">
        <f>F75/F74</f>
        <v>0.90909090909090906</v>
      </c>
      <c r="G76" s="51" t="s">
        <v>372</v>
      </c>
      <c r="H76" s="47"/>
      <c r="I76" s="47"/>
    </row>
    <row r="77" spans="1:30" x14ac:dyDescent="0.25">
      <c r="A77" s="40" t="s">
        <v>21</v>
      </c>
      <c r="B77" s="52">
        <f>Q77</f>
        <v>1.5</v>
      </c>
      <c r="C77" s="39" t="str">
        <f>IF(L77="","",L77)</f>
        <v>cup</v>
      </c>
      <c r="D77" s="40" t="str">
        <f>_xlfn.CONCAT(K77, U77)</f>
        <v>chickpeas. Soaked by Tenzo the night before. Rinse and drain first</v>
      </c>
      <c r="E77" s="67"/>
      <c r="F77" s="67"/>
      <c r="G77" s="67"/>
      <c r="H77" s="53"/>
      <c r="I77" s="54">
        <v>1.75</v>
      </c>
      <c r="J77" s="55" t="s">
        <v>16</v>
      </c>
      <c r="K77" s="55" t="s">
        <v>98</v>
      </c>
      <c r="L77" s="56" t="s">
        <v>16</v>
      </c>
      <c r="M77" s="47">
        <f>INDEX(itemGPerQty, MATCH(K77, itemNames, 0))</f>
        <v>0.76300000000000001</v>
      </c>
      <c r="N77" s="47">
        <f>INDEX(itemMlPerQty, MATCH(K77, itemNames, 0))</f>
        <v>0.946353</v>
      </c>
      <c r="O77" s="47">
        <f>IF(J77 = "", I77 * M77, IF(ISNA(CONVERT(I77, J77, "kg")), CONVERT(I77, J77, "l") * IF(N77 &lt;&gt; 0, M77 / N77, 0), CONVERT(I77, J77, "kg")))</f>
        <v>0.33381248095227151</v>
      </c>
      <c r="P77" s="47">
        <f>IF(J77 = "", I77 * N77, IF(ISNA(CONVERT(I77, J77, "l")), CONVERT(I77, J77, "kg") * IF(M77 &lt;&gt; 0, N77 / M77, 0), CONVERT(I77, J77, "l")))</f>
        <v>0.41402941387499997</v>
      </c>
      <c r="Q77" s="47">
        <f>MROUND(IF(AND(J77 = "", L77 = ""), I77 * recipe02DayScale, IF(ISNA(CONVERT(O77, "kg", L77)), CONVERT(P77 * recipe02DayScale, "l", L77), CONVERT(O77 * recipe02DayScale, "kg", L77))), roundTo)</f>
        <v>1.5</v>
      </c>
      <c r="R77" s="47">
        <f>recipe02TotScale * IF(L77 = "", Q77 * M77, IF(ISNA(CONVERT(Q77, L77, "kg")), CONVERT(Q77, L77, "l") * IF(N77 &lt;&gt; 0, M77 / N77, 0), CONVERT(Q77, L77, "kg")))</f>
        <v>0.28612498367337558</v>
      </c>
      <c r="S77" s="47">
        <f>recipe02TotScale * IF(R77 = 0, IF(L77 = "", Q77 * N77, IF(ISNA(CONVERT(Q77, L77, "l")), CONVERT(Q77, L77, "kg") * IF(M77 &lt;&gt; 0, N77 / M77, 0), CONVERT(Q77, L77, "l"))), 0)</f>
        <v>0</v>
      </c>
      <c r="T77" s="47">
        <f>recipe02TotScale * IF(AND(R77 = 0, S77 = 0, J77 = "", L77 = ""), Q77, 0)</f>
        <v>0</v>
      </c>
      <c r="U77" s="44" t="s">
        <v>244</v>
      </c>
      <c r="V77" s="44" t="b">
        <f>INDEX(itemPrepMethods, MATCH(K77, itemNames, 0))="chop"</f>
        <v>0</v>
      </c>
      <c r="W77" s="57" t="str">
        <f>IF(V77, Q77, "")</f>
        <v/>
      </c>
      <c r="X77" s="58" t="str">
        <f>IF(V77, IF(L77 = "", "", L77), "")</f>
        <v/>
      </c>
      <c r="Y77" s="58" t="str">
        <f>IF(V77, K77, "")</f>
        <v/>
      </c>
      <c r="Z77" s="59"/>
      <c r="AA77" s="44" t="b">
        <f>INDEX(itemPrepMethods, MATCH(K77, itemNames, 0))="soak"</f>
        <v>1</v>
      </c>
      <c r="AB77" s="58">
        <f>IF(AA77, Q77, "")</f>
        <v>1.5</v>
      </c>
      <c r="AC77" s="58" t="str">
        <f>IF(AA77, IF(L77 = "", "", L77), "")</f>
        <v>cup</v>
      </c>
      <c r="AD77" s="58" t="str">
        <f>IF(AA77, K77, "")</f>
        <v>chickpeas</v>
      </c>
    </row>
    <row r="78" spans="1:30" ht="15.75" thickBot="1" x14ac:dyDescent="0.3">
      <c r="A78" s="111"/>
      <c r="B78" s="111"/>
      <c r="C78" s="111"/>
      <c r="D78" s="111"/>
      <c r="E78" s="66" t="s">
        <v>338</v>
      </c>
      <c r="F78" s="67">
        <f>saDiCount</f>
        <v>10</v>
      </c>
      <c r="G78" s="67"/>
      <c r="I78" s="47"/>
      <c r="M78" s="44"/>
      <c r="N78" s="44"/>
      <c r="O78" s="44"/>
      <c r="P78" s="44"/>
      <c r="W78" s="74"/>
      <c r="X78" s="74"/>
      <c r="Y78" s="74"/>
      <c r="Z78" s="74"/>
      <c r="AA78" s="67"/>
      <c r="AB78" s="74"/>
      <c r="AC78" s="74"/>
      <c r="AD78" s="74"/>
    </row>
    <row r="79" spans="1:30" ht="15.75" thickBot="1" x14ac:dyDescent="0.3">
      <c r="A79" s="111" t="s">
        <v>221</v>
      </c>
      <c r="B79" s="111"/>
      <c r="C79" s="111"/>
      <c r="D79" s="111"/>
      <c r="E79" s="66" t="s">
        <v>363</v>
      </c>
      <c r="F79" s="50">
        <f>F78/F75</f>
        <v>1</v>
      </c>
      <c r="G79" s="51" t="s">
        <v>373</v>
      </c>
      <c r="I79" s="47"/>
      <c r="M79" s="44"/>
      <c r="N79" s="44"/>
      <c r="O79" s="44"/>
      <c r="P79" s="44"/>
      <c r="W79" s="74"/>
      <c r="X79" s="74"/>
      <c r="Y79" s="74"/>
      <c r="Z79" s="74"/>
      <c r="AA79" s="67"/>
      <c r="AB79" s="74"/>
      <c r="AC79" s="74"/>
      <c r="AD79" s="74"/>
    </row>
    <row r="80" spans="1:30" x14ac:dyDescent="0.25">
      <c r="A80" s="40" t="s">
        <v>21</v>
      </c>
      <c r="B80" s="52">
        <f t="shared" ref="B80:B82" si="128">Q80</f>
        <v>2.75</v>
      </c>
      <c r="C80" s="39" t="str">
        <f>IF(L80="","",L80)</f>
        <v/>
      </c>
      <c r="D80" s="40" t="str">
        <f>_xlfn.CONCAT(K80, U80)</f>
        <v>diced celery stalks</v>
      </c>
      <c r="I80" s="54">
        <v>3</v>
      </c>
      <c r="J80" s="55"/>
      <c r="K80" s="55" t="s">
        <v>102</v>
      </c>
      <c r="L80" s="56"/>
      <c r="M80" s="47">
        <f>INDEX(itemGPerQty, MATCH(K80, itemNames, 0))</f>
        <v>0</v>
      </c>
      <c r="N80" s="47">
        <f>INDEX(itemMlPerQty, MATCH(K80, itemNames, 0))</f>
        <v>0</v>
      </c>
      <c r="O80" s="47">
        <f t="shared" ref="O80:O82" si="129">IF(J80 = "", I80 * M80, IF(ISNA(CONVERT(I80, J80, "kg")), CONVERT(I80, J80, "l") * IF(N80 &lt;&gt; 0, M80 / N80, 0), CONVERT(I80, J80, "kg")))</f>
        <v>0</v>
      </c>
      <c r="P80" s="47">
        <f t="shared" ref="P80:P82" si="130">IF(J80 = "", I80 * N80, IF(ISNA(CONVERT(I80, J80, "l")), CONVERT(I80, J80, "kg") * IF(M80 &lt;&gt; 0, N80 / M80, 0), CONVERT(I80, J80, "l")))</f>
        <v>0</v>
      </c>
      <c r="Q80" s="47">
        <f>MROUND(IF(AND(J80 = "", L80 = ""), I80 * recipe02DayScale, IF(ISNA(CONVERT(O80, "kg", L80)), CONVERT(P80 * recipe02DayScale, "l", L80), CONVERT(O80 * recipe02DayScale, "kg", L80))), roundTo)</f>
        <v>2.75</v>
      </c>
      <c r="R80" s="47">
        <f>recipe02TotScale * IF(L80 = "", Q80 * M80, IF(ISNA(CONVERT(Q80, L80, "kg")), CONVERT(Q80, L80, "l") * IF(N80 &lt;&gt; 0, M80 / N80, 0), CONVERT(Q80, L80, "kg")))</f>
        <v>0</v>
      </c>
      <c r="S80" s="47">
        <f>recipe02TotScale * IF(R80 = 0, IF(L80 = "", Q80 * N80, IF(ISNA(CONVERT(Q80, L80, "l")), CONVERT(Q80, L80, "kg") * IF(M80 &lt;&gt; 0, N80 / M80, 0), CONVERT(Q80, L80, "l"))), 0)</f>
        <v>0</v>
      </c>
      <c r="T80" s="47">
        <f>recipe02TotScale * IF(AND(R80 = 0, S80 = 0, J80 = "", L80 = ""), Q80, 0)</f>
        <v>2.75</v>
      </c>
      <c r="V80" s="44" t="b">
        <f>INDEX(itemPrepMethods, MATCH(K80, itemNames, 0))="chop"</f>
        <v>1</v>
      </c>
      <c r="W80" s="57">
        <f>IF(V80, Q80, "")</f>
        <v>2.75</v>
      </c>
      <c r="X80" s="58" t="str">
        <f>IF(V80, IF(L80 = "", "", L80), "")</f>
        <v/>
      </c>
      <c r="Y80" s="58" t="str">
        <f>IF(V80, K80, "")</f>
        <v>diced celery stalks</v>
      </c>
      <c r="Z80" s="59"/>
      <c r="AA80" s="44" t="b">
        <f>INDEX(itemPrepMethods, MATCH(K80, itemNames, 0))="soak"</f>
        <v>0</v>
      </c>
      <c r="AB80" s="58" t="str">
        <f>IF(AA80, Q80, "")</f>
        <v/>
      </c>
      <c r="AC80" s="58" t="str">
        <f>IF(AA80, IF(L80 = "", "", L80), "")</f>
        <v/>
      </c>
      <c r="AD80" s="58" t="str">
        <f>IF(AA80, K80, "")</f>
        <v/>
      </c>
    </row>
    <row r="81" spans="1:30" x14ac:dyDescent="0.25">
      <c r="A81" s="40" t="s">
        <v>21</v>
      </c>
      <c r="B81" s="52">
        <f t="shared" si="128"/>
        <v>7.25</v>
      </c>
      <c r="C81" s="39" t="str">
        <f>IF(L81="","",L81)</f>
        <v/>
      </c>
      <c r="D81" s="40" t="str">
        <f>_xlfn.CONCAT(K81, U81)</f>
        <v>diced carrots</v>
      </c>
      <c r="I81" s="54">
        <v>8</v>
      </c>
      <c r="J81" s="55"/>
      <c r="K81" s="55" t="s">
        <v>101</v>
      </c>
      <c r="L81" s="56"/>
      <c r="M81" s="47">
        <f>INDEX(itemGPerQty, MATCH(K81, itemNames, 0))</f>
        <v>0</v>
      </c>
      <c r="N81" s="47">
        <f>INDEX(itemMlPerQty, MATCH(K81, itemNames, 0))</f>
        <v>0</v>
      </c>
      <c r="O81" s="47">
        <f t="shared" si="129"/>
        <v>0</v>
      </c>
      <c r="P81" s="47">
        <f t="shared" si="130"/>
        <v>0</v>
      </c>
      <c r="Q81" s="47">
        <f>MROUND(IF(AND(J81 = "", L81 = ""), I81 * recipe02DayScale, IF(ISNA(CONVERT(O81, "kg", L81)), CONVERT(P81 * recipe02DayScale, "l", L81), CONVERT(O81 * recipe02DayScale, "kg", L81))), roundTo)</f>
        <v>7.25</v>
      </c>
      <c r="R81" s="47">
        <f>recipe02TotScale * IF(L81 = "", Q81 * M81, IF(ISNA(CONVERT(Q81, L81, "kg")), CONVERT(Q81, L81, "l") * IF(N81 &lt;&gt; 0, M81 / N81, 0), CONVERT(Q81, L81, "kg")))</f>
        <v>0</v>
      </c>
      <c r="S81" s="47">
        <f>recipe02TotScale * IF(R81 = 0, IF(L81 = "", Q81 * N81, IF(ISNA(CONVERT(Q81, L81, "l")), CONVERT(Q81, L81, "kg") * IF(M81 &lt;&gt; 0, N81 / M81, 0), CONVERT(Q81, L81, "l"))), 0)</f>
        <v>0</v>
      </c>
      <c r="T81" s="47">
        <f>recipe02TotScale * IF(AND(R81 = 0, S81 = 0, J81 = "", L81 = ""), Q81, 0)</f>
        <v>7.25</v>
      </c>
      <c r="V81" s="44" t="b">
        <f>INDEX(itemPrepMethods, MATCH(K81, itemNames, 0))="chop"</f>
        <v>1</v>
      </c>
      <c r="W81" s="57">
        <f>IF(V81, Q81, "")</f>
        <v>7.25</v>
      </c>
      <c r="X81" s="58" t="str">
        <f>IF(V81, IF(L81 = "", "", L81), "")</f>
        <v/>
      </c>
      <c r="Y81" s="58" t="str">
        <f>IF(V81, K81, "")</f>
        <v>diced carrots</v>
      </c>
      <c r="Z81" s="59"/>
      <c r="AA81" s="44" t="b">
        <f>INDEX(itemPrepMethods, MATCH(K81, itemNames, 0))="soak"</f>
        <v>0</v>
      </c>
      <c r="AB81" s="58" t="str">
        <f>IF(AA81, Q81, "")</f>
        <v/>
      </c>
      <c r="AC81" s="58" t="str">
        <f>IF(AA81, IF(L81 = "", "", L81), "")</f>
        <v/>
      </c>
      <c r="AD81" s="58" t="str">
        <f>IF(AA81, K81, "")</f>
        <v/>
      </c>
    </row>
    <row r="82" spans="1:30" x14ac:dyDescent="0.25">
      <c r="A82" s="40" t="s">
        <v>21</v>
      </c>
      <c r="B82" s="52">
        <f t="shared" si="128"/>
        <v>1.75</v>
      </c>
      <c r="C82" s="39" t="str">
        <f>IF(L82="","",L82)</f>
        <v>tsp</v>
      </c>
      <c r="D82" s="40" t="str">
        <f>_xlfn.CONCAT(K82, U82)</f>
        <v>salt</v>
      </c>
      <c r="I82" s="54">
        <v>2</v>
      </c>
      <c r="J82" s="55" t="s">
        <v>13</v>
      </c>
      <c r="K82" s="55" t="s">
        <v>11</v>
      </c>
      <c r="L82" s="56" t="s">
        <v>13</v>
      </c>
      <c r="M82" s="47">
        <f>INDEX(itemGPerQty, MATCH(K82, itemNames, 0))</f>
        <v>2.5000000000000001E-2</v>
      </c>
      <c r="N82" s="47">
        <f>INDEX(itemMlPerQty, MATCH(K82, itemNames, 0))</f>
        <v>2.2180100000000001E-2</v>
      </c>
      <c r="O82" s="47">
        <f t="shared" si="129"/>
        <v>1.111113474184066E-2</v>
      </c>
      <c r="P82" s="47">
        <f t="shared" si="130"/>
        <v>9.8578431874999997E-3</v>
      </c>
      <c r="Q82" s="47">
        <f>MROUND(IF(AND(J82 = "", L82 = ""), I82 * recipe02DayScale, IF(ISNA(CONVERT(O82, "kg", L82)), CONVERT(P82 * recipe02DayScale, "l", L82), CONVERT(O82 * recipe02DayScale, "kg", L82))), roundTo)</f>
        <v>1.75</v>
      </c>
      <c r="R82" s="47">
        <f>recipe02TotScale * IF(L82 = "", Q82 * M82, IF(ISNA(CONVERT(Q82, L82, "kg")), CONVERT(Q82, L82, "l") * IF(N82 &lt;&gt; 0, M82 / N82, 0), CONVERT(Q82, L82, "kg")))</f>
        <v>9.7222428991105784E-3</v>
      </c>
      <c r="S82" s="47">
        <f>recipe02TotScale * IF(R82 = 0, IF(L82 = "", Q82 * N82, IF(ISNA(CONVERT(Q82, L82, "l")), CONVERT(Q82, L82, "kg") * IF(M82 &lt;&gt; 0, N82 / M82, 0), CONVERT(Q82, L82, "l"))), 0)</f>
        <v>0</v>
      </c>
      <c r="T82" s="47">
        <f>recipe02TotScale * IF(AND(R82 = 0, S82 = 0, J82 = "", L82 = ""), Q82, 0)</f>
        <v>0</v>
      </c>
      <c r="V82" s="44" t="b">
        <f>INDEX(itemPrepMethods, MATCH(K82, itemNames, 0))="chop"</f>
        <v>0</v>
      </c>
      <c r="W82" s="57" t="str">
        <f>IF(V82, Q82, "")</f>
        <v/>
      </c>
      <c r="X82" s="58" t="str">
        <f>IF(V82, IF(L82 = "", "", L82), "")</f>
        <v/>
      </c>
      <c r="Y82" s="58" t="str">
        <f>IF(V82, K82, "")</f>
        <v/>
      </c>
      <c r="Z82" s="59"/>
      <c r="AA82" s="44" t="b">
        <f>INDEX(itemPrepMethods, MATCH(K82, itemNames, 0))="soak"</f>
        <v>0</v>
      </c>
      <c r="AB82" s="58" t="str">
        <f>IF(AA82, Q82, "")</f>
        <v/>
      </c>
      <c r="AC82" s="58" t="str">
        <f>IF(AA82, IF(L82 = "", "", L82), "")</f>
        <v/>
      </c>
      <c r="AD82" s="58" t="str">
        <f>IF(AA82, K82, "")</f>
        <v/>
      </c>
    </row>
    <row r="83" spans="1:30" x14ac:dyDescent="0.25">
      <c r="A83" s="111"/>
      <c r="B83" s="111"/>
      <c r="C83" s="111"/>
      <c r="D83" s="111"/>
      <c r="I83" s="47"/>
      <c r="M83" s="44"/>
      <c r="N83" s="44"/>
      <c r="O83" s="44"/>
      <c r="P83" s="44"/>
      <c r="W83" s="74"/>
      <c r="X83" s="74"/>
      <c r="Y83" s="74"/>
      <c r="Z83" s="74"/>
      <c r="AA83" s="67"/>
      <c r="AB83" s="74"/>
      <c r="AC83" s="74"/>
      <c r="AD83" s="74"/>
    </row>
    <row r="84" spans="1:30" x14ac:dyDescent="0.25">
      <c r="A84" s="111" t="s">
        <v>222</v>
      </c>
      <c r="B84" s="111"/>
      <c r="C84" s="111"/>
      <c r="D84" s="111"/>
      <c r="I84" s="47"/>
      <c r="M84" s="44"/>
      <c r="N84" s="44"/>
      <c r="O84" s="44"/>
      <c r="P84" s="44"/>
      <c r="W84" s="74"/>
      <c r="X84" s="74"/>
      <c r="Y84" s="74"/>
      <c r="Z84" s="74"/>
      <c r="AA84" s="67"/>
      <c r="AB84" s="74"/>
      <c r="AC84" s="74"/>
      <c r="AD84" s="74"/>
    </row>
    <row r="85" spans="1:30" x14ac:dyDescent="0.25">
      <c r="A85" s="40" t="s">
        <v>21</v>
      </c>
      <c r="B85" s="52">
        <f t="shared" ref="B85:B90" si="131">Q85</f>
        <v>2.75</v>
      </c>
      <c r="C85" s="39" t="str">
        <f t="shared" ref="C85:C90" si="132">IF(L85="","",L85)</f>
        <v>tsp</v>
      </c>
      <c r="D85" s="40" t="str">
        <f t="shared" ref="D85:D90" si="133">_xlfn.CONCAT(K85, U85)</f>
        <v>paprika</v>
      </c>
      <c r="I85" s="54">
        <v>3</v>
      </c>
      <c r="J85" s="55" t="s">
        <v>13</v>
      </c>
      <c r="K85" s="55" t="s">
        <v>104</v>
      </c>
      <c r="L85" s="56" t="s">
        <v>13</v>
      </c>
      <c r="M85" s="47">
        <f t="shared" ref="M85:M90" si="134">INDEX(itemGPerQty, MATCH(K85, itemNames, 0))</f>
        <v>1.2E-2</v>
      </c>
      <c r="N85" s="47">
        <f t="shared" ref="N85:N90" si="135">INDEX(itemMlPerQty, MATCH(K85, itemNames, 0))</f>
        <v>2.2180100000000001E-2</v>
      </c>
      <c r="O85" s="47">
        <f t="shared" ref="O85:O90" si="136">IF(J85 = "", I85 * M85, IF(ISNA(CONVERT(I85, J85, "kg")), CONVERT(I85, J85, "l") * IF(N85 &lt;&gt; 0, M85 / N85, 0), CONVERT(I85, J85, "kg")))</f>
        <v>8.0000170141252738E-3</v>
      </c>
      <c r="P85" s="47">
        <f t="shared" ref="P85:P90" si="137">IF(J85 = "", I85 * N85, IF(ISNA(CONVERT(I85, J85, "l")), CONVERT(I85, J85, "kg") * IF(M85 &lt;&gt; 0, N85 / M85, 0), CONVERT(I85, J85, "l")))</f>
        <v>1.478676478125E-2</v>
      </c>
      <c r="Q85" s="47">
        <f t="shared" ref="Q85:Q90" si="138">MROUND(IF(AND(J85 = "", L85 = ""), I85 * recipe02DayScale, IF(ISNA(CONVERT(O85, "kg", L85)), CONVERT(P85 * recipe02DayScale, "l", L85), CONVERT(O85 * recipe02DayScale, "kg", L85))), roundTo)</f>
        <v>2.75</v>
      </c>
      <c r="R85" s="47">
        <f t="shared" ref="R85:R90" si="139">recipe02TotScale * IF(L85 = "", Q85 * M85, IF(ISNA(CONVERT(Q85, L85, "kg")), CONVERT(Q85, L85, "l") * IF(N85 &lt;&gt; 0, M85 / N85, 0), CONVERT(Q85, L85, "kg")))</f>
        <v>7.3333489296148356E-3</v>
      </c>
      <c r="S85" s="47">
        <f t="shared" ref="S85:S90" si="140">recipe02TotScale * IF(R85 = 0, IF(L85 = "", Q85 * N85, IF(ISNA(CONVERT(Q85, L85, "l")), CONVERT(Q85, L85, "kg") * IF(M85 &lt;&gt; 0, N85 / M85, 0), CONVERT(Q85, L85, "l"))), 0)</f>
        <v>0</v>
      </c>
      <c r="T85" s="47">
        <f t="shared" ref="T85:T90" si="141">recipe02TotScale * IF(AND(R85 = 0, S85 = 0, J85 = "", L85 = ""), Q85, 0)</f>
        <v>0</v>
      </c>
      <c r="V85" s="44" t="b">
        <f t="shared" ref="V85:V90" si="142">INDEX(itemPrepMethods, MATCH(K85, itemNames, 0))="chop"</f>
        <v>0</v>
      </c>
      <c r="W85" s="57" t="str">
        <f t="shared" ref="W85:W90" si="143">IF(V85, Q85, "")</f>
        <v/>
      </c>
      <c r="X85" s="58" t="str">
        <f t="shared" ref="X85:X90" si="144">IF(V85, IF(L85 = "", "", L85), "")</f>
        <v/>
      </c>
      <c r="Y85" s="58" t="str">
        <f t="shared" ref="Y85:Y90" si="145">IF(V85, K85, "")</f>
        <v/>
      </c>
      <c r="Z85" s="59"/>
      <c r="AA85" s="44" t="b">
        <f t="shared" ref="AA85:AA90" si="146">INDEX(itemPrepMethods, MATCH(K85, itemNames, 0))="soak"</f>
        <v>0</v>
      </c>
      <c r="AB85" s="58" t="str">
        <f t="shared" ref="AB85:AB90" si="147">IF(AA85, Q85, "")</f>
        <v/>
      </c>
      <c r="AC85" s="58" t="str">
        <f t="shared" ref="AC85:AC90" si="148">IF(AA85, IF(L85 = "", "", L85), "")</f>
        <v/>
      </c>
      <c r="AD85" s="58" t="str">
        <f t="shared" ref="AD85:AD90" si="149">IF(AA85, K85, "")</f>
        <v/>
      </c>
    </row>
    <row r="86" spans="1:30" x14ac:dyDescent="0.25">
      <c r="A86" s="40" t="s">
        <v>21</v>
      </c>
      <c r="B86" s="52">
        <f t="shared" si="131"/>
        <v>1.75</v>
      </c>
      <c r="C86" s="39" t="str">
        <f t="shared" si="132"/>
        <v>tsp</v>
      </c>
      <c r="D86" s="40" t="str">
        <f t="shared" si="133"/>
        <v>ground turmeric</v>
      </c>
      <c r="I86" s="54">
        <v>2</v>
      </c>
      <c r="J86" s="55" t="s">
        <v>13</v>
      </c>
      <c r="K86" s="55" t="s">
        <v>316</v>
      </c>
      <c r="L86" s="56" t="s">
        <v>13</v>
      </c>
      <c r="M86" s="47">
        <f t="shared" si="134"/>
        <v>1.4E-2</v>
      </c>
      <c r="N86" s="47">
        <f t="shared" si="135"/>
        <v>2.2180100000000001E-2</v>
      </c>
      <c r="O86" s="47">
        <f t="shared" si="136"/>
        <v>6.2222354554307691E-3</v>
      </c>
      <c r="P86" s="47">
        <f t="shared" si="137"/>
        <v>9.8578431874999997E-3</v>
      </c>
      <c r="Q86" s="47">
        <f t="shared" si="138"/>
        <v>1.75</v>
      </c>
      <c r="R86" s="47">
        <f t="shared" si="139"/>
        <v>5.4444560235019238E-3</v>
      </c>
      <c r="S86" s="47">
        <f t="shared" si="140"/>
        <v>0</v>
      </c>
      <c r="T86" s="47">
        <f t="shared" si="141"/>
        <v>0</v>
      </c>
      <c r="V86" s="44" t="b">
        <f t="shared" si="142"/>
        <v>0</v>
      </c>
      <c r="W86" s="57" t="str">
        <f t="shared" si="143"/>
        <v/>
      </c>
      <c r="X86" s="58" t="str">
        <f t="shared" si="144"/>
        <v/>
      </c>
      <c r="Y86" s="58" t="str">
        <f t="shared" si="145"/>
        <v/>
      </c>
      <c r="Z86" s="59"/>
      <c r="AA86" s="44" t="b">
        <f t="shared" si="146"/>
        <v>0</v>
      </c>
      <c r="AB86" s="58" t="str">
        <f t="shared" si="147"/>
        <v/>
      </c>
      <c r="AC86" s="58" t="str">
        <f t="shared" si="148"/>
        <v/>
      </c>
      <c r="AD86" s="58" t="str">
        <f t="shared" si="149"/>
        <v/>
      </c>
    </row>
    <row r="87" spans="1:30" x14ac:dyDescent="0.25">
      <c r="A87" s="40" t="s">
        <v>21</v>
      </c>
      <c r="B87" s="52">
        <f t="shared" si="131"/>
        <v>1.75</v>
      </c>
      <c r="C87" s="39" t="str">
        <f t="shared" si="132"/>
        <v>tsp</v>
      </c>
      <c r="D87" s="40" t="str">
        <f t="shared" si="133"/>
        <v>dried basil</v>
      </c>
      <c r="I87" s="54">
        <v>2</v>
      </c>
      <c r="J87" s="55" t="s">
        <v>13</v>
      </c>
      <c r="K87" s="55" t="s">
        <v>105</v>
      </c>
      <c r="L87" s="56" t="s">
        <v>13</v>
      </c>
      <c r="M87" s="47">
        <f t="shared" si="134"/>
        <v>3.0000000000000001E-3</v>
      </c>
      <c r="N87" s="47">
        <f t="shared" si="135"/>
        <v>2.2180100000000001E-2</v>
      </c>
      <c r="O87" s="47">
        <f t="shared" si="136"/>
        <v>1.333336169020879E-3</v>
      </c>
      <c r="P87" s="47">
        <f t="shared" si="137"/>
        <v>9.8578431874999997E-3</v>
      </c>
      <c r="Q87" s="47">
        <f t="shared" si="138"/>
        <v>1.75</v>
      </c>
      <c r="R87" s="47">
        <f t="shared" si="139"/>
        <v>1.1666691478932692E-3</v>
      </c>
      <c r="S87" s="47">
        <f t="shared" si="140"/>
        <v>0</v>
      </c>
      <c r="T87" s="47">
        <f t="shared" si="141"/>
        <v>0</v>
      </c>
      <c r="V87" s="44" t="b">
        <f t="shared" si="142"/>
        <v>0</v>
      </c>
      <c r="W87" s="57" t="str">
        <f t="shared" si="143"/>
        <v/>
      </c>
      <c r="X87" s="58" t="str">
        <f t="shared" si="144"/>
        <v/>
      </c>
      <c r="Y87" s="58" t="str">
        <f t="shared" si="145"/>
        <v/>
      </c>
      <c r="Z87" s="59"/>
      <c r="AA87" s="44" t="b">
        <f t="shared" si="146"/>
        <v>0</v>
      </c>
      <c r="AB87" s="58" t="str">
        <f t="shared" si="147"/>
        <v/>
      </c>
      <c r="AC87" s="58" t="str">
        <f t="shared" si="148"/>
        <v/>
      </c>
      <c r="AD87" s="58" t="str">
        <f t="shared" si="149"/>
        <v/>
      </c>
    </row>
    <row r="88" spans="1:30" x14ac:dyDescent="0.25">
      <c r="A88" s="40" t="s">
        <v>21</v>
      </c>
      <c r="B88" s="52">
        <f t="shared" si="131"/>
        <v>0.5</v>
      </c>
      <c r="C88" s="39" t="str">
        <f t="shared" si="132"/>
        <v>tsp</v>
      </c>
      <c r="D88" s="40" t="str">
        <f t="shared" si="133"/>
        <v>cinnamon</v>
      </c>
      <c r="I88" s="54">
        <v>0.5</v>
      </c>
      <c r="J88" s="55" t="s">
        <v>13</v>
      </c>
      <c r="K88" s="55" t="s">
        <v>106</v>
      </c>
      <c r="L88" s="56" t="s">
        <v>13</v>
      </c>
      <c r="M88" s="47">
        <f t="shared" si="134"/>
        <v>1.0999999999999999E-2</v>
      </c>
      <c r="N88" s="47">
        <f t="shared" si="135"/>
        <v>2.2180100000000001E-2</v>
      </c>
      <c r="O88" s="47">
        <f t="shared" si="136"/>
        <v>1.2222248216024723E-3</v>
      </c>
      <c r="P88" s="47">
        <f t="shared" si="137"/>
        <v>2.4644607968749999E-3</v>
      </c>
      <c r="Q88" s="47">
        <f t="shared" si="138"/>
        <v>0.5</v>
      </c>
      <c r="R88" s="47">
        <f t="shared" si="139"/>
        <v>1.2222248216024723E-3</v>
      </c>
      <c r="S88" s="47">
        <f t="shared" si="140"/>
        <v>0</v>
      </c>
      <c r="T88" s="47">
        <f t="shared" si="141"/>
        <v>0</v>
      </c>
      <c r="V88" s="44" t="b">
        <f t="shared" si="142"/>
        <v>0</v>
      </c>
      <c r="W88" s="57" t="str">
        <f t="shared" si="143"/>
        <v/>
      </c>
      <c r="X88" s="58" t="str">
        <f t="shared" si="144"/>
        <v/>
      </c>
      <c r="Y88" s="58" t="str">
        <f t="shared" si="145"/>
        <v/>
      </c>
      <c r="Z88" s="59"/>
      <c r="AA88" s="44" t="b">
        <f t="shared" si="146"/>
        <v>0</v>
      </c>
      <c r="AB88" s="58" t="str">
        <f t="shared" si="147"/>
        <v/>
      </c>
      <c r="AC88" s="58" t="str">
        <f t="shared" si="148"/>
        <v/>
      </c>
      <c r="AD88" s="58" t="str">
        <f t="shared" si="149"/>
        <v/>
      </c>
    </row>
    <row r="89" spans="1:30" x14ac:dyDescent="0.25">
      <c r="A89" s="40" t="s">
        <v>21</v>
      </c>
      <c r="B89" s="52">
        <f t="shared" si="131"/>
        <v>1.75</v>
      </c>
      <c r="C89" s="39" t="str">
        <f t="shared" si="132"/>
        <v/>
      </c>
      <c r="D89" s="40" t="str">
        <f t="shared" si="133"/>
        <v>bay leaves</v>
      </c>
      <c r="I89" s="54">
        <v>2</v>
      </c>
      <c r="J89" s="55"/>
      <c r="K89" s="55" t="s">
        <v>90</v>
      </c>
      <c r="L89" s="56"/>
      <c r="M89" s="47">
        <f t="shared" si="134"/>
        <v>0</v>
      </c>
      <c r="N89" s="47">
        <f t="shared" si="135"/>
        <v>0</v>
      </c>
      <c r="O89" s="47">
        <f t="shared" si="136"/>
        <v>0</v>
      </c>
      <c r="P89" s="47">
        <f t="shared" si="137"/>
        <v>0</v>
      </c>
      <c r="Q89" s="47">
        <f t="shared" si="138"/>
        <v>1.75</v>
      </c>
      <c r="R89" s="47">
        <f t="shared" si="139"/>
        <v>0</v>
      </c>
      <c r="S89" s="47">
        <f t="shared" si="140"/>
        <v>0</v>
      </c>
      <c r="T89" s="47">
        <f t="shared" si="141"/>
        <v>1.75</v>
      </c>
      <c r="V89" s="44" t="b">
        <f t="shared" si="142"/>
        <v>0</v>
      </c>
      <c r="W89" s="57" t="str">
        <f t="shared" si="143"/>
        <v/>
      </c>
      <c r="X89" s="58" t="str">
        <f t="shared" si="144"/>
        <v/>
      </c>
      <c r="Y89" s="58" t="str">
        <f t="shared" si="145"/>
        <v/>
      </c>
      <c r="Z89" s="59"/>
      <c r="AA89" s="44" t="b">
        <f t="shared" si="146"/>
        <v>0</v>
      </c>
      <c r="AB89" s="58" t="str">
        <f t="shared" si="147"/>
        <v/>
      </c>
      <c r="AC89" s="58" t="str">
        <f t="shared" si="148"/>
        <v/>
      </c>
      <c r="AD89" s="58" t="str">
        <f t="shared" si="149"/>
        <v/>
      </c>
    </row>
    <row r="90" spans="1:30" x14ac:dyDescent="0.25">
      <c r="A90" s="40" t="s">
        <v>21</v>
      </c>
      <c r="B90" s="52">
        <f t="shared" si="131"/>
        <v>7.25</v>
      </c>
      <c r="C90" s="39" t="str">
        <f t="shared" si="132"/>
        <v>cup</v>
      </c>
      <c r="D90" s="40" t="str">
        <f t="shared" si="133"/>
        <v>water, approximately</v>
      </c>
      <c r="I90" s="54">
        <v>8</v>
      </c>
      <c r="J90" s="55" t="s">
        <v>16</v>
      </c>
      <c r="K90" s="55" t="s">
        <v>48</v>
      </c>
      <c r="L90" s="56" t="s">
        <v>16</v>
      </c>
      <c r="M90" s="47">
        <f t="shared" si="134"/>
        <v>1</v>
      </c>
      <c r="N90" s="47">
        <f t="shared" si="135"/>
        <v>1</v>
      </c>
      <c r="O90" s="47">
        <f t="shared" si="136"/>
        <v>1.8927058919999999</v>
      </c>
      <c r="P90" s="47">
        <f t="shared" si="137"/>
        <v>1.8927058919999999</v>
      </c>
      <c r="Q90" s="47">
        <f t="shared" si="138"/>
        <v>7.25</v>
      </c>
      <c r="R90" s="47">
        <f t="shared" si="139"/>
        <v>1.715264714625</v>
      </c>
      <c r="S90" s="47">
        <f t="shared" si="140"/>
        <v>0</v>
      </c>
      <c r="T90" s="47">
        <f t="shared" si="141"/>
        <v>0</v>
      </c>
      <c r="U90" s="44" t="s">
        <v>226</v>
      </c>
      <c r="V90" s="44" t="b">
        <f t="shared" si="142"/>
        <v>0</v>
      </c>
      <c r="W90" s="57" t="str">
        <f t="shared" si="143"/>
        <v/>
      </c>
      <c r="X90" s="58" t="str">
        <f t="shared" si="144"/>
        <v/>
      </c>
      <c r="Y90" s="58" t="str">
        <f t="shared" si="145"/>
        <v/>
      </c>
      <c r="Z90" s="59"/>
      <c r="AA90" s="44" t="b">
        <f t="shared" si="146"/>
        <v>0</v>
      </c>
      <c r="AB90" s="58" t="str">
        <f t="shared" si="147"/>
        <v/>
      </c>
      <c r="AC90" s="58" t="str">
        <f t="shared" si="148"/>
        <v/>
      </c>
      <c r="AD90" s="58" t="str">
        <f t="shared" si="149"/>
        <v/>
      </c>
    </row>
    <row r="91" spans="1:30" x14ac:dyDescent="0.25">
      <c r="A91" s="111"/>
      <c r="B91" s="111"/>
      <c r="C91" s="111"/>
      <c r="D91" s="111"/>
      <c r="I91" s="47"/>
      <c r="M91" s="44"/>
      <c r="N91" s="44"/>
      <c r="O91" s="44"/>
      <c r="P91" s="44"/>
      <c r="W91" s="74"/>
      <c r="X91" s="74"/>
      <c r="Y91" s="74"/>
      <c r="Z91" s="74"/>
      <c r="AA91" s="67"/>
      <c r="AB91" s="74"/>
      <c r="AC91" s="74"/>
      <c r="AD91" s="74"/>
    </row>
    <row r="92" spans="1:30" x14ac:dyDescent="0.25">
      <c r="A92" s="111" t="s">
        <v>223</v>
      </c>
      <c r="B92" s="111"/>
      <c r="C92" s="111"/>
      <c r="D92" s="111"/>
      <c r="I92" s="47"/>
      <c r="M92" s="44"/>
      <c r="N92" s="44"/>
      <c r="O92" s="44"/>
      <c r="P92" s="44"/>
      <c r="W92" s="74"/>
      <c r="X92" s="74"/>
      <c r="Y92" s="74"/>
      <c r="Z92" s="74"/>
      <c r="AA92" s="67"/>
      <c r="AB92" s="74"/>
      <c r="AC92" s="74"/>
      <c r="AD92" s="74"/>
    </row>
    <row r="93" spans="1:30" x14ac:dyDescent="0.25">
      <c r="A93" s="111"/>
      <c r="B93" s="111"/>
      <c r="C93" s="111"/>
      <c r="D93" s="111"/>
      <c r="I93" s="47"/>
      <c r="M93" s="44"/>
      <c r="N93" s="44"/>
      <c r="O93" s="44"/>
      <c r="P93" s="44"/>
      <c r="W93" s="74"/>
      <c r="X93" s="74"/>
      <c r="Y93" s="74"/>
      <c r="Z93" s="74"/>
      <c r="AA93" s="67"/>
      <c r="AB93" s="74"/>
      <c r="AC93" s="74"/>
      <c r="AD93" s="74"/>
    </row>
    <row r="94" spans="1:30" x14ac:dyDescent="0.25">
      <c r="A94" s="111" t="s">
        <v>224</v>
      </c>
      <c r="B94" s="111"/>
      <c r="C94" s="111"/>
      <c r="D94" s="111"/>
      <c r="I94" s="47"/>
      <c r="M94" s="44"/>
      <c r="N94" s="44"/>
      <c r="O94" s="44"/>
      <c r="P94" s="44"/>
      <c r="W94" s="74"/>
      <c r="X94" s="74"/>
      <c r="Y94" s="74"/>
      <c r="Z94" s="74"/>
      <c r="AA94" s="67"/>
      <c r="AB94" s="74"/>
      <c r="AC94" s="74"/>
      <c r="AD94" s="74"/>
    </row>
    <row r="95" spans="1:30" x14ac:dyDescent="0.25">
      <c r="A95" s="40" t="s">
        <v>21</v>
      </c>
      <c r="B95" s="61">
        <f t="shared" ref="B95" si="150">Q95</f>
        <v>0</v>
      </c>
      <c r="C95" s="39" t="str">
        <f>IF(L95="","",L95)</f>
        <v>cup</v>
      </c>
      <c r="D95" s="40" t="str">
        <f>_xlfn.CONCAT(K95, U95)</f>
        <v>diced green capsicums</v>
      </c>
      <c r="I95" s="54">
        <v>2</v>
      </c>
      <c r="J95" s="55"/>
      <c r="K95" s="55" t="s">
        <v>225</v>
      </c>
      <c r="L95" s="56" t="s">
        <v>16</v>
      </c>
      <c r="M95" s="47">
        <f>INDEX(itemGPerQty, MATCH(K95, itemNames, 0))</f>
        <v>0</v>
      </c>
      <c r="N95" s="47">
        <f>INDEX(itemMlPerQty, MATCH(K95, itemNames, 0))</f>
        <v>0</v>
      </c>
      <c r="O95" s="47">
        <f t="shared" ref="O95" si="151">IF(J95 = "", I95 * M95, IF(ISNA(CONVERT(I95, J95, "kg")), CONVERT(I95, J95, "l") * IF(N95 &lt;&gt; 0, M95 / N95, 0), CONVERT(I95, J95, "kg")))</f>
        <v>0</v>
      </c>
      <c r="P95" s="47">
        <f t="shared" ref="P95" si="152">IF(J95 = "", I95 * N95, IF(ISNA(CONVERT(I95, J95, "l")), CONVERT(I95, J95, "kg") * IF(M95 &lt;&gt; 0, N95 / M95, 0), CONVERT(I95, J95, "l")))</f>
        <v>0</v>
      </c>
      <c r="Q95" s="47">
        <f>MROUND(IF(AND(J95 = "", L95 = ""), I95 * recipe02DayScale, IF(ISNA(CONVERT(O95, "kg", L95)), CONVERT(P95 * recipe02DayScale, "l", L95), CONVERT(O95 * recipe02DayScale, "kg", L95))), roundTo)</f>
        <v>0</v>
      </c>
      <c r="R95" s="47">
        <f>recipe02TotScale * IF(L95 = "", Q95 * M95, IF(ISNA(CONVERT(Q95, L95, "kg")), CONVERT(Q95, L95, "l") * IF(N95 &lt;&gt; 0, M95 / N95, 0), CONVERT(Q95, L95, "kg")))</f>
        <v>0</v>
      </c>
      <c r="S95" s="47">
        <f>recipe02TotScale * IF(R95 = 0, IF(L95 = "", Q95 * N95, IF(ISNA(CONVERT(Q95, L95, "l")), CONVERT(Q95, L95, "kg") * IF(M95 &lt;&gt; 0, N95 / M95, 0), CONVERT(Q95, L95, "l"))), 0)</f>
        <v>0</v>
      </c>
      <c r="T95" s="47">
        <f>recipe02TotScale * IF(AND(R95 = 0, S95 = 0, J95 = "", L95 = ""), Q95, 0)</f>
        <v>0</v>
      </c>
      <c r="V95" s="44" t="b">
        <f>INDEX(itemPrepMethods, MATCH(K95, itemNames, 0))="chop"</f>
        <v>1</v>
      </c>
      <c r="W95" s="57">
        <f>IF(V95, Q95, "")</f>
        <v>0</v>
      </c>
      <c r="X95" s="58" t="str">
        <f>IF(V95, IF(L95 = "", "", L95), "")</f>
        <v>cup</v>
      </c>
      <c r="Y95" s="58" t="str">
        <f>IF(V95, K95, "")</f>
        <v>diced green capsicums</v>
      </c>
      <c r="Z95" s="59"/>
      <c r="AA95" s="44" t="b">
        <f>INDEX(itemPrepMethods, MATCH(K95, itemNames, 0))="soak"</f>
        <v>0</v>
      </c>
      <c r="AB95" s="58" t="str">
        <f>IF(AA95, Q95, "")</f>
        <v/>
      </c>
      <c r="AC95" s="58" t="str">
        <f>IF(AA95, IF(L95 = "", "", L95), "")</f>
        <v/>
      </c>
      <c r="AD95" s="58" t="str">
        <f>IF(AA95, K95, "")</f>
        <v/>
      </c>
    </row>
    <row r="96" spans="1:30" x14ac:dyDescent="0.25">
      <c r="A96" s="111"/>
      <c r="B96" s="111"/>
      <c r="C96" s="111"/>
      <c r="D96" s="111"/>
      <c r="I96" s="47"/>
      <c r="M96" s="44"/>
      <c r="N96" s="44"/>
      <c r="O96" s="44"/>
      <c r="P96" s="44"/>
    </row>
    <row r="97" spans="1:30" x14ac:dyDescent="0.25">
      <c r="A97" s="111" t="s">
        <v>227</v>
      </c>
      <c r="B97" s="111"/>
      <c r="C97" s="111"/>
      <c r="D97" s="111"/>
      <c r="I97" s="47"/>
      <c r="M97" s="44"/>
      <c r="N97" s="44"/>
      <c r="O97" s="44"/>
      <c r="P97" s="44"/>
    </row>
    <row r="98" spans="1:30" x14ac:dyDescent="0.25">
      <c r="A98" s="40" t="s">
        <v>21</v>
      </c>
      <c r="D98" s="40" t="s">
        <v>108</v>
      </c>
      <c r="I98" s="47"/>
      <c r="M98" s="44"/>
      <c r="N98" s="44"/>
      <c r="O98" s="44"/>
      <c r="P98" s="44"/>
    </row>
    <row r="99" spans="1:30" ht="15.75" x14ac:dyDescent="0.25">
      <c r="A99" s="110" t="s">
        <v>26</v>
      </c>
      <c r="B99" s="110"/>
      <c r="C99" s="110"/>
      <c r="D99" s="110"/>
      <c r="E99" s="43" t="s">
        <v>139</v>
      </c>
      <c r="F99" s="105" t="s">
        <v>78</v>
      </c>
      <c r="G99" s="105"/>
      <c r="I99" s="47"/>
    </row>
    <row r="100" spans="1:30" ht="24" x14ac:dyDescent="0.2">
      <c r="A100" s="110" t="s">
        <v>273</v>
      </c>
      <c r="B100" s="110"/>
      <c r="C100" s="110"/>
      <c r="D100" s="110"/>
      <c r="E100" s="42" t="s">
        <v>56</v>
      </c>
      <c r="F100" s="90">
        <v>21</v>
      </c>
      <c r="G100" s="47"/>
      <c r="H100" s="47"/>
      <c r="I100" s="70" t="s">
        <v>448</v>
      </c>
      <c r="J100" s="71" t="s">
        <v>449</v>
      </c>
      <c r="K100" s="71" t="s">
        <v>17</v>
      </c>
      <c r="L100" s="72" t="s">
        <v>452</v>
      </c>
      <c r="M100" s="70" t="s">
        <v>148</v>
      </c>
      <c r="N100" s="70" t="s">
        <v>149</v>
      </c>
      <c r="O100" s="70" t="s">
        <v>450</v>
      </c>
      <c r="P100" s="70" t="s">
        <v>451</v>
      </c>
      <c r="Q100" s="71" t="s">
        <v>364</v>
      </c>
      <c r="R100" s="70" t="s">
        <v>365</v>
      </c>
      <c r="S100" s="70" t="s">
        <v>366</v>
      </c>
      <c r="T100" s="70" t="s">
        <v>367</v>
      </c>
      <c r="U100" s="71" t="s">
        <v>22</v>
      </c>
      <c r="V100" s="71" t="s">
        <v>212</v>
      </c>
      <c r="W100" s="73" t="s">
        <v>364</v>
      </c>
      <c r="X100" s="71" t="s">
        <v>210</v>
      </c>
      <c r="Y100" s="71" t="s">
        <v>211</v>
      </c>
      <c r="Z100" s="71" t="s">
        <v>313</v>
      </c>
      <c r="AA100" s="71" t="s">
        <v>213</v>
      </c>
      <c r="AB100" s="73" t="s">
        <v>364</v>
      </c>
      <c r="AC100" s="71" t="s">
        <v>214</v>
      </c>
      <c r="AD100" s="71" t="s">
        <v>215</v>
      </c>
    </row>
    <row r="101" spans="1:30" ht="16.5" thickBot="1" x14ac:dyDescent="0.3">
      <c r="A101" s="112"/>
      <c r="B101" s="112"/>
      <c r="C101" s="112"/>
      <c r="D101" s="112"/>
      <c r="E101" s="66" t="s">
        <v>359</v>
      </c>
      <c r="F101" s="90">
        <f>suLuCount</f>
        <v>10</v>
      </c>
      <c r="G101" s="47"/>
      <c r="H101" s="53"/>
      <c r="I101" s="63"/>
      <c r="J101" s="42"/>
      <c r="K101" s="42"/>
      <c r="L101" s="64"/>
      <c r="M101" s="63"/>
      <c r="N101" s="63"/>
      <c r="O101" s="63"/>
      <c r="P101" s="63"/>
      <c r="U101" s="42"/>
    </row>
    <row r="102" spans="1:30" ht="15.75" thickBot="1" x14ac:dyDescent="0.3">
      <c r="A102" s="111" t="s">
        <v>252</v>
      </c>
      <c r="B102" s="111"/>
      <c r="C102" s="111"/>
      <c r="D102" s="111"/>
      <c r="E102" s="66" t="s">
        <v>362</v>
      </c>
      <c r="F102" s="50">
        <f>F101/F100</f>
        <v>0.47619047619047616</v>
      </c>
      <c r="G102" s="51" t="s">
        <v>374</v>
      </c>
      <c r="H102" s="53"/>
      <c r="I102" s="63"/>
      <c r="J102" s="42"/>
      <c r="K102" s="42"/>
      <c r="L102" s="64"/>
      <c r="M102" s="63"/>
      <c r="N102" s="63"/>
      <c r="O102" s="63"/>
      <c r="P102" s="63"/>
      <c r="U102" s="42"/>
    </row>
    <row r="103" spans="1:30" x14ac:dyDescent="0.25">
      <c r="A103" s="40" t="s">
        <v>21</v>
      </c>
      <c r="B103" s="52">
        <f t="shared" ref="B103:B130" si="153">Q103</f>
        <v>3.5</v>
      </c>
      <c r="C103" s="39" t="str">
        <f t="shared" ref="C103:C135" si="154">IF(L103="","",L103)</f>
        <v>cup</v>
      </c>
      <c r="D103" s="40" t="str">
        <f>_xlfn.CONCAT(K103, U103)</f>
        <v>red lentils. Blot with paper towels or clean tea towels to get as dry as possible</v>
      </c>
      <c r="E103" s="67"/>
      <c r="F103" s="67"/>
      <c r="G103" s="67"/>
      <c r="I103" s="62">
        <v>7.5</v>
      </c>
      <c r="J103" s="55" t="s">
        <v>16</v>
      </c>
      <c r="K103" s="55" t="s">
        <v>45</v>
      </c>
      <c r="L103" s="56" t="s">
        <v>16</v>
      </c>
      <c r="M103" s="47">
        <f t="shared" ref="M103:M130" si="155">INDEX(itemGPerQty, MATCH(K103, itemNames, 0))</f>
        <v>0.80800000000000005</v>
      </c>
      <c r="N103" s="47">
        <f t="shared" ref="N103:N130" si="156">INDEX(itemMlPerQty, MATCH(K103, itemNames, 0))</f>
        <v>0.946353</v>
      </c>
      <c r="O103" s="47">
        <f t="shared" ref="O103:O130" si="157">IF(J103 = "", I103 * M103, IF(ISNA(CONVERT(I103, J103, "kg")), CONVERT(I103, J103, "l") * IF(N103 &lt;&gt; 0, M103 / N103, 0), CONVERT(I103, J103, "kg")))</f>
        <v>1.5149999135523426</v>
      </c>
      <c r="P103" s="47">
        <f t="shared" ref="P103:P130" si="158">IF(J103 = "", I103 * N103, IF(ISNA(CONVERT(I103, J103, "l")), CONVERT(I103, J103, "kg") * IF(M103 &lt;&gt; 0, N103 / M103, 0), CONVERT(I103, J103, "l")))</f>
        <v>1.77441177375</v>
      </c>
      <c r="Q103" s="47">
        <f>MROUND(IF(AND(J103 = "", L103 = ""), I103 * recipe08DayScale, IF(ISNA(CONVERT(O103, "kg", L103)), CONVERT(P103 * recipe08DayScale, "l", L103), CONVERT(O103 * recipe08DayScale, "kg", L103))), roundTo)</f>
        <v>3.5</v>
      </c>
      <c r="R103" s="47">
        <f>recipe08TotScale * IF(L103 = "", Q103 * M103, IF(ISNA(CONVERT(Q103, L103, "kg")), CONVERT(Q103, L103, "l") * IF(N103 &lt;&gt; 0, M103 / N103, 0), CONVERT(Q103, L103, "kg")))</f>
        <v>0.70699995965775986</v>
      </c>
      <c r="S103" s="47">
        <f>recipe08TotScale * IF(R103 = 0, IF(L103 = "", Q103 * N103, IF(ISNA(CONVERT(Q103, L103, "l")), CONVERT(Q103, L103, "kg") * IF(M103 &lt;&gt; 0, N103 / M103, 0), CONVERT(Q103, L103, "l"))), 0)</f>
        <v>0</v>
      </c>
      <c r="T103" s="47">
        <f>recipe08TotScale * IF(AND(R103 = 0, S103 = 0, J103 = "", L103 = ""), Q103, 0)</f>
        <v>0</v>
      </c>
      <c r="U103" s="44" t="s">
        <v>228</v>
      </c>
      <c r="V103" s="44" t="b">
        <f>INDEX(itemPrepMethods, MATCH(K103, itemNames, 0))="chop"</f>
        <v>0</v>
      </c>
      <c r="W103" s="57" t="str">
        <f>IF(V103, Q103, "")</f>
        <v/>
      </c>
      <c r="X103" s="58" t="str">
        <f>IF(V103, IF(L103 = "", "", L103), "")</f>
        <v/>
      </c>
      <c r="Y103" s="58" t="str">
        <f>IF(V103, K103, "")</f>
        <v/>
      </c>
      <c r="Z103" s="59"/>
      <c r="AA103" s="44" t="b">
        <f>INDEX(itemPrepMethods, MATCH(K103, itemNames, 0))="soak"</f>
        <v>1</v>
      </c>
      <c r="AB103" s="58">
        <f>IF(AA103, Q103, "")</f>
        <v>3.5</v>
      </c>
      <c r="AC103" s="58" t="str">
        <f>IF(AA103, IF(L103 = "", "", L103), "")</f>
        <v>cup</v>
      </c>
      <c r="AD103" s="58" t="str">
        <f>IF(AA103, K103, "")</f>
        <v>red lentils</v>
      </c>
    </row>
    <row r="104" spans="1:30" ht="15.75" thickBot="1" x14ac:dyDescent="0.3">
      <c r="A104" s="111"/>
      <c r="B104" s="111"/>
      <c r="C104" s="111"/>
      <c r="D104" s="111"/>
      <c r="E104" s="66" t="s">
        <v>338</v>
      </c>
      <c r="F104" s="90">
        <f>suLuCount</f>
        <v>10</v>
      </c>
      <c r="G104" s="67"/>
      <c r="I104" s="47"/>
      <c r="M104" s="44"/>
      <c r="N104" s="44"/>
      <c r="O104" s="44"/>
      <c r="P104" s="44"/>
      <c r="W104" s="74"/>
      <c r="X104" s="74"/>
      <c r="Y104" s="74"/>
      <c r="Z104" s="74"/>
      <c r="AA104" s="67"/>
      <c r="AB104" s="74"/>
      <c r="AC104" s="74"/>
      <c r="AD104" s="74"/>
    </row>
    <row r="105" spans="1:30" ht="15.75" thickBot="1" x14ac:dyDescent="0.3">
      <c r="A105" s="111" t="s">
        <v>248</v>
      </c>
      <c r="B105" s="111"/>
      <c r="C105" s="111"/>
      <c r="D105" s="111"/>
      <c r="E105" s="66" t="s">
        <v>363</v>
      </c>
      <c r="F105" s="50">
        <f>F104/F101</f>
        <v>1</v>
      </c>
      <c r="G105" s="51" t="s">
        <v>375</v>
      </c>
      <c r="I105" s="47"/>
      <c r="M105" s="44"/>
      <c r="N105" s="44"/>
      <c r="O105" s="44"/>
      <c r="P105" s="44"/>
      <c r="W105" s="74"/>
      <c r="X105" s="74"/>
      <c r="Y105" s="74"/>
      <c r="Z105" s="74"/>
      <c r="AA105" s="67"/>
      <c r="AB105" s="74"/>
      <c r="AC105" s="74"/>
      <c r="AD105" s="74"/>
    </row>
    <row r="106" spans="1:30" x14ac:dyDescent="0.25">
      <c r="A106" s="40" t="s">
        <v>21</v>
      </c>
      <c r="D106" s="40" t="str">
        <f>_xlfn.CONCAT(K106, U106)</f>
        <v>washed lentils from step 1</v>
      </c>
      <c r="I106" s="47"/>
      <c r="U106" s="44" t="s">
        <v>245</v>
      </c>
      <c r="W106" s="74"/>
      <c r="X106" s="74"/>
      <c r="Y106" s="74"/>
      <c r="Z106" s="74"/>
      <c r="AA106" s="67"/>
      <c r="AB106" s="74"/>
      <c r="AC106" s="74"/>
      <c r="AD106" s="74"/>
    </row>
    <row r="107" spans="1:30" x14ac:dyDescent="0.25">
      <c r="A107" s="40" t="s">
        <v>21</v>
      </c>
      <c r="B107" s="52">
        <f t="shared" si="153"/>
        <v>1.25</v>
      </c>
      <c r="C107" s="39" t="str">
        <f t="shared" si="154"/>
        <v>tbs</v>
      </c>
      <c r="D107" s="40" t="str">
        <f>_xlfn.CONCAT(K107, U107)</f>
        <v>ground turmeric</v>
      </c>
      <c r="I107" s="62">
        <v>7.5</v>
      </c>
      <c r="J107" s="55" t="s">
        <v>13</v>
      </c>
      <c r="K107" s="55" t="s">
        <v>316</v>
      </c>
      <c r="L107" s="56" t="s">
        <v>15</v>
      </c>
      <c r="M107" s="47">
        <f t="shared" si="155"/>
        <v>1.4E-2</v>
      </c>
      <c r="N107" s="47">
        <f t="shared" si="156"/>
        <v>2.2180100000000001E-2</v>
      </c>
      <c r="O107" s="47">
        <f t="shared" si="157"/>
        <v>2.3333382957865384E-2</v>
      </c>
      <c r="P107" s="47">
        <f t="shared" si="158"/>
        <v>3.6966911953125001E-2</v>
      </c>
      <c r="Q107" s="47">
        <f>MROUND(IF(AND(J107 = "", L107 = ""), I107 * recipe08DayScale, IF(ISNA(CONVERT(O107, "kg", L107)), CONVERT(P107 * recipe08DayScale, "l", L107), CONVERT(O107 * recipe08DayScale, "kg", L107))), roundTo)</f>
        <v>1.25</v>
      </c>
      <c r="R107" s="47">
        <f>recipe08TotScale * IF(L107 = "", Q107 * M107, IF(ISNA(CONVERT(Q107, L107, "kg")), CONVERT(Q107, L107, "l") * IF(N107 &lt;&gt; 0, M107 / N107, 0), CONVERT(Q107, L107, "kg")))</f>
        <v>1.1666691478932692E-2</v>
      </c>
      <c r="S107" s="47">
        <f>recipe08TotScale * IF(R107 = 0, IF(L107 = "", Q107 * N107, IF(ISNA(CONVERT(Q107, L107, "l")), CONVERT(Q107, L107, "kg") * IF(M107 &lt;&gt; 0, N107 / M107, 0), CONVERT(Q107, L107, "l"))), 0)</f>
        <v>0</v>
      </c>
      <c r="T107" s="47">
        <f>recipe08TotScale * IF(AND(R107 = 0, S107 = 0, J107 = "", L107 = ""), Q107, 0)</f>
        <v>0</v>
      </c>
      <c r="V107" s="44" t="b">
        <f>INDEX(itemPrepMethods, MATCH(K107, itemNames, 0))="chop"</f>
        <v>0</v>
      </c>
      <c r="W107" s="57" t="str">
        <f>IF(V107, Q107, "")</f>
        <v/>
      </c>
      <c r="X107" s="58" t="str">
        <f>IF(V107, IF(L107 = "", "", L107), "")</f>
        <v/>
      </c>
      <c r="Y107" s="58" t="str">
        <f>IF(V107, K107, "")</f>
        <v/>
      </c>
      <c r="Z107" s="59"/>
      <c r="AA107" s="44" t="b">
        <f>INDEX(itemPrepMethods, MATCH(K107, itemNames, 0))="soak"</f>
        <v>0</v>
      </c>
      <c r="AB107" s="58" t="str">
        <f>IF(AA107, Q107, "")</f>
        <v/>
      </c>
      <c r="AC107" s="58" t="str">
        <f>IF(AA107, IF(L107 = "", "", L107), "")</f>
        <v/>
      </c>
      <c r="AD107" s="58" t="str">
        <f>IF(AA107, K107, "")</f>
        <v/>
      </c>
    </row>
    <row r="108" spans="1:30" x14ac:dyDescent="0.25">
      <c r="A108" s="40" t="s">
        <v>21</v>
      </c>
      <c r="B108" s="52">
        <f t="shared" si="153"/>
        <v>0.25</v>
      </c>
      <c r="C108" s="39" t="str">
        <f t="shared" si="154"/>
        <v>cup</v>
      </c>
      <c r="D108" s="40" t="str">
        <f>_xlfn.CONCAT(K108, U108)</f>
        <v>oil</v>
      </c>
      <c r="I108" s="62">
        <v>0.75</v>
      </c>
      <c r="J108" s="55" t="s">
        <v>16</v>
      </c>
      <c r="K108" s="55" t="s">
        <v>46</v>
      </c>
      <c r="L108" s="56" t="s">
        <v>16</v>
      </c>
      <c r="M108" s="47">
        <f t="shared" si="155"/>
        <v>0</v>
      </c>
      <c r="N108" s="47">
        <f t="shared" si="156"/>
        <v>0</v>
      </c>
      <c r="O108" s="47">
        <f t="shared" si="157"/>
        <v>0</v>
      </c>
      <c r="P108" s="47">
        <f t="shared" si="158"/>
        <v>0.17744117737499998</v>
      </c>
      <c r="Q108" s="47">
        <f>MROUND(IF(AND(J108 = "", L108 = ""), I108 * recipe08DayScale, IF(ISNA(CONVERT(O108, "kg", L108)), CONVERT(P108 * recipe08DayScale, "l", L108), CONVERT(O108 * recipe08DayScale, "kg", L108))), roundTo)</f>
        <v>0.25</v>
      </c>
      <c r="R108" s="47">
        <f>recipe08TotScale * IF(L108 = "", Q108 * M108, IF(ISNA(CONVERT(Q108, L108, "kg")), CONVERT(Q108, L108, "l") * IF(N108 &lt;&gt; 0, M108 / N108, 0), CONVERT(Q108, L108, "kg")))</f>
        <v>0</v>
      </c>
      <c r="S108" s="47">
        <f>recipe08TotScale * IF(R108 = 0, IF(L108 = "", Q108 * N108, IF(ISNA(CONVERT(Q108, L108, "l")), CONVERT(Q108, L108, "kg") * IF(M108 &lt;&gt; 0, N108 / M108, 0), CONVERT(Q108, L108, "l"))), 0)</f>
        <v>5.9147059124999998E-2</v>
      </c>
      <c r="T108" s="47">
        <f>recipe08TotScale * IF(AND(R108 = 0, S108 = 0, J108 = "", L108 = ""), Q108, 0)</f>
        <v>0</v>
      </c>
      <c r="V108" s="44" t="b">
        <f>INDEX(itemPrepMethods, MATCH(K108, itemNames, 0))="chop"</f>
        <v>0</v>
      </c>
      <c r="W108" s="57" t="str">
        <f>IF(V108, Q108, "")</f>
        <v/>
      </c>
      <c r="X108" s="58" t="str">
        <f>IF(V108, IF(L108 = "", "", L108), "")</f>
        <v/>
      </c>
      <c r="Y108" s="58" t="str">
        <f>IF(V108, K108, "")</f>
        <v/>
      </c>
      <c r="Z108" s="59"/>
      <c r="AA108" s="44" t="b">
        <f>INDEX(itemPrepMethods, MATCH(K108, itemNames, 0))="soak"</f>
        <v>0</v>
      </c>
      <c r="AB108" s="58" t="str">
        <f>IF(AA108, Q108, "")</f>
        <v/>
      </c>
      <c r="AC108" s="58" t="str">
        <f>IF(AA108, IF(L108 = "", "", L108), "")</f>
        <v/>
      </c>
      <c r="AD108" s="58" t="str">
        <f>IF(AA108, K108, "")</f>
        <v/>
      </c>
    </row>
    <row r="109" spans="1:30" x14ac:dyDescent="0.25">
      <c r="A109" s="111"/>
      <c r="B109" s="111"/>
      <c r="C109" s="111"/>
      <c r="D109" s="111"/>
      <c r="I109" s="47"/>
      <c r="M109" s="44"/>
      <c r="N109" s="44"/>
      <c r="O109" s="44"/>
      <c r="P109" s="44"/>
      <c r="W109" s="74"/>
      <c r="X109" s="74"/>
      <c r="Y109" s="74"/>
      <c r="Z109" s="74"/>
      <c r="AA109" s="67"/>
      <c r="AB109" s="74"/>
      <c r="AC109" s="74"/>
      <c r="AD109" s="74"/>
    </row>
    <row r="110" spans="1:30" x14ac:dyDescent="0.25">
      <c r="A110" s="111" t="s">
        <v>247</v>
      </c>
      <c r="B110" s="111"/>
      <c r="C110" s="111"/>
      <c r="D110" s="111"/>
      <c r="I110" s="47"/>
      <c r="M110" s="44"/>
      <c r="N110" s="44"/>
      <c r="O110" s="44"/>
      <c r="P110" s="44"/>
      <c r="W110" s="74"/>
      <c r="X110" s="74"/>
      <c r="Y110" s="74"/>
      <c r="Z110" s="74"/>
      <c r="AA110" s="67"/>
      <c r="AB110" s="74"/>
      <c r="AC110" s="74"/>
      <c r="AD110" s="74"/>
    </row>
    <row r="111" spans="1:30" x14ac:dyDescent="0.25">
      <c r="A111" s="40" t="s">
        <v>21</v>
      </c>
      <c r="B111" s="52">
        <f t="shared" si="153"/>
        <v>1.5</v>
      </c>
      <c r="C111" s="39" t="str">
        <f t="shared" si="154"/>
        <v/>
      </c>
      <c r="D111" s="40" t="str">
        <f>_xlfn.CONCAT(K111, U111)</f>
        <v>tins chopped tomatoes, drained</v>
      </c>
      <c r="I111" s="62">
        <v>3</v>
      </c>
      <c r="J111" s="55"/>
      <c r="K111" s="55" t="s">
        <v>47</v>
      </c>
      <c r="L111" s="56"/>
      <c r="M111" s="47">
        <f t="shared" si="155"/>
        <v>0</v>
      </c>
      <c r="N111" s="47">
        <f t="shared" si="156"/>
        <v>0</v>
      </c>
      <c r="O111" s="47">
        <f t="shared" si="157"/>
        <v>0</v>
      </c>
      <c r="P111" s="47">
        <f t="shared" si="158"/>
        <v>0</v>
      </c>
      <c r="Q111" s="47">
        <f>MROUND(IF(AND(J111 = "", L111 = ""), I111 * recipe08DayScale, IF(ISNA(CONVERT(O111, "kg", L111)), CONVERT(P111 * recipe08DayScale, "l", L111), CONVERT(O111 * recipe08DayScale, "kg", L111))), roundTo)</f>
        <v>1.5</v>
      </c>
      <c r="R111" s="47">
        <f>recipe08TotScale * IF(L111 = "", Q111 * M111, IF(ISNA(CONVERT(Q111, L111, "kg")), CONVERT(Q111, L111, "l") * IF(N111 &lt;&gt; 0, M111 / N111, 0), CONVERT(Q111, L111, "kg")))</f>
        <v>0</v>
      </c>
      <c r="S111" s="47">
        <f>recipe08TotScale * IF(R111 = 0, IF(L111 = "", Q111 * N111, IF(ISNA(CONVERT(Q111, L111, "l")), CONVERT(Q111, L111, "kg") * IF(M111 &lt;&gt; 0, N111 / M111, 0), CONVERT(Q111, L111, "l"))), 0)</f>
        <v>0</v>
      </c>
      <c r="T111" s="47">
        <f>recipe08TotScale * IF(AND(R111 = 0, S111 = 0, J111 = "", L111 = ""), Q111, 0)</f>
        <v>1.5</v>
      </c>
      <c r="U111" s="44" t="s">
        <v>230</v>
      </c>
      <c r="V111" s="44" t="b">
        <f>INDEX(itemPrepMethods, MATCH(K111, itemNames, 0))="chop"</f>
        <v>0</v>
      </c>
      <c r="W111" s="57" t="str">
        <f>IF(V111, Q111, "")</f>
        <v/>
      </c>
      <c r="X111" s="58" t="str">
        <f>IF(V111, IF(L111 = "", "", L111), "")</f>
        <v/>
      </c>
      <c r="Y111" s="58" t="str">
        <f>IF(V111, K111, "")</f>
        <v/>
      </c>
      <c r="Z111" s="59"/>
      <c r="AA111" s="44" t="b">
        <f>INDEX(itemPrepMethods, MATCH(K111, itemNames, 0))="soak"</f>
        <v>0</v>
      </c>
      <c r="AB111" s="58" t="str">
        <f>IF(AA111, Q111, "")</f>
        <v/>
      </c>
      <c r="AC111" s="58" t="str">
        <f>IF(AA111, IF(L111 = "", "", L111), "")</f>
        <v/>
      </c>
      <c r="AD111" s="58" t="str">
        <f>IF(AA111, K111, "")</f>
        <v/>
      </c>
    </row>
    <row r="112" spans="1:30" x14ac:dyDescent="0.25">
      <c r="A112" s="40" t="s">
        <v>21</v>
      </c>
      <c r="B112" s="52">
        <f t="shared" si="153"/>
        <v>4.75</v>
      </c>
      <c r="C112" s="39" t="str">
        <f t="shared" si="154"/>
        <v/>
      </c>
      <c r="D112" s="40" t="str">
        <f>_xlfn.CONCAT(K112, U112)</f>
        <v>chopped zucchini</v>
      </c>
      <c r="I112" s="62">
        <v>10</v>
      </c>
      <c r="J112" s="55"/>
      <c r="K112" s="55" t="s">
        <v>197</v>
      </c>
      <c r="L112" s="56"/>
      <c r="M112" s="47">
        <f t="shared" si="155"/>
        <v>0</v>
      </c>
      <c r="N112" s="47">
        <f t="shared" si="156"/>
        <v>0</v>
      </c>
      <c r="O112" s="47">
        <f t="shared" si="157"/>
        <v>0</v>
      </c>
      <c r="P112" s="47">
        <f t="shared" si="158"/>
        <v>0</v>
      </c>
      <c r="Q112" s="47">
        <f>MROUND(IF(AND(J112 = "", L112 = ""), I112 * recipe08DayScale, IF(ISNA(CONVERT(O112, "kg", L112)), CONVERT(P112 * recipe08DayScale, "l", L112), CONVERT(O112 * recipe08DayScale, "kg", L112))), roundTo)</f>
        <v>4.75</v>
      </c>
      <c r="R112" s="47">
        <f>recipe08TotScale * IF(L112 = "", Q112 * M112, IF(ISNA(CONVERT(Q112, L112, "kg")), CONVERT(Q112, L112, "l") * IF(N112 &lt;&gt; 0, M112 / N112, 0), CONVERT(Q112, L112, "kg")))</f>
        <v>0</v>
      </c>
      <c r="S112" s="47">
        <f>recipe08TotScale * IF(R112 = 0, IF(L112 = "", Q112 * N112, IF(ISNA(CONVERT(Q112, L112, "l")), CONVERT(Q112, L112, "kg") * IF(M112 &lt;&gt; 0, N112 / M112, 0), CONVERT(Q112, L112, "l"))), 0)</f>
        <v>0</v>
      </c>
      <c r="T112" s="47">
        <f>recipe08TotScale * IF(AND(R112 = 0, S112 = 0, J112 = "", L112 = ""), Q112, 0)</f>
        <v>4.75</v>
      </c>
      <c r="V112" s="44" t="b">
        <f>INDEX(itemPrepMethods, MATCH(K112, itemNames, 0))="chop"</f>
        <v>1</v>
      </c>
      <c r="W112" s="57">
        <f>IF(V112, Q112, "")</f>
        <v>4.75</v>
      </c>
      <c r="X112" s="58" t="str">
        <f>IF(V112, IF(L112 = "", "", L112), "")</f>
        <v/>
      </c>
      <c r="Y112" s="58" t="str">
        <f>IF(V112, K112, "")</f>
        <v>chopped zucchini</v>
      </c>
      <c r="Z112" s="59"/>
      <c r="AA112" s="44" t="b">
        <f>INDEX(itemPrepMethods, MATCH(K112, itemNames, 0))="soak"</f>
        <v>0</v>
      </c>
      <c r="AB112" s="58" t="str">
        <f>IF(AA112, Q112, "")</f>
        <v/>
      </c>
      <c r="AC112" s="58" t="str">
        <f>IF(AA112, IF(L112 = "", "", L112), "")</f>
        <v/>
      </c>
      <c r="AD112" s="58" t="str">
        <f>IF(AA112, K112, "")</f>
        <v/>
      </c>
    </row>
    <row r="113" spans="1:30" x14ac:dyDescent="0.25">
      <c r="A113" s="111"/>
      <c r="B113" s="111"/>
      <c r="C113" s="111"/>
      <c r="D113" s="111"/>
      <c r="I113" s="47"/>
      <c r="M113" s="44"/>
      <c r="N113" s="44"/>
      <c r="O113" s="44"/>
      <c r="P113" s="44"/>
      <c r="W113" s="74"/>
      <c r="X113" s="74"/>
      <c r="Y113" s="74"/>
      <c r="Z113" s="74"/>
      <c r="AA113" s="67"/>
      <c r="AB113" s="74"/>
      <c r="AC113" s="74"/>
      <c r="AD113" s="74"/>
    </row>
    <row r="114" spans="1:30" x14ac:dyDescent="0.25">
      <c r="A114" s="111" t="s">
        <v>229</v>
      </c>
      <c r="B114" s="111"/>
      <c r="C114" s="111"/>
      <c r="D114" s="111"/>
      <c r="I114" s="47"/>
      <c r="M114" s="44"/>
      <c r="N114" s="44"/>
      <c r="O114" s="44"/>
      <c r="P114" s="44"/>
      <c r="W114" s="74"/>
      <c r="X114" s="74"/>
      <c r="Y114" s="74"/>
      <c r="Z114" s="74"/>
      <c r="AA114" s="67"/>
      <c r="AB114" s="74"/>
      <c r="AC114" s="74"/>
      <c r="AD114" s="74"/>
    </row>
    <row r="115" spans="1:30" x14ac:dyDescent="0.25">
      <c r="A115" s="40" t="s">
        <v>21</v>
      </c>
      <c r="B115" s="52">
        <f t="shared" si="153"/>
        <v>10</v>
      </c>
      <c r="C115" s="39" t="str">
        <f t="shared" si="154"/>
        <v>cup</v>
      </c>
      <c r="D115" s="40" t="str">
        <f>_xlfn.CONCAT(K115, U115)</f>
        <v>water</v>
      </c>
      <c r="I115" s="62">
        <v>21</v>
      </c>
      <c r="J115" s="55" t="s">
        <v>16</v>
      </c>
      <c r="K115" s="55" t="s">
        <v>48</v>
      </c>
      <c r="L115" s="56" t="s">
        <v>16</v>
      </c>
      <c r="M115" s="47">
        <f t="shared" si="155"/>
        <v>1</v>
      </c>
      <c r="N115" s="47">
        <f t="shared" si="156"/>
        <v>1</v>
      </c>
      <c r="O115" s="47">
        <f t="shared" si="157"/>
        <v>4.9683529664999995</v>
      </c>
      <c r="P115" s="47">
        <f t="shared" si="158"/>
        <v>4.9683529664999995</v>
      </c>
      <c r="Q115" s="47">
        <f>MROUND(IF(AND(J115 = "", L115 = ""), I115 * recipe08DayScale, IF(ISNA(CONVERT(O115, "kg", L115)), CONVERT(P115 * recipe08DayScale, "l", L115), CONVERT(O115 * recipe08DayScale, "kg", L115))), roundTo)</f>
        <v>10</v>
      </c>
      <c r="R115" s="47">
        <f>recipe08TotScale * IF(L115 = "", Q115 * M115, IF(ISNA(CONVERT(Q115, L115, "kg")), CONVERT(Q115, L115, "l") * IF(N115 &lt;&gt; 0, M115 / N115, 0), CONVERT(Q115, L115, "kg")))</f>
        <v>2.365882365</v>
      </c>
      <c r="S115" s="47">
        <f>recipe08TotScale * IF(R115 = 0, IF(L115 = "", Q115 * N115, IF(ISNA(CONVERT(Q115, L115, "l")), CONVERT(Q115, L115, "kg") * IF(M115 &lt;&gt; 0, N115 / M115, 0), CONVERT(Q115, L115, "l"))), 0)</f>
        <v>0</v>
      </c>
      <c r="T115" s="47">
        <f>recipe08TotScale * IF(AND(R115 = 0, S115 = 0, J115 = "", L115 = ""), Q115, 0)</f>
        <v>0</v>
      </c>
      <c r="V115" s="44" t="b">
        <f>INDEX(itemPrepMethods, MATCH(K115, itemNames, 0))="chop"</f>
        <v>0</v>
      </c>
      <c r="W115" s="57" t="str">
        <f>IF(V115, Q115, "")</f>
        <v/>
      </c>
      <c r="X115" s="58" t="str">
        <f>IF(V115, IF(L115 = "", "", L115), "")</f>
        <v/>
      </c>
      <c r="Y115" s="58" t="str">
        <f>IF(V115, K115, "")</f>
        <v/>
      </c>
      <c r="Z115" s="59"/>
      <c r="AA115" s="44" t="b">
        <f>INDEX(itemPrepMethods, MATCH(K115, itemNames, 0))="soak"</f>
        <v>0</v>
      </c>
      <c r="AB115" s="58" t="str">
        <f>IF(AA115, Q115, "")</f>
        <v/>
      </c>
      <c r="AC115" s="58" t="str">
        <f>IF(AA115, IF(L115 = "", "", L115), "")</f>
        <v/>
      </c>
      <c r="AD115" s="58" t="str">
        <f>IF(AA115, K115, "")</f>
        <v/>
      </c>
    </row>
    <row r="116" spans="1:30" x14ac:dyDescent="0.25">
      <c r="A116" s="40" t="s">
        <v>21</v>
      </c>
      <c r="B116" s="52">
        <f t="shared" si="153"/>
        <v>2.5</v>
      </c>
      <c r="C116" s="39" t="str">
        <f t="shared" si="154"/>
        <v>tsp</v>
      </c>
      <c r="D116" s="40" t="str">
        <f>_xlfn.CONCAT(K116, U116)</f>
        <v>salt</v>
      </c>
      <c r="I116" s="62">
        <v>5</v>
      </c>
      <c r="J116" s="55" t="s">
        <v>13</v>
      </c>
      <c r="K116" s="55" t="s">
        <v>11</v>
      </c>
      <c r="L116" s="56" t="s">
        <v>13</v>
      </c>
      <c r="M116" s="47">
        <f t="shared" si="155"/>
        <v>2.5000000000000001E-2</v>
      </c>
      <c r="N116" s="47">
        <f t="shared" si="156"/>
        <v>2.2180100000000001E-2</v>
      </c>
      <c r="O116" s="47">
        <f t="shared" si="157"/>
        <v>2.777783685460165E-2</v>
      </c>
      <c r="P116" s="47">
        <f t="shared" si="158"/>
        <v>2.4644607968749999E-2</v>
      </c>
      <c r="Q116" s="47">
        <f>MROUND(IF(AND(J116 = "", L116 = ""), I116 * recipe08DayScale, IF(ISNA(CONVERT(O116, "kg", L116)), CONVERT(P116 * recipe08DayScale, "l", L116), CONVERT(O116 * recipe08DayScale, "kg", L116))), roundTo)</f>
        <v>2.5</v>
      </c>
      <c r="R116" s="47">
        <f>recipe08TotScale * IF(L116 = "", Q116 * M116, IF(ISNA(CONVERT(Q116, L116, "kg")), CONVERT(Q116, L116, "l") * IF(N116 &lt;&gt; 0, M116 / N116, 0), CONVERT(Q116, L116, "kg")))</f>
        <v>1.3888918427300825E-2</v>
      </c>
      <c r="S116" s="47">
        <f>recipe08TotScale * IF(R116 = 0, IF(L116 = "", Q116 * N116, IF(ISNA(CONVERT(Q116, L116, "l")), CONVERT(Q116, L116, "kg") * IF(M116 &lt;&gt; 0, N116 / M116, 0), CONVERT(Q116, L116, "l"))), 0)</f>
        <v>0</v>
      </c>
      <c r="T116" s="47">
        <f>recipe08TotScale * IF(AND(R116 = 0, S116 = 0, J116 = "", L116 = ""), Q116, 0)</f>
        <v>0</v>
      </c>
      <c r="V116" s="44" t="b">
        <f>INDEX(itemPrepMethods, MATCH(K116, itemNames, 0))="chop"</f>
        <v>0</v>
      </c>
      <c r="W116" s="57" t="str">
        <f>IF(V116, Q116, "")</f>
        <v/>
      </c>
      <c r="X116" s="58" t="str">
        <f>IF(V116, IF(L116 = "", "", L116), "")</f>
        <v/>
      </c>
      <c r="Y116" s="58" t="str">
        <f>IF(V116, K116, "")</f>
        <v/>
      </c>
      <c r="Z116" s="59"/>
      <c r="AA116" s="44" t="b">
        <f>INDEX(itemPrepMethods, MATCH(K116, itemNames, 0))="soak"</f>
        <v>0</v>
      </c>
      <c r="AB116" s="58" t="str">
        <f>IF(AA116, Q116, "")</f>
        <v/>
      </c>
      <c r="AC116" s="58" t="str">
        <f>IF(AA116, IF(L116 = "", "", L116), "")</f>
        <v/>
      </c>
      <c r="AD116" s="58" t="str">
        <f>IF(AA116, K116, "")</f>
        <v/>
      </c>
    </row>
    <row r="117" spans="1:30" x14ac:dyDescent="0.25">
      <c r="A117" s="40" t="s">
        <v>21</v>
      </c>
      <c r="B117" s="61">
        <f t="shared" si="153"/>
        <v>2.5</v>
      </c>
      <c r="C117" s="91" t="str">
        <f t="shared" si="154"/>
        <v/>
      </c>
      <c r="D117" s="92" t="str">
        <f>_xlfn.CONCAT(K117, U117)</f>
        <v>minced green chili</v>
      </c>
      <c r="I117" s="62">
        <v>5</v>
      </c>
      <c r="J117" s="55"/>
      <c r="K117" s="55" t="s">
        <v>50</v>
      </c>
      <c r="L117" s="56"/>
      <c r="M117" s="47">
        <f t="shared" si="155"/>
        <v>0</v>
      </c>
      <c r="N117" s="47">
        <f t="shared" si="156"/>
        <v>0</v>
      </c>
      <c r="O117" s="47">
        <f t="shared" si="157"/>
        <v>0</v>
      </c>
      <c r="P117" s="47">
        <f t="shared" si="158"/>
        <v>0</v>
      </c>
      <c r="Q117" s="47">
        <f>MROUND(IF(AND(J117 = "", L117 = ""), I117 * recipe08DayScale, IF(ISNA(CONVERT(O117, "kg", L117)), CONVERT(P117 * recipe08DayScale, "l", L117), CONVERT(O117 * recipe08DayScale, "kg", L117))), roundTo)</f>
        <v>2.5</v>
      </c>
      <c r="R117" s="47">
        <f>recipe08TotScale * IF(L117 = "", Q117 * M117, IF(ISNA(CONVERT(Q117, L117, "kg")), CONVERT(Q117, L117, "l") * IF(N117 &lt;&gt; 0, M117 / N117, 0), CONVERT(Q117, L117, "kg")))</f>
        <v>0</v>
      </c>
      <c r="S117" s="47">
        <f>recipe08TotScale * IF(R117 = 0, IF(L117 = "", Q117 * N117, IF(ISNA(CONVERT(Q117, L117, "l")), CONVERT(Q117, L117, "kg") * IF(M117 &lt;&gt; 0, N117 / M117, 0), CONVERT(Q117, L117, "l"))), 0)</f>
        <v>0</v>
      </c>
      <c r="T117" s="47">
        <f>recipe08TotScale * IF(AND(R117 = 0, S117 = 0, J117 = "", L117 = ""), Q117, 0)</f>
        <v>2.5</v>
      </c>
      <c r="V117" s="44" t="b">
        <f>INDEX(itemPrepMethods, MATCH(K117, itemNames, 0))="chop"</f>
        <v>1</v>
      </c>
      <c r="W117" s="57">
        <f>IF(V117, Q117, "")</f>
        <v>2.5</v>
      </c>
      <c r="X117" s="58" t="str">
        <f>IF(V117, IF(L117 = "", "", L117), "")</f>
        <v/>
      </c>
      <c r="Y117" s="58" t="str">
        <f>IF(V117, K117, "")</f>
        <v>minced green chili</v>
      </c>
      <c r="Z117" s="59"/>
      <c r="AA117" s="44" t="b">
        <f>INDEX(itemPrepMethods, MATCH(K117, itemNames, 0))="soak"</f>
        <v>0</v>
      </c>
      <c r="AB117" s="58" t="str">
        <f>IF(AA117, Q117, "")</f>
        <v/>
      </c>
      <c r="AC117" s="58" t="str">
        <f>IF(AA117, IF(L117 = "", "", L117), "")</f>
        <v/>
      </c>
      <c r="AD117" s="58" t="str">
        <f>IF(AA117, K117, "")</f>
        <v/>
      </c>
    </row>
    <row r="118" spans="1:30" x14ac:dyDescent="0.25">
      <c r="A118" s="40" t="s">
        <v>21</v>
      </c>
      <c r="B118" s="52">
        <f t="shared" si="153"/>
        <v>1.5</v>
      </c>
      <c r="C118" s="39" t="str">
        <f t="shared" si="154"/>
        <v>tbs</v>
      </c>
      <c r="D118" s="40" t="str">
        <f>_xlfn.CONCAT(K118, U118)</f>
        <v>minced fresh ginger</v>
      </c>
      <c r="I118" s="62">
        <v>3</v>
      </c>
      <c r="J118" s="55" t="s">
        <v>15</v>
      </c>
      <c r="K118" s="55" t="s">
        <v>231</v>
      </c>
      <c r="L118" s="56" t="s">
        <v>15</v>
      </c>
      <c r="M118" s="47">
        <f t="shared" si="155"/>
        <v>0</v>
      </c>
      <c r="N118" s="47">
        <f t="shared" si="156"/>
        <v>0</v>
      </c>
      <c r="O118" s="47">
        <f t="shared" si="157"/>
        <v>0</v>
      </c>
      <c r="P118" s="47">
        <f t="shared" si="158"/>
        <v>4.4360294343749995E-2</v>
      </c>
      <c r="Q118" s="47">
        <f>MROUND(IF(AND(J118 = "", L118 = ""), I118 * recipe08DayScale, IF(ISNA(CONVERT(O118, "kg", L118)), CONVERT(P118 * recipe08DayScale, "l", L118), CONVERT(O118 * recipe08DayScale, "kg", L118))), roundTo)</f>
        <v>1.5</v>
      </c>
      <c r="R118" s="47">
        <f>recipe08TotScale * IF(L118 = "", Q118 * M118, IF(ISNA(CONVERT(Q118, L118, "kg")), CONVERT(Q118, L118, "l") * IF(N118 &lt;&gt; 0, M118 / N118, 0), CONVERT(Q118, L118, "kg")))</f>
        <v>0</v>
      </c>
      <c r="S118" s="47">
        <f>recipe08TotScale * IF(R118 = 0, IF(L118 = "", Q118 * N118, IF(ISNA(CONVERT(Q118, L118, "l")), CONVERT(Q118, L118, "kg") * IF(M118 &lt;&gt; 0, N118 / M118, 0), CONVERT(Q118, L118, "l"))), 0)</f>
        <v>2.2180147171874998E-2</v>
      </c>
      <c r="T118" s="47">
        <f>recipe08TotScale * IF(AND(R118 = 0, S118 = 0, J118 = "", L118 = ""), Q118, 0)</f>
        <v>0</v>
      </c>
      <c r="V118" s="44" t="b">
        <f>INDEX(itemPrepMethods, MATCH(K118, itemNames, 0))="chop"</f>
        <v>1</v>
      </c>
      <c r="W118" s="57">
        <f>IF(V118, Q118, "")</f>
        <v>1.5</v>
      </c>
      <c r="X118" s="58" t="str">
        <f>IF(V118, IF(L118 = "", "", L118), "")</f>
        <v>tbs</v>
      </c>
      <c r="Y118" s="58" t="str">
        <f>IF(V118, K118, "")</f>
        <v>minced fresh ginger</v>
      </c>
      <c r="Z118" s="59"/>
      <c r="AA118" s="44" t="b">
        <f>INDEX(itemPrepMethods, MATCH(K118, itemNames, 0))="soak"</f>
        <v>0</v>
      </c>
      <c r="AB118" s="58" t="str">
        <f>IF(AA118, Q118, "")</f>
        <v/>
      </c>
      <c r="AC118" s="58" t="str">
        <f>IF(AA118, IF(L118 = "", "", L118), "")</f>
        <v/>
      </c>
      <c r="AD118" s="58" t="str">
        <f>IF(AA118, K118, "")</f>
        <v/>
      </c>
    </row>
    <row r="119" spans="1:30" x14ac:dyDescent="0.25">
      <c r="A119" s="111"/>
      <c r="B119" s="111"/>
      <c r="C119" s="111"/>
      <c r="D119" s="111"/>
      <c r="I119" s="44"/>
      <c r="L119" s="44"/>
      <c r="W119" s="74"/>
      <c r="X119" s="74"/>
      <c r="Y119" s="74"/>
      <c r="Z119" s="74"/>
      <c r="AA119" s="67"/>
      <c r="AB119" s="74"/>
      <c r="AC119" s="74"/>
      <c r="AD119" s="74"/>
    </row>
    <row r="120" spans="1:30" x14ac:dyDescent="0.25">
      <c r="A120" s="111" t="s">
        <v>232</v>
      </c>
      <c r="B120" s="111"/>
      <c r="C120" s="111"/>
      <c r="D120" s="111"/>
      <c r="I120" s="44"/>
      <c r="L120" s="44"/>
      <c r="W120" s="74"/>
      <c r="X120" s="74"/>
      <c r="Y120" s="74"/>
      <c r="Z120" s="74"/>
      <c r="AA120" s="67"/>
      <c r="AB120" s="74"/>
      <c r="AC120" s="74"/>
      <c r="AD120" s="74"/>
    </row>
    <row r="121" spans="1:30" x14ac:dyDescent="0.25">
      <c r="A121" s="40" t="s">
        <v>21</v>
      </c>
      <c r="D121" s="40" t="str">
        <f>_xlfn.CONCAT(K121, U121)</f>
        <v>bring to boil over high heat then cover and reduce heat</v>
      </c>
      <c r="I121" s="44"/>
      <c r="L121" s="44"/>
      <c r="U121" s="44" t="s">
        <v>233</v>
      </c>
      <c r="W121" s="74"/>
      <c r="X121" s="74"/>
      <c r="Y121" s="74"/>
      <c r="Z121" s="74"/>
      <c r="AA121" s="67"/>
      <c r="AB121" s="74"/>
      <c r="AC121" s="74"/>
      <c r="AD121" s="74"/>
    </row>
    <row r="122" spans="1:30" x14ac:dyDescent="0.25">
      <c r="A122" s="40" t="s">
        <v>21</v>
      </c>
      <c r="D122" s="40" t="str">
        <f>_xlfn.CONCAT(K122, U122)</f>
        <v>simmer for 20 minutes or until lentils have dissolved into a thick soup porridge</v>
      </c>
      <c r="I122" s="44"/>
      <c r="L122" s="44"/>
      <c r="U122" s="44" t="s">
        <v>234</v>
      </c>
      <c r="W122" s="74"/>
      <c r="X122" s="74"/>
      <c r="Y122" s="74"/>
      <c r="Z122" s="74"/>
      <c r="AA122" s="67"/>
      <c r="AB122" s="74"/>
      <c r="AC122" s="74"/>
      <c r="AD122" s="74"/>
    </row>
    <row r="123" spans="1:30" x14ac:dyDescent="0.25">
      <c r="A123" s="40" t="s">
        <v>21</v>
      </c>
      <c r="D123" s="40" t="str">
        <f>_xlfn.CONCAT(K123, U123)</f>
        <v>add more water if needed and set aside</v>
      </c>
      <c r="I123" s="44"/>
      <c r="L123" s="44"/>
      <c r="U123" s="44" t="s">
        <v>235</v>
      </c>
      <c r="W123" s="74"/>
      <c r="X123" s="74"/>
      <c r="Y123" s="74"/>
      <c r="Z123" s="74"/>
      <c r="AA123" s="67"/>
      <c r="AB123" s="74"/>
      <c r="AC123" s="74"/>
      <c r="AD123" s="74"/>
    </row>
    <row r="124" spans="1:30" x14ac:dyDescent="0.25">
      <c r="A124" s="111"/>
      <c r="B124" s="111"/>
      <c r="C124" s="111"/>
      <c r="D124" s="111"/>
      <c r="I124" s="44"/>
      <c r="L124" s="44"/>
      <c r="W124" s="74"/>
      <c r="X124" s="74"/>
      <c r="Y124" s="74"/>
      <c r="Z124" s="74"/>
      <c r="AA124" s="67"/>
      <c r="AB124" s="74"/>
      <c r="AC124" s="74"/>
      <c r="AD124" s="74"/>
    </row>
    <row r="125" spans="1:30" x14ac:dyDescent="0.25">
      <c r="A125" s="111" t="s">
        <v>246</v>
      </c>
      <c r="B125" s="111"/>
      <c r="C125" s="111"/>
      <c r="D125" s="111"/>
      <c r="I125" s="44"/>
      <c r="L125" s="44"/>
      <c r="W125" s="74"/>
      <c r="X125" s="74"/>
      <c r="Y125" s="74"/>
      <c r="Z125" s="74"/>
      <c r="AA125" s="67"/>
      <c r="AB125" s="74"/>
      <c r="AC125" s="74"/>
      <c r="AD125" s="74"/>
    </row>
    <row r="126" spans="1:30" x14ac:dyDescent="0.25">
      <c r="A126" s="40" t="s">
        <v>21</v>
      </c>
      <c r="B126" s="52">
        <f t="shared" si="153"/>
        <v>0.25</v>
      </c>
      <c r="C126" s="39" t="str">
        <f t="shared" si="154"/>
        <v>cup</v>
      </c>
      <c r="D126" s="40" t="str">
        <f>_xlfn.CONCAT(K126, U126)</f>
        <v>oil</v>
      </c>
      <c r="I126" s="62">
        <v>0.5</v>
      </c>
      <c r="J126" s="55" t="s">
        <v>16</v>
      </c>
      <c r="K126" s="55" t="s">
        <v>46</v>
      </c>
      <c r="L126" s="56" t="s">
        <v>16</v>
      </c>
      <c r="M126" s="47">
        <f t="shared" si="155"/>
        <v>0</v>
      </c>
      <c r="N126" s="47">
        <f t="shared" si="156"/>
        <v>0</v>
      </c>
      <c r="O126" s="47">
        <f t="shared" si="157"/>
        <v>0</v>
      </c>
      <c r="P126" s="47">
        <f t="shared" si="158"/>
        <v>0.11829411825</v>
      </c>
      <c r="Q126" s="47">
        <f>MROUND(IF(AND(J126 = "", L126 = ""), I126 * recipe08DayScale, IF(ISNA(CONVERT(O126, "kg", L126)), CONVERT(P126 * recipe08DayScale, "l", L126), CONVERT(O126 * recipe08DayScale, "kg", L126))), roundTo)</f>
        <v>0.25</v>
      </c>
      <c r="R126" s="47">
        <f>recipe08TotScale * IF(L126 = "", Q126 * M126, IF(ISNA(CONVERT(Q126, L126, "kg")), CONVERT(Q126, L126, "l") * IF(N126 &lt;&gt; 0, M126 / N126, 0), CONVERT(Q126, L126, "kg")))</f>
        <v>0</v>
      </c>
      <c r="S126" s="47">
        <f>recipe08TotScale * IF(R126 = 0, IF(L126 = "", Q126 * N126, IF(ISNA(CONVERT(Q126, L126, "l")), CONVERT(Q126, L126, "kg") * IF(M126 &lt;&gt; 0, N126 / M126, 0), CONVERT(Q126, L126, "l"))), 0)</f>
        <v>5.9147059124999998E-2</v>
      </c>
      <c r="T126" s="47">
        <f>recipe08TotScale * IF(AND(R126 = 0, S126 = 0, J126 = "", L126 = ""), Q126, 0)</f>
        <v>0</v>
      </c>
      <c r="V126" s="44" t="b">
        <f>INDEX(itemPrepMethods, MATCH(K126, itemNames, 0))="chop"</f>
        <v>0</v>
      </c>
      <c r="W126" s="57" t="str">
        <f>IF(V126, Q126, "")</f>
        <v/>
      </c>
      <c r="X126" s="58" t="str">
        <f>IF(V126, IF(L126 = "", "", L126), "")</f>
        <v/>
      </c>
      <c r="Y126" s="58" t="str">
        <f>IF(V126, K126, "")</f>
        <v/>
      </c>
      <c r="Z126" s="59"/>
      <c r="AA126" s="44" t="b">
        <f>INDEX(itemPrepMethods, MATCH(K126, itemNames, 0))="soak"</f>
        <v>0</v>
      </c>
      <c r="AB126" s="58" t="str">
        <f>IF(AA126, Q126, "")</f>
        <v/>
      </c>
      <c r="AC126" s="58" t="str">
        <f>IF(AA126, IF(L126 = "", "", L126), "")</f>
        <v/>
      </c>
      <c r="AD126" s="58" t="str">
        <f>IF(AA126, K126, "")</f>
        <v/>
      </c>
    </row>
    <row r="127" spans="1:30" x14ac:dyDescent="0.25">
      <c r="A127" s="111"/>
      <c r="B127" s="111"/>
      <c r="C127" s="111"/>
      <c r="D127" s="111"/>
      <c r="I127" s="44"/>
      <c r="L127" s="44"/>
      <c r="W127" s="74"/>
      <c r="X127" s="74"/>
      <c r="Y127" s="74"/>
      <c r="Z127" s="74"/>
      <c r="AA127" s="67"/>
      <c r="AB127" s="74"/>
      <c r="AC127" s="74"/>
      <c r="AD127" s="74"/>
    </row>
    <row r="128" spans="1:30" x14ac:dyDescent="0.25">
      <c r="A128" s="111" t="s">
        <v>284</v>
      </c>
      <c r="B128" s="111"/>
      <c r="C128" s="111"/>
      <c r="D128" s="111"/>
      <c r="I128" s="44"/>
      <c r="L128" s="44"/>
      <c r="W128" s="74"/>
      <c r="X128" s="74"/>
      <c r="Y128" s="74"/>
      <c r="Z128" s="74"/>
      <c r="AA128" s="67"/>
      <c r="AB128" s="74"/>
      <c r="AC128" s="74"/>
      <c r="AD128" s="74"/>
    </row>
    <row r="129" spans="1:30" x14ac:dyDescent="0.25">
      <c r="A129" s="40" t="s">
        <v>21</v>
      </c>
      <c r="B129" s="52">
        <f t="shared" si="153"/>
        <v>3.5</v>
      </c>
      <c r="C129" s="39" t="str">
        <f t="shared" si="154"/>
        <v>tbs</v>
      </c>
      <c r="D129" s="40" t="str">
        <f>_xlfn.CONCAT(K129, U129)</f>
        <v>cumin seeds</v>
      </c>
      <c r="I129" s="62">
        <v>7.5</v>
      </c>
      <c r="J129" s="55" t="s">
        <v>15</v>
      </c>
      <c r="K129" s="55" t="s">
        <v>52</v>
      </c>
      <c r="L129" s="56" t="s">
        <v>15</v>
      </c>
      <c r="M129" s="47">
        <f t="shared" si="155"/>
        <v>1.0999999999999999E-2</v>
      </c>
      <c r="N129" s="47">
        <f t="shared" si="156"/>
        <v>2.2180100000000001E-2</v>
      </c>
      <c r="O129" s="47">
        <f t="shared" si="157"/>
        <v>5.5000116972111261E-2</v>
      </c>
      <c r="P129" s="47">
        <f t="shared" si="158"/>
        <v>0.110900735859375</v>
      </c>
      <c r="Q129" s="47">
        <f>MROUND(IF(AND(J129 = "", L129 = ""), I129 * recipe08DayScale, IF(ISNA(CONVERT(O129, "kg", L129)), CONVERT(P129 * recipe08DayScale, "l", L129), CONVERT(O129 * recipe08DayScale, "kg", L129))), roundTo)</f>
        <v>3.5</v>
      </c>
      <c r="R129" s="47">
        <f>recipe08TotScale * IF(L129 = "", Q129 * M129, IF(ISNA(CONVERT(Q129, L129, "kg")), CONVERT(Q129, L129, "l") * IF(N129 &lt;&gt; 0, M129 / N129, 0), CONVERT(Q129, L129, "kg")))</f>
        <v>2.5666721253651919E-2</v>
      </c>
      <c r="S129" s="47">
        <f>recipe08TotScale * IF(R129 = 0, IF(L129 = "", Q129 * N129, IF(ISNA(CONVERT(Q129, L129, "l")), CONVERT(Q129, L129, "kg") * IF(M129 &lt;&gt; 0, N129 / M129, 0), CONVERT(Q129, L129, "l"))), 0)</f>
        <v>0</v>
      </c>
      <c r="T129" s="47">
        <f>recipe08TotScale * IF(AND(R129 = 0, S129 = 0, J129 = "", L129 = ""), Q129, 0)</f>
        <v>0</v>
      </c>
      <c r="V129" s="44" t="b">
        <f>INDEX(itemPrepMethods, MATCH(K129, itemNames, 0))="chop"</f>
        <v>0</v>
      </c>
      <c r="W129" s="57" t="str">
        <f>IF(V129, Q129, "")</f>
        <v/>
      </c>
      <c r="X129" s="58" t="str">
        <f>IF(V129, IF(L129 = "", "", L129), "")</f>
        <v/>
      </c>
      <c r="Y129" s="58" t="str">
        <f>IF(V129, K129, "")</f>
        <v/>
      </c>
      <c r="Z129" s="59"/>
      <c r="AA129" s="44" t="b">
        <f>INDEX(itemPrepMethods, MATCH(K129, itemNames, 0))="soak"</f>
        <v>0</v>
      </c>
      <c r="AB129" s="58" t="str">
        <f>IF(AA129, Q129, "")</f>
        <v/>
      </c>
      <c r="AC129" s="58" t="str">
        <f>IF(AA129, IF(L129 = "", "", L129), "")</f>
        <v/>
      </c>
      <c r="AD129" s="58" t="str">
        <f>IF(AA129, K129, "")</f>
        <v/>
      </c>
    </row>
    <row r="130" spans="1:30" x14ac:dyDescent="0.25">
      <c r="A130" s="40" t="s">
        <v>21</v>
      </c>
      <c r="B130" s="52">
        <f t="shared" si="153"/>
        <v>3.5</v>
      </c>
      <c r="C130" s="39" t="str">
        <f t="shared" si="154"/>
        <v>tbs</v>
      </c>
      <c r="D130" s="40" t="str">
        <f>_xlfn.CONCAT(K130, U130)</f>
        <v>black mustard seeds</v>
      </c>
      <c r="I130" s="62">
        <v>7.5</v>
      </c>
      <c r="J130" s="55" t="s">
        <v>15</v>
      </c>
      <c r="K130" s="55" t="s">
        <v>51</v>
      </c>
      <c r="L130" s="56" t="s">
        <v>15</v>
      </c>
      <c r="M130" s="47">
        <f t="shared" si="155"/>
        <v>1.6E-2</v>
      </c>
      <c r="N130" s="47">
        <f t="shared" si="156"/>
        <v>2.2180100000000001E-2</v>
      </c>
      <c r="O130" s="47">
        <f t="shared" si="157"/>
        <v>8.0000170141252741E-2</v>
      </c>
      <c r="P130" s="47">
        <f t="shared" si="158"/>
        <v>0.110900735859375</v>
      </c>
      <c r="Q130" s="47">
        <f>MROUND(IF(AND(J130 = "", L130 = ""), I130 * recipe08DayScale, IF(ISNA(CONVERT(O130, "kg", L130)), CONVERT(P130 * recipe08DayScale, "l", L130), CONVERT(O130 * recipe08DayScale, "kg", L130))), roundTo)</f>
        <v>3.5</v>
      </c>
      <c r="R130" s="47">
        <f>recipe08TotScale * IF(L130 = "", Q130 * M130, IF(ISNA(CONVERT(Q130, L130, "kg")), CONVERT(Q130, L130, "l") * IF(N130 &lt;&gt; 0, M130 / N130, 0), CONVERT(Q130, L130, "kg")))</f>
        <v>3.7333412732584614E-2</v>
      </c>
      <c r="S130" s="47">
        <f>recipe08TotScale * IF(R130 = 0, IF(L130 = "", Q130 * N130, IF(ISNA(CONVERT(Q130, L130, "l")), CONVERT(Q130, L130, "kg") * IF(M130 &lt;&gt; 0, N130 / M130, 0), CONVERT(Q130, L130, "l"))), 0)</f>
        <v>0</v>
      </c>
      <c r="T130" s="47">
        <f>recipe08TotScale * IF(AND(R130 = 0, S130 = 0, J130 = "", L130 = ""), Q130, 0)</f>
        <v>0</v>
      </c>
      <c r="V130" s="44" t="b">
        <f>INDEX(itemPrepMethods, MATCH(K130, itemNames, 0))="chop"</f>
        <v>0</v>
      </c>
      <c r="W130" s="57" t="str">
        <f>IF(V130, Q130, "")</f>
        <v/>
      </c>
      <c r="X130" s="58" t="str">
        <f>IF(V130, IF(L130 = "", "", L130), "")</f>
        <v/>
      </c>
      <c r="Y130" s="58" t="str">
        <f>IF(V130, K130, "")</f>
        <v/>
      </c>
      <c r="Z130" s="59"/>
      <c r="AA130" s="44" t="b">
        <f>INDEX(itemPrepMethods, MATCH(K130, itemNames, 0))="soak"</f>
        <v>0</v>
      </c>
      <c r="AB130" s="58" t="str">
        <f>IF(AA130, Q130, "")</f>
        <v/>
      </c>
      <c r="AC130" s="58" t="str">
        <f>IF(AA130, IF(L130 = "", "", L130), "")</f>
        <v/>
      </c>
      <c r="AD130" s="58" t="str">
        <f>IF(AA130, K130, "")</f>
        <v/>
      </c>
    </row>
    <row r="131" spans="1:30" x14ac:dyDescent="0.25">
      <c r="A131" s="111"/>
      <c r="B131" s="111"/>
      <c r="C131" s="111"/>
      <c r="D131" s="111"/>
      <c r="I131" s="44"/>
      <c r="L131" s="44"/>
      <c r="W131" s="74"/>
      <c r="X131" s="74"/>
      <c r="Y131" s="74"/>
      <c r="Z131" s="74"/>
      <c r="AA131" s="67"/>
      <c r="AB131" s="74"/>
      <c r="AC131" s="74"/>
      <c r="AD131" s="74"/>
    </row>
    <row r="132" spans="1:30" x14ac:dyDescent="0.25">
      <c r="A132" s="111" t="s">
        <v>236</v>
      </c>
      <c r="B132" s="111"/>
      <c r="C132" s="111"/>
      <c r="D132" s="111"/>
      <c r="I132" s="44"/>
      <c r="L132" s="44"/>
      <c r="W132" s="74"/>
      <c r="X132" s="74"/>
      <c r="Y132" s="74"/>
      <c r="Z132" s="74"/>
      <c r="AA132" s="67"/>
      <c r="AB132" s="74"/>
      <c r="AC132" s="74"/>
      <c r="AD132" s="74"/>
    </row>
    <row r="133" spans="1:30" x14ac:dyDescent="0.25">
      <c r="C133" s="40"/>
      <c r="I133" s="44"/>
      <c r="L133" s="44"/>
      <c r="W133" s="74"/>
      <c r="X133" s="74"/>
      <c r="Y133" s="74"/>
      <c r="Z133" s="74"/>
      <c r="AA133" s="67"/>
      <c r="AB133" s="74"/>
      <c r="AC133" s="74"/>
      <c r="AD133" s="74"/>
    </row>
    <row r="134" spans="1:30" x14ac:dyDescent="0.25">
      <c r="A134" s="111" t="s">
        <v>237</v>
      </c>
      <c r="B134" s="111"/>
      <c r="C134" s="111"/>
      <c r="D134" s="111"/>
      <c r="I134" s="44"/>
      <c r="L134" s="44"/>
      <c r="W134" s="74"/>
      <c r="X134" s="74"/>
      <c r="Y134" s="74"/>
      <c r="Z134" s="74"/>
      <c r="AA134" s="67"/>
      <c r="AB134" s="74"/>
      <c r="AC134" s="74"/>
      <c r="AD134" s="74"/>
    </row>
    <row r="135" spans="1:30" x14ac:dyDescent="0.25">
      <c r="A135" s="40" t="s">
        <v>21</v>
      </c>
      <c r="B135" s="52"/>
      <c r="C135" s="39" t="str">
        <f t="shared" si="154"/>
        <v/>
      </c>
      <c r="D135" s="40" t="str">
        <f>_xlfn.CONCAT(K135, U135)</f>
        <v>sprigs fresh corriander, if available</v>
      </c>
      <c r="I135" s="63"/>
      <c r="J135" s="60"/>
      <c r="K135" s="55" t="s">
        <v>87</v>
      </c>
      <c r="L135" s="60"/>
      <c r="M135" s="60"/>
      <c r="N135" s="60"/>
      <c r="O135" s="60"/>
      <c r="P135" s="60"/>
      <c r="U135" s="44" t="s">
        <v>238</v>
      </c>
      <c r="V135" s="44" t="b">
        <f>INDEX(itemPrepMethods, MATCH(K135, itemNames, 0))="chop"</f>
        <v>0</v>
      </c>
      <c r="W135" s="57" t="str">
        <f>IF(V135, Q135, "")</f>
        <v/>
      </c>
      <c r="X135" s="58" t="str">
        <f>IF(V135, IF(L135 = "", "", L135), "")</f>
        <v/>
      </c>
      <c r="Y135" s="58" t="str">
        <f>IF(V135, K135, "")</f>
        <v/>
      </c>
      <c r="Z135" s="59"/>
      <c r="AA135" s="44" t="b">
        <f>INDEX(itemPrepMethods, MATCH(K135, itemNames, 0))="soak"</f>
        <v>0</v>
      </c>
      <c r="AB135" s="58" t="str">
        <f>IF(AA135, Q135, "")</f>
        <v/>
      </c>
      <c r="AC135" s="58" t="str">
        <f>IF(AA135, IF(L135 = "", "", L135), "")</f>
        <v/>
      </c>
      <c r="AD135" s="58" t="str">
        <f>IF(AA135, K135, "")</f>
        <v/>
      </c>
    </row>
    <row r="136" spans="1:30" ht="15.75" x14ac:dyDescent="0.25">
      <c r="A136" s="110" t="s">
        <v>27</v>
      </c>
      <c r="B136" s="110"/>
      <c r="C136" s="110"/>
      <c r="D136" s="110"/>
      <c r="E136" s="43" t="s">
        <v>134</v>
      </c>
      <c r="F136" s="104" t="s">
        <v>85</v>
      </c>
      <c r="G136" s="104"/>
      <c r="H136" s="47"/>
    </row>
    <row r="137" spans="1:30" ht="24" x14ac:dyDescent="0.2">
      <c r="A137" s="110" t="s">
        <v>28</v>
      </c>
      <c r="B137" s="110"/>
      <c r="C137" s="110"/>
      <c r="D137" s="110"/>
      <c r="E137" s="42" t="s">
        <v>56</v>
      </c>
      <c r="F137" s="90">
        <v>21</v>
      </c>
      <c r="G137" s="47"/>
      <c r="H137" s="47"/>
      <c r="I137" s="70" t="s">
        <v>448</v>
      </c>
      <c r="J137" s="71" t="s">
        <v>449</v>
      </c>
      <c r="K137" s="71" t="s">
        <v>17</v>
      </c>
      <c r="L137" s="72" t="s">
        <v>452</v>
      </c>
      <c r="M137" s="70" t="s">
        <v>148</v>
      </c>
      <c r="N137" s="70" t="s">
        <v>149</v>
      </c>
      <c r="O137" s="70" t="s">
        <v>450</v>
      </c>
      <c r="P137" s="70" t="s">
        <v>451</v>
      </c>
      <c r="Q137" s="71" t="s">
        <v>364</v>
      </c>
      <c r="R137" s="70" t="s">
        <v>365</v>
      </c>
      <c r="S137" s="70" t="s">
        <v>366</v>
      </c>
      <c r="T137" s="70" t="s">
        <v>367</v>
      </c>
      <c r="U137" s="71" t="s">
        <v>22</v>
      </c>
      <c r="V137" s="71" t="s">
        <v>212</v>
      </c>
      <c r="W137" s="73" t="s">
        <v>364</v>
      </c>
      <c r="X137" s="71" t="s">
        <v>210</v>
      </c>
      <c r="Y137" s="71" t="s">
        <v>211</v>
      </c>
      <c r="Z137" s="71" t="s">
        <v>313</v>
      </c>
      <c r="AA137" s="71" t="s">
        <v>213</v>
      </c>
      <c r="AB137" s="73" t="s">
        <v>364</v>
      </c>
      <c r="AC137" s="71" t="s">
        <v>214</v>
      </c>
      <c r="AD137" s="71" t="s">
        <v>215</v>
      </c>
    </row>
    <row r="138" spans="1:30" ht="15.75" thickBot="1" x14ac:dyDescent="0.3">
      <c r="A138" s="111"/>
      <c r="B138" s="111"/>
      <c r="C138" s="111"/>
      <c r="D138" s="111"/>
      <c r="E138" s="66" t="s">
        <v>359</v>
      </c>
      <c r="F138" s="90">
        <f>suDiCount</f>
        <v>10</v>
      </c>
      <c r="G138" s="47"/>
      <c r="I138" s="44"/>
      <c r="L138" s="44"/>
      <c r="W138" s="67"/>
      <c r="X138" s="67"/>
      <c r="Y138" s="67"/>
      <c r="Z138" s="67"/>
      <c r="AA138" s="67"/>
      <c r="AB138" s="67"/>
      <c r="AC138" s="67"/>
      <c r="AD138" s="67"/>
    </row>
    <row r="139" spans="1:30" ht="15.75" thickBot="1" x14ac:dyDescent="0.3">
      <c r="A139" s="111" t="s">
        <v>239</v>
      </c>
      <c r="B139" s="111"/>
      <c r="C139" s="111"/>
      <c r="D139" s="111"/>
      <c r="E139" s="66" t="s">
        <v>362</v>
      </c>
      <c r="F139" s="50">
        <f>F138/F137</f>
        <v>0.47619047619047616</v>
      </c>
      <c r="G139" s="51" t="s">
        <v>376</v>
      </c>
      <c r="I139" s="44"/>
      <c r="L139" s="44"/>
      <c r="W139" s="67"/>
      <c r="X139" s="67"/>
      <c r="Y139" s="67"/>
      <c r="Z139" s="67"/>
      <c r="AA139" s="67"/>
      <c r="AB139" s="67"/>
      <c r="AC139" s="67"/>
      <c r="AD139" s="67"/>
    </row>
    <row r="140" spans="1:30" x14ac:dyDescent="0.25">
      <c r="A140" s="40" t="s">
        <v>21</v>
      </c>
      <c r="B140" s="52">
        <f t="shared" ref="B140:B149" si="159">Q140</f>
        <v>0.5</v>
      </c>
      <c r="C140" s="39" t="str">
        <f t="shared" ref="C140:C152" si="160">IF(L140="","",L140)</f>
        <v>cup</v>
      </c>
      <c r="D140" s="40" t="str">
        <f>_xlfn.CONCAT(K140, U140)</f>
        <v>oil</v>
      </c>
      <c r="E140" s="67"/>
      <c r="F140" s="67"/>
      <c r="G140" s="67"/>
      <c r="I140" s="54">
        <v>1.25</v>
      </c>
      <c r="J140" s="55" t="s">
        <v>16</v>
      </c>
      <c r="K140" s="55" t="s">
        <v>46</v>
      </c>
      <c r="L140" s="56" t="s">
        <v>16</v>
      </c>
      <c r="M140" s="47">
        <f t="shared" ref="M140:M149" si="161">INDEX(itemGPerQty, MATCH(K140, itemNames, 0))</f>
        <v>0</v>
      </c>
      <c r="N140" s="47">
        <f t="shared" ref="N140:N149" si="162">INDEX(itemMlPerQty, MATCH(K140, itemNames, 0))</f>
        <v>0</v>
      </c>
      <c r="O140" s="47">
        <f t="shared" ref="O140:O149" si="163">IF(J140 = "", I140 * M140, IF(ISNA(CONVERT(I140, J140, "kg")), CONVERT(I140, J140, "l") * IF(N140 &lt;&gt; 0, M140 / N140, 0), CONVERT(I140, J140, "kg")))</f>
        <v>0</v>
      </c>
      <c r="P140" s="47">
        <f t="shared" ref="P140:P149" si="164">IF(J140 = "", I140 * N140, IF(ISNA(CONVERT(I140, J140, "l")), CONVERT(I140, J140, "kg") * IF(M140 &lt;&gt; 0, N140 / M140, 0), CONVERT(I140, J140, "l")))</f>
        <v>0.29573529562500001</v>
      </c>
      <c r="Q140" s="47">
        <f>MROUND(IF(AND(J140 = "", L140 = ""), I140 * recipe03DayScale, IF(ISNA(CONVERT(O140, "kg", L140)), CONVERT(P140 * recipe03DayScale, "l", L140), CONVERT(O140 * recipe03DayScale, "kg", L140))), roundTo)</f>
        <v>0.5</v>
      </c>
      <c r="R140" s="47">
        <f>recipe03TotScale * IF(L140 = "", Q140 * M140, IF(ISNA(CONVERT(Q140, L140, "kg")), CONVERT(Q140, L140, "l") * IF(N140 &lt;&gt; 0, M140 / N140, 0), CONVERT(Q140, L140, "kg")))</f>
        <v>0</v>
      </c>
      <c r="S140" s="47">
        <f>recipe03TotScale * IF(R140 = 0, IF(L140 = "", Q140 * N140, IF(ISNA(CONVERT(Q140, L140, "l")), CONVERT(Q140, L140, "kg") * IF(M140 &lt;&gt; 0, N140 / M140, 0), CONVERT(Q140, L140, "l"))), 0)</f>
        <v>0.11829411825</v>
      </c>
      <c r="T140" s="47">
        <f>recipe03TotScale * IF(AND(R140 = 0, S140 = 0, J140 = "", L140 = ""), Q140, 0)</f>
        <v>0</v>
      </c>
      <c r="V140" s="44" t="b">
        <f>INDEX(itemPrepMethods, MATCH(K140, itemNames, 0))="chop"</f>
        <v>0</v>
      </c>
      <c r="W140" s="57" t="str">
        <f>IF(V140, Q140, "")</f>
        <v/>
      </c>
      <c r="X140" s="58" t="str">
        <f>IF(V140, IF(L140 = "", "", L140), "")</f>
        <v/>
      </c>
      <c r="Y140" s="58" t="str">
        <f>IF(V140, K140, "")</f>
        <v/>
      </c>
      <c r="Z140" s="59"/>
      <c r="AA140" s="44" t="b">
        <f>INDEX(itemPrepMethods, MATCH(K140, itemNames, 0))="soak"</f>
        <v>0</v>
      </c>
      <c r="AB140" s="58" t="str">
        <f>IF(AA140, Q140, "")</f>
        <v/>
      </c>
      <c r="AC140" s="58" t="str">
        <f>IF(AA140, IF(L140 = "", "", L140), "")</f>
        <v/>
      </c>
      <c r="AD140" s="58" t="str">
        <f>IF(AA140, K140, "")</f>
        <v/>
      </c>
    </row>
    <row r="141" spans="1:30" ht="15.75" thickBot="1" x14ac:dyDescent="0.3">
      <c r="A141" s="40" t="s">
        <v>21</v>
      </c>
      <c r="B141" s="52">
        <f t="shared" si="159"/>
        <v>7.25</v>
      </c>
      <c r="C141" s="39" t="str">
        <f t="shared" si="160"/>
        <v/>
      </c>
      <c r="D141" s="40" t="str">
        <f>_xlfn.CONCAT(K141, U141)</f>
        <v>diced carrots</v>
      </c>
      <c r="E141" s="66" t="s">
        <v>338</v>
      </c>
      <c r="F141" s="90">
        <f>suDiCount</f>
        <v>10</v>
      </c>
      <c r="G141" s="67"/>
      <c r="I141" s="54">
        <v>15</v>
      </c>
      <c r="J141" s="55"/>
      <c r="K141" s="55" t="s">
        <v>101</v>
      </c>
      <c r="L141" s="56"/>
      <c r="M141" s="47">
        <f t="shared" si="161"/>
        <v>0</v>
      </c>
      <c r="N141" s="47">
        <f t="shared" si="162"/>
        <v>0</v>
      </c>
      <c r="O141" s="47">
        <f t="shared" si="163"/>
        <v>0</v>
      </c>
      <c r="P141" s="47">
        <f t="shared" si="164"/>
        <v>0</v>
      </c>
      <c r="Q141" s="47">
        <f>MROUND(IF(AND(J141 = "", L141 = ""), I141 * recipe03DayScale, IF(ISNA(CONVERT(O141, "kg", L141)), CONVERT(P141 * recipe03DayScale, "l", L141), CONVERT(O141 * recipe03DayScale, "kg", L141))), roundTo)</f>
        <v>7.25</v>
      </c>
      <c r="R141" s="47">
        <f>recipe03TotScale * IF(L141 = "", Q141 * M141, IF(ISNA(CONVERT(Q141, L141, "kg")), CONVERT(Q141, L141, "l") * IF(N141 &lt;&gt; 0, M141 / N141, 0), CONVERT(Q141, L141, "kg")))</f>
        <v>0</v>
      </c>
      <c r="S141" s="47">
        <f>recipe03TotScale * IF(R141 = 0, IF(L141 = "", Q141 * N141, IF(ISNA(CONVERT(Q141, L141, "l")), CONVERT(Q141, L141, "kg") * IF(M141 &lt;&gt; 0, N141 / M141, 0), CONVERT(Q141, L141, "l"))), 0)</f>
        <v>0</v>
      </c>
      <c r="T141" s="47">
        <f>recipe03TotScale * IF(AND(R141 = 0, S141 = 0, J141 = "", L141 = ""), Q141, 0)</f>
        <v>7.25</v>
      </c>
      <c r="V141" s="44" t="b">
        <f>INDEX(itemPrepMethods, MATCH(K141, itemNames, 0))="chop"</f>
        <v>1</v>
      </c>
      <c r="W141" s="57">
        <f>IF(V141, Q141, "")</f>
        <v>7.25</v>
      </c>
      <c r="X141" s="58" t="str">
        <f>IF(V141, IF(L141 = "", "", L141), "")</f>
        <v/>
      </c>
      <c r="Y141" s="58" t="str">
        <f>IF(V141, K141, "")</f>
        <v>diced carrots</v>
      </c>
      <c r="Z141" s="59"/>
      <c r="AA141" s="44" t="b">
        <f>INDEX(itemPrepMethods, MATCH(K141, itemNames, 0))="soak"</f>
        <v>0</v>
      </c>
      <c r="AB141" s="58" t="str">
        <f>IF(AA141, Q141, "")</f>
        <v/>
      </c>
      <c r="AC141" s="58" t="str">
        <f>IF(AA141, IF(L141 = "", "", L141), "")</f>
        <v/>
      </c>
      <c r="AD141" s="58" t="str">
        <f>IF(AA141, K141, "")</f>
        <v/>
      </c>
    </row>
    <row r="142" spans="1:30" ht="15.75" thickBot="1" x14ac:dyDescent="0.3">
      <c r="A142" s="40" t="s">
        <v>21</v>
      </c>
      <c r="B142" s="52">
        <f t="shared" si="159"/>
        <v>2.75</v>
      </c>
      <c r="C142" s="39" t="str">
        <f t="shared" si="160"/>
        <v/>
      </c>
      <c r="D142" s="40" t="str">
        <f>_xlfn.CONCAT(K142, U142)</f>
        <v>diced celery stalks</v>
      </c>
      <c r="E142" s="66" t="s">
        <v>363</v>
      </c>
      <c r="F142" s="50">
        <f>F141/F138</f>
        <v>1</v>
      </c>
      <c r="G142" s="51" t="s">
        <v>377</v>
      </c>
      <c r="I142" s="54">
        <v>6</v>
      </c>
      <c r="J142" s="55"/>
      <c r="K142" s="55" t="s">
        <v>102</v>
      </c>
      <c r="L142" s="56"/>
      <c r="M142" s="47">
        <f t="shared" si="161"/>
        <v>0</v>
      </c>
      <c r="N142" s="47">
        <f t="shared" si="162"/>
        <v>0</v>
      </c>
      <c r="O142" s="47">
        <f t="shared" si="163"/>
        <v>0</v>
      </c>
      <c r="P142" s="47">
        <f t="shared" si="164"/>
        <v>0</v>
      </c>
      <c r="Q142" s="47">
        <f>MROUND(IF(AND(J142 = "", L142 = ""), I142 * recipe03DayScale, IF(ISNA(CONVERT(O142, "kg", L142)), CONVERT(P142 * recipe03DayScale, "l", L142), CONVERT(O142 * recipe03DayScale, "kg", L142))), roundTo)</f>
        <v>2.75</v>
      </c>
      <c r="R142" s="47">
        <f>recipe03TotScale * IF(L142 = "", Q142 * M142, IF(ISNA(CONVERT(Q142, L142, "kg")), CONVERT(Q142, L142, "l") * IF(N142 &lt;&gt; 0, M142 / N142, 0), CONVERT(Q142, L142, "kg")))</f>
        <v>0</v>
      </c>
      <c r="S142" s="47">
        <f>recipe03TotScale * IF(R142 = 0, IF(L142 = "", Q142 * N142, IF(ISNA(CONVERT(Q142, L142, "l")), CONVERT(Q142, L142, "kg") * IF(M142 &lt;&gt; 0, N142 / M142, 0), CONVERT(Q142, L142, "l"))), 0)</f>
        <v>0</v>
      </c>
      <c r="T142" s="47">
        <f>recipe03TotScale * IF(AND(R142 = 0, S142 = 0, J142 = "", L142 = ""), Q142, 0)</f>
        <v>2.75</v>
      </c>
      <c r="V142" s="44" t="b">
        <f>INDEX(itemPrepMethods, MATCH(K142, itemNames, 0))="chop"</f>
        <v>1</v>
      </c>
      <c r="W142" s="57">
        <f>IF(V142, Q142, "")</f>
        <v>2.75</v>
      </c>
      <c r="X142" s="58" t="str">
        <f>IF(V142, IF(L142 = "", "", L142), "")</f>
        <v/>
      </c>
      <c r="Y142" s="58" t="str">
        <f>IF(V142, K142, "")</f>
        <v>diced celery stalks</v>
      </c>
      <c r="Z142" s="59"/>
      <c r="AA142" s="44" t="b">
        <f>INDEX(itemPrepMethods, MATCH(K142, itemNames, 0))="soak"</f>
        <v>0</v>
      </c>
      <c r="AB142" s="58" t="str">
        <f>IF(AA142, Q142, "")</f>
        <v/>
      </c>
      <c r="AC142" s="58" t="str">
        <f>IF(AA142, IF(L142 = "", "", L142), "")</f>
        <v/>
      </c>
      <c r="AD142" s="58" t="str">
        <f>IF(AA142, K142, "")</f>
        <v/>
      </c>
    </row>
    <row r="143" spans="1:30" x14ac:dyDescent="0.25">
      <c r="A143" s="111"/>
      <c r="B143" s="111"/>
      <c r="C143" s="111"/>
      <c r="D143" s="111"/>
      <c r="I143" s="44"/>
      <c r="L143" s="44"/>
      <c r="W143" s="74"/>
      <c r="X143" s="74"/>
      <c r="Y143" s="74"/>
      <c r="Z143" s="74"/>
      <c r="AA143" s="67"/>
      <c r="AB143" s="74"/>
      <c r="AC143" s="74"/>
      <c r="AD143" s="74"/>
    </row>
    <row r="144" spans="1:30" x14ac:dyDescent="0.25">
      <c r="A144" s="111" t="s">
        <v>124</v>
      </c>
      <c r="B144" s="111"/>
      <c r="C144" s="111"/>
      <c r="D144" s="111"/>
      <c r="I144" s="44"/>
      <c r="L144" s="44"/>
      <c r="W144" s="74"/>
      <c r="X144" s="74"/>
      <c r="Y144" s="74"/>
      <c r="Z144" s="74"/>
      <c r="AA144" s="67"/>
      <c r="AB144" s="74"/>
      <c r="AC144" s="74"/>
      <c r="AD144" s="74"/>
    </row>
    <row r="145" spans="1:30" x14ac:dyDescent="0.25">
      <c r="A145" s="40" t="s">
        <v>21</v>
      </c>
      <c r="B145" s="52">
        <f>Q145</f>
        <v>2.5</v>
      </c>
      <c r="C145" s="39" t="str">
        <f>IF(L145="","",L145)</f>
        <v/>
      </c>
      <c r="D145" s="40" t="str">
        <f>_xlfn.CONCAT(K145, U145)</f>
        <v>tins chopped tomatoes</v>
      </c>
      <c r="I145" s="54">
        <v>5</v>
      </c>
      <c r="J145" s="55"/>
      <c r="K145" s="55" t="s">
        <v>47</v>
      </c>
      <c r="L145" s="56"/>
      <c r="M145" s="47">
        <f>INDEX(itemGPerQty, MATCH(K145, itemNames, 0))</f>
        <v>0</v>
      </c>
      <c r="N145" s="47">
        <f>INDEX(itemMlPerQty, MATCH(K145, itemNames, 0))</f>
        <v>0</v>
      </c>
      <c r="O145" s="47">
        <f>IF(J145 = "", I145 * M145, IF(ISNA(CONVERT(I145, J145, "kg")), CONVERT(I145, J145, "l") * IF(N145 &lt;&gt; 0, M145 / N145, 0), CONVERT(I145, J145, "kg")))</f>
        <v>0</v>
      </c>
      <c r="P145" s="47">
        <f>IF(J145 = "", I145 * N145, IF(ISNA(CONVERT(I145, J145, "l")), CONVERT(I145, J145, "kg") * IF(M145 &lt;&gt; 0, N145 / M145, 0), CONVERT(I145, J145, "l")))</f>
        <v>0</v>
      </c>
      <c r="Q145" s="47">
        <f>MROUND(IF(AND(J145 = "", L145 = ""), I145 * recipe03DayScale, IF(ISNA(CONVERT(O145, "kg", L145)), CONVERT(P145 * recipe03DayScale, "l", L145), CONVERT(O145 * recipe03DayScale, "kg", L145))), roundTo)</f>
        <v>2.5</v>
      </c>
      <c r="R145" s="47">
        <f>recipe03TotScale * IF(L145 = "", Q145 * M145, IF(ISNA(CONVERT(Q145, L145, "kg")), CONVERT(Q145, L145, "l") * IF(N145 &lt;&gt; 0, M145 / N145, 0), CONVERT(Q145, L145, "kg")))</f>
        <v>0</v>
      </c>
      <c r="S145" s="47">
        <f>recipe03TotScale * IF(R145 = 0, IF(L145 = "", Q145 * N145, IF(ISNA(CONVERT(Q145, L145, "l")), CONVERT(Q145, L145, "kg") * IF(M145 &lt;&gt; 0, N145 / M145, 0), CONVERT(Q145, L145, "l"))), 0)</f>
        <v>0</v>
      </c>
      <c r="T145" s="47">
        <f>recipe03TotScale * IF(AND(R145 = 0, S145 = 0, J145 = "", L145 = ""), Q145, 0)</f>
        <v>2.5</v>
      </c>
      <c r="V145" s="44" t="b">
        <f>INDEX(itemPrepMethods, MATCH(K145, itemNames, 0))="chop"</f>
        <v>0</v>
      </c>
      <c r="W145" s="57" t="str">
        <f>IF(V145, Q145, "")</f>
        <v/>
      </c>
      <c r="X145" s="58" t="str">
        <f>IF(V145, IF(L145 = "", "", L145), "")</f>
        <v/>
      </c>
      <c r="Y145" s="58" t="str">
        <f>IF(V145, K145, "")</f>
        <v/>
      </c>
      <c r="Z145" s="59"/>
      <c r="AA145" s="44" t="b">
        <f>INDEX(itemPrepMethods, MATCH(K145, itemNames, 0))="soak"</f>
        <v>0</v>
      </c>
      <c r="AB145" s="58" t="str">
        <f>IF(AA145, Q145, "")</f>
        <v/>
      </c>
      <c r="AC145" s="58" t="str">
        <f>IF(AA145, IF(L145 = "", "", L145), "")</f>
        <v/>
      </c>
      <c r="AD145" s="58" t="str">
        <f>IF(AA145, K145, "")</f>
        <v/>
      </c>
    </row>
    <row r="146" spans="1:30" x14ac:dyDescent="0.25">
      <c r="A146" s="40" t="s">
        <v>21</v>
      </c>
      <c r="B146" s="52">
        <f>Q146</f>
        <v>10</v>
      </c>
      <c r="C146" s="39" t="str">
        <f>IF(L146="","",L146)</f>
        <v>cup</v>
      </c>
      <c r="D146" s="40" t="str">
        <f>_xlfn.CONCAT(K146, U146)</f>
        <v>vegetable stock</v>
      </c>
      <c r="I146" s="54">
        <v>5</v>
      </c>
      <c r="J146" s="55" t="s">
        <v>57</v>
      </c>
      <c r="K146" s="55" t="s">
        <v>58</v>
      </c>
      <c r="L146" s="56" t="s">
        <v>16</v>
      </c>
      <c r="M146" s="47">
        <f>INDEX(itemGPerQty, MATCH(K146, itemNames, 0))</f>
        <v>0</v>
      </c>
      <c r="N146" s="47">
        <f>INDEX(itemMlPerQty, MATCH(K146, itemNames, 0))</f>
        <v>0</v>
      </c>
      <c r="O146" s="47">
        <f>IF(J146 = "", I146 * M146, IF(ISNA(CONVERT(I146, J146, "kg")), CONVERT(I146, J146, "l") * IF(N146 &lt;&gt; 0, M146 / N146, 0), CONVERT(I146, J146, "kg")))</f>
        <v>0</v>
      </c>
      <c r="P146" s="47">
        <f>IF(J146 = "", I146 * N146, IF(ISNA(CONVERT(I146, J146, "l")), CONVERT(I146, J146, "kg") * IF(M146 &lt;&gt; 0, N146 / M146, 0), CONVERT(I146, J146, "l")))</f>
        <v>5</v>
      </c>
      <c r="Q146" s="47">
        <f>MROUND(IF(AND(J146 = "", L146 = ""), I146 * recipe03DayScale, IF(ISNA(CONVERT(O146, "kg", L146)), CONVERT(P146 * recipe03DayScale, "l", L146), CONVERT(O146 * recipe03DayScale, "kg", L146))), roundTo)</f>
        <v>10</v>
      </c>
      <c r="R146" s="47">
        <f>recipe03TotScale * IF(L146 = "", Q146 * M146, IF(ISNA(CONVERT(Q146, L146, "kg")), CONVERT(Q146, L146, "l") * IF(N146 &lt;&gt; 0, M146 / N146, 0), CONVERT(Q146, L146, "kg")))</f>
        <v>0</v>
      </c>
      <c r="S146" s="47">
        <f>recipe03TotScale * IF(R146 = 0, IF(L146 = "", Q146 * N146, IF(ISNA(CONVERT(Q146, L146, "l")), CONVERT(Q146, L146, "kg") * IF(M146 &lt;&gt; 0, N146 / M146, 0), CONVERT(Q146, L146, "l"))), 0)</f>
        <v>2.365882365</v>
      </c>
      <c r="T146" s="47">
        <f>recipe03TotScale * IF(AND(R146 = 0, S146 = 0, J146 = "", L146 = ""), Q146, 0)</f>
        <v>0</v>
      </c>
      <c r="V146" s="44" t="b">
        <f>INDEX(itemPrepMethods, MATCH(K146, itemNames, 0))="chop"</f>
        <v>0</v>
      </c>
      <c r="W146" s="57" t="str">
        <f>IF(V146, Q146, "")</f>
        <v/>
      </c>
      <c r="X146" s="58" t="str">
        <f>IF(V146, IF(L146 = "", "", L146), "")</f>
        <v/>
      </c>
      <c r="Y146" s="58" t="str">
        <f>IF(V146, K146, "")</f>
        <v/>
      </c>
      <c r="Z146" s="59"/>
      <c r="AA146" s="44" t="b">
        <f>INDEX(itemPrepMethods, MATCH(K146, itemNames, 0))="soak"</f>
        <v>0</v>
      </c>
      <c r="AB146" s="58" t="str">
        <f>IF(AA146, Q146, "")</f>
        <v/>
      </c>
      <c r="AC146" s="58" t="str">
        <f>IF(AA146, IF(L146 = "", "", L146), "")</f>
        <v/>
      </c>
      <c r="AD146" s="58" t="str">
        <f>IF(AA146, K146, "")</f>
        <v/>
      </c>
    </row>
    <row r="147" spans="1:30" x14ac:dyDescent="0.25">
      <c r="A147" s="40" t="s">
        <v>21</v>
      </c>
      <c r="B147" s="52">
        <f t="shared" si="159"/>
        <v>2.5</v>
      </c>
      <c r="C147" s="39" t="str">
        <f t="shared" si="160"/>
        <v/>
      </c>
      <c r="D147" s="40" t="str">
        <f>_xlfn.CONCAT(K147, U147)</f>
        <v>sprigs fresh rosemary</v>
      </c>
      <c r="I147" s="54">
        <v>5</v>
      </c>
      <c r="J147" s="55"/>
      <c r="K147" s="55" t="s">
        <v>88</v>
      </c>
      <c r="L147" s="56"/>
      <c r="M147" s="47">
        <f t="shared" si="161"/>
        <v>0</v>
      </c>
      <c r="N147" s="47">
        <f t="shared" si="162"/>
        <v>0</v>
      </c>
      <c r="O147" s="47">
        <f t="shared" si="163"/>
        <v>0</v>
      </c>
      <c r="P147" s="47">
        <f t="shared" si="164"/>
        <v>0</v>
      </c>
      <c r="Q147" s="47">
        <f>MROUND(IF(AND(J147 = "", L147 = ""), I147 * recipe03DayScale, IF(ISNA(CONVERT(O147, "kg", L147)), CONVERT(P147 * recipe03DayScale, "l", L147), CONVERT(O147 * recipe03DayScale, "kg", L147))), roundTo)</f>
        <v>2.5</v>
      </c>
      <c r="R147" s="47">
        <f>recipe03TotScale * IF(L147 = "", Q147 * M147, IF(ISNA(CONVERT(Q147, L147, "kg")), CONVERT(Q147, L147, "l") * IF(N147 &lt;&gt; 0, M147 / N147, 0), CONVERT(Q147, L147, "kg")))</f>
        <v>0</v>
      </c>
      <c r="S147" s="47">
        <f>recipe03TotScale * IF(R147 = 0, IF(L147 = "", Q147 * N147, IF(ISNA(CONVERT(Q147, L147, "l")), CONVERT(Q147, L147, "kg") * IF(M147 &lt;&gt; 0, N147 / M147, 0), CONVERT(Q147, L147, "l"))), 0)</f>
        <v>0</v>
      </c>
      <c r="T147" s="47">
        <f>recipe03TotScale * IF(AND(R147 = 0, S147 = 0, J147 = "", L147 = ""), Q147, 0)</f>
        <v>2.5</v>
      </c>
      <c r="V147" s="44" t="b">
        <f>INDEX(itemPrepMethods, MATCH(K147, itemNames, 0))="chop"</f>
        <v>0</v>
      </c>
      <c r="W147" s="57" t="str">
        <f>IF(V147, Q147, "")</f>
        <v/>
      </c>
      <c r="X147" s="58" t="str">
        <f>IF(V147, IF(L147 = "", "", L147), "")</f>
        <v/>
      </c>
      <c r="Y147" s="58" t="str">
        <f>IF(V147, K147, "")</f>
        <v/>
      </c>
      <c r="Z147" s="59"/>
      <c r="AA147" s="44" t="b">
        <f>INDEX(itemPrepMethods, MATCH(K147, itemNames, 0))="soak"</f>
        <v>0</v>
      </c>
      <c r="AB147" s="58" t="str">
        <f>IF(AA147, Q147, "")</f>
        <v/>
      </c>
      <c r="AC147" s="58" t="str">
        <f>IF(AA147, IF(L147 = "", "", L147), "")</f>
        <v/>
      </c>
      <c r="AD147" s="58" t="str">
        <f>IF(AA147, K147, "")</f>
        <v/>
      </c>
    </row>
    <row r="148" spans="1:30" x14ac:dyDescent="0.25">
      <c r="A148" s="40" t="s">
        <v>21</v>
      </c>
      <c r="B148" s="52">
        <f t="shared" si="159"/>
        <v>2.5</v>
      </c>
      <c r="C148" s="39" t="str">
        <f t="shared" si="160"/>
        <v/>
      </c>
      <c r="D148" s="40" t="str">
        <f>_xlfn.CONCAT(K148, U148)</f>
        <v>sprigs fresh thyme</v>
      </c>
      <c r="I148" s="54">
        <v>5</v>
      </c>
      <c r="J148" s="55"/>
      <c r="K148" s="55" t="s">
        <v>89</v>
      </c>
      <c r="L148" s="56"/>
      <c r="M148" s="47">
        <f t="shared" si="161"/>
        <v>0</v>
      </c>
      <c r="N148" s="47">
        <f t="shared" si="162"/>
        <v>0</v>
      </c>
      <c r="O148" s="47">
        <f t="shared" si="163"/>
        <v>0</v>
      </c>
      <c r="P148" s="47">
        <f t="shared" si="164"/>
        <v>0</v>
      </c>
      <c r="Q148" s="47">
        <f>MROUND(IF(AND(J148 = "", L148 = ""), I148 * recipe03DayScale, IF(ISNA(CONVERT(O148, "kg", L148)), CONVERT(P148 * recipe03DayScale, "l", L148), CONVERT(O148 * recipe03DayScale, "kg", L148))), roundTo)</f>
        <v>2.5</v>
      </c>
      <c r="R148" s="47">
        <f>recipe03TotScale * IF(L148 = "", Q148 * M148, IF(ISNA(CONVERT(Q148, L148, "kg")), CONVERT(Q148, L148, "l") * IF(N148 &lt;&gt; 0, M148 / N148, 0), CONVERT(Q148, L148, "kg")))</f>
        <v>0</v>
      </c>
      <c r="S148" s="47">
        <f>recipe03TotScale * IF(R148 = 0, IF(L148 = "", Q148 * N148, IF(ISNA(CONVERT(Q148, L148, "l")), CONVERT(Q148, L148, "kg") * IF(M148 &lt;&gt; 0, N148 / M148, 0), CONVERT(Q148, L148, "l"))), 0)</f>
        <v>0</v>
      </c>
      <c r="T148" s="47">
        <f>recipe03TotScale * IF(AND(R148 = 0, S148 = 0, J148 = "", L148 = ""), Q148, 0)</f>
        <v>2.5</v>
      </c>
      <c r="V148" s="44" t="b">
        <f>INDEX(itemPrepMethods, MATCH(K148, itemNames, 0))="chop"</f>
        <v>0</v>
      </c>
      <c r="W148" s="57" t="str">
        <f>IF(V148, Q148, "")</f>
        <v/>
      </c>
      <c r="X148" s="58" t="str">
        <f>IF(V148, IF(L148 = "", "", L148), "")</f>
        <v/>
      </c>
      <c r="Y148" s="58" t="str">
        <f>IF(V148, K148, "")</f>
        <v/>
      </c>
      <c r="Z148" s="59"/>
      <c r="AA148" s="44" t="b">
        <f>INDEX(itemPrepMethods, MATCH(K148, itemNames, 0))="soak"</f>
        <v>0</v>
      </c>
      <c r="AB148" s="58" t="str">
        <f>IF(AA148, Q148, "")</f>
        <v/>
      </c>
      <c r="AC148" s="58" t="str">
        <f>IF(AA148, IF(L148 = "", "", L148), "")</f>
        <v/>
      </c>
      <c r="AD148" s="58" t="str">
        <f>IF(AA148, K148, "")</f>
        <v/>
      </c>
    </row>
    <row r="149" spans="1:30" x14ac:dyDescent="0.25">
      <c r="A149" s="40" t="s">
        <v>21</v>
      </c>
      <c r="B149" s="52">
        <f t="shared" si="159"/>
        <v>2.5</v>
      </c>
      <c r="C149" s="39" t="str">
        <f t="shared" si="160"/>
        <v/>
      </c>
      <c r="D149" s="40" t="str">
        <f>_xlfn.CONCAT(K149, U149)</f>
        <v>bay leaves</v>
      </c>
      <c r="I149" s="54">
        <v>5</v>
      </c>
      <c r="J149" s="55"/>
      <c r="K149" s="55" t="s">
        <v>90</v>
      </c>
      <c r="L149" s="56"/>
      <c r="M149" s="47">
        <f t="shared" si="161"/>
        <v>0</v>
      </c>
      <c r="N149" s="47">
        <f t="shared" si="162"/>
        <v>0</v>
      </c>
      <c r="O149" s="47">
        <f t="shared" si="163"/>
        <v>0</v>
      </c>
      <c r="P149" s="47">
        <f t="shared" si="164"/>
        <v>0</v>
      </c>
      <c r="Q149" s="47">
        <f>MROUND(IF(AND(J149 = "", L149 = ""), I149 * recipe03DayScale, IF(ISNA(CONVERT(O149, "kg", L149)), CONVERT(P149 * recipe03DayScale, "l", L149), CONVERT(O149 * recipe03DayScale, "kg", L149))), roundTo)</f>
        <v>2.5</v>
      </c>
      <c r="R149" s="47">
        <f>recipe03TotScale * IF(L149 = "", Q149 * M149, IF(ISNA(CONVERT(Q149, L149, "kg")), CONVERT(Q149, L149, "l") * IF(N149 &lt;&gt; 0, M149 / N149, 0), CONVERT(Q149, L149, "kg")))</f>
        <v>0</v>
      </c>
      <c r="S149" s="47">
        <f>recipe03TotScale * IF(R149 = 0, IF(L149 = "", Q149 * N149, IF(ISNA(CONVERT(Q149, L149, "l")), CONVERT(Q149, L149, "kg") * IF(M149 &lt;&gt; 0, N149 / M149, 0), CONVERT(Q149, L149, "l"))), 0)</f>
        <v>0</v>
      </c>
      <c r="T149" s="47">
        <f>recipe03TotScale * IF(AND(R149 = 0, S149 = 0, J149 = "", L149 = ""), Q149, 0)</f>
        <v>2.5</v>
      </c>
      <c r="V149" s="44" t="b">
        <f>INDEX(itemPrepMethods, MATCH(K149, itemNames, 0))="chop"</f>
        <v>0</v>
      </c>
      <c r="W149" s="57" t="str">
        <f>IF(V149, Q149, "")</f>
        <v/>
      </c>
      <c r="X149" s="58" t="str">
        <f>IF(V149, IF(L149 = "", "", L149), "")</f>
        <v/>
      </c>
      <c r="Y149" s="58" t="str">
        <f>IF(V149, K149, "")</f>
        <v/>
      </c>
      <c r="Z149" s="59"/>
      <c r="AA149" s="44" t="b">
        <f>INDEX(itemPrepMethods, MATCH(K149, itemNames, 0))="soak"</f>
        <v>0</v>
      </c>
      <c r="AB149" s="58" t="str">
        <f>IF(AA149, Q149, "")</f>
        <v/>
      </c>
      <c r="AC149" s="58" t="str">
        <f>IF(AA149, IF(L149 = "", "", L149), "")</f>
        <v/>
      </c>
      <c r="AD149" s="58" t="str">
        <f>IF(AA149, K149, "")</f>
        <v/>
      </c>
    </row>
    <row r="150" spans="1:30" x14ac:dyDescent="0.25">
      <c r="A150" s="111"/>
      <c r="B150" s="111"/>
      <c r="C150" s="111"/>
      <c r="D150" s="111"/>
      <c r="I150" s="47"/>
      <c r="L150" s="44"/>
      <c r="M150" s="44"/>
      <c r="N150" s="44"/>
      <c r="O150" s="44"/>
      <c r="P150" s="44"/>
      <c r="W150" s="74"/>
      <c r="X150" s="74"/>
      <c r="Y150" s="74"/>
      <c r="Z150" s="74"/>
      <c r="AA150" s="67"/>
      <c r="AB150" s="74"/>
      <c r="AC150" s="74"/>
      <c r="AD150" s="74"/>
    </row>
    <row r="151" spans="1:30" x14ac:dyDescent="0.25">
      <c r="A151" s="111" t="s">
        <v>249</v>
      </c>
      <c r="B151" s="111"/>
      <c r="C151" s="111"/>
      <c r="D151" s="111"/>
      <c r="I151" s="47"/>
      <c r="L151" s="44"/>
      <c r="M151" s="44"/>
      <c r="N151" s="44"/>
      <c r="O151" s="44"/>
      <c r="P151" s="44"/>
      <c r="W151" s="74"/>
      <c r="X151" s="74"/>
      <c r="Y151" s="74"/>
      <c r="Z151" s="74"/>
      <c r="AA151" s="67"/>
      <c r="AB151" s="74"/>
      <c r="AC151" s="74"/>
      <c r="AD151" s="74"/>
    </row>
    <row r="152" spans="1:30" x14ac:dyDescent="0.25">
      <c r="A152" s="40" t="s">
        <v>21</v>
      </c>
      <c r="B152" s="61">
        <f>Q152</f>
        <v>0</v>
      </c>
      <c r="C152" s="91" t="str">
        <f t="shared" si="160"/>
        <v>cup</v>
      </c>
      <c r="D152" s="103" t="str">
        <f>_xlfn.CONCAT(K152, U152)</f>
        <v>thinly sliced silverbeet</v>
      </c>
      <c r="I152" s="54">
        <v>1.5</v>
      </c>
      <c r="J152" s="55" t="s">
        <v>12</v>
      </c>
      <c r="K152" s="55" t="s">
        <v>94</v>
      </c>
      <c r="L152" s="56" t="s">
        <v>16</v>
      </c>
      <c r="M152" s="47">
        <f>INDEX(itemGPerQty, MATCH(K152, itemNames, 0))</f>
        <v>0</v>
      </c>
      <c r="N152" s="47">
        <f>INDEX(itemMlPerQty, MATCH(K152, itemNames, 0))</f>
        <v>0</v>
      </c>
      <c r="O152" s="47">
        <f>IF(J152 = "", I152 * M152, IF(ISNA(CONVERT(I152, J152, "kg")), CONVERT(I152, J152, "l") * IF(N152 &lt;&gt; 0, M152 / N152, 0), CONVERT(I152, J152, "kg")))</f>
        <v>1.5</v>
      </c>
      <c r="P152" s="47">
        <f>IF(J152 = "", I152 * N152, IF(ISNA(CONVERT(I152, J152, "l")), CONVERT(I152, J152, "kg") * IF(M152 &lt;&gt; 0, N152 / M152, 0), CONVERT(I152, J152, "l")))</f>
        <v>0</v>
      </c>
      <c r="Q152" s="47">
        <f>MROUND(IF(AND(J152 = "", L152 = ""), I152 * recipe03DayScale, IF(ISNA(CONVERT(O152, "kg", L152)), CONVERT(P152 * recipe03DayScale, "l", L152), CONVERT(O152 * recipe03DayScale, "kg", L152))), roundTo)</f>
        <v>0</v>
      </c>
      <c r="R152" s="47">
        <f>recipe03TotScale * IF(L152 = "", Q152 * M152, IF(ISNA(CONVERT(Q152, L152, "kg")), CONVERT(Q152, L152, "l") * IF(N152 &lt;&gt; 0, M152 / N152, 0), CONVERT(Q152, L152, "kg")))</f>
        <v>0</v>
      </c>
      <c r="S152" s="47">
        <f>recipe03TotScale * IF(R152 = 0, IF(L152 = "", Q152 * N152, IF(ISNA(CONVERT(Q152, L152, "l")), CONVERT(Q152, L152, "kg") * IF(M152 &lt;&gt; 0, N152 / M152, 0), CONVERT(Q152, L152, "l"))), 0)</f>
        <v>0</v>
      </c>
      <c r="T152" s="47">
        <f>recipe03TotScale * IF(AND(R152 = 0, S152 = 0, J152 = "", L152 = ""), Q152, 0)</f>
        <v>0</v>
      </c>
      <c r="V152" s="44" t="b">
        <f>INDEX(itemPrepMethods, MATCH(K152, itemNames, 0))="chop"</f>
        <v>1</v>
      </c>
      <c r="W152" s="57">
        <f>IF(V152, Q152, "")</f>
        <v>0</v>
      </c>
      <c r="X152" s="58" t="str">
        <f>IF(V152, IF(L152 = "", "", L152), "")</f>
        <v>cup</v>
      </c>
      <c r="Y152" s="58" t="str">
        <f>IF(V152, K152, "")</f>
        <v>thinly sliced silverbeet</v>
      </c>
      <c r="Z152" s="59"/>
      <c r="AA152" s="44" t="b">
        <f>INDEX(itemPrepMethods, MATCH(K152, itemNames, 0))="soak"</f>
        <v>0</v>
      </c>
      <c r="AB152" s="58" t="str">
        <f>IF(AA152, Q152, "")</f>
        <v/>
      </c>
      <c r="AC152" s="58" t="str">
        <f>IF(AA152, IF(L152 = "", "", L152), "")</f>
        <v/>
      </c>
      <c r="AD152" s="58" t="str">
        <f>IF(AA152, K152, "")</f>
        <v/>
      </c>
    </row>
    <row r="153" spans="1:30" x14ac:dyDescent="0.25">
      <c r="A153" s="111"/>
      <c r="B153" s="111"/>
      <c r="C153" s="111"/>
      <c r="D153" s="111"/>
      <c r="I153" s="47"/>
      <c r="L153" s="44"/>
      <c r="M153" s="44"/>
      <c r="N153" s="44"/>
      <c r="O153" s="44"/>
      <c r="P153" s="44"/>
      <c r="W153" s="74"/>
      <c r="X153" s="74"/>
      <c r="Y153" s="74"/>
      <c r="Z153" s="74"/>
      <c r="AA153" s="67"/>
      <c r="AB153" s="74"/>
      <c r="AC153" s="74"/>
      <c r="AD153" s="74"/>
    </row>
    <row r="154" spans="1:30" x14ac:dyDescent="0.25">
      <c r="A154" s="111" t="s">
        <v>250</v>
      </c>
      <c r="B154" s="111"/>
      <c r="C154" s="111"/>
      <c r="D154" s="111"/>
      <c r="I154" s="47"/>
      <c r="L154" s="44"/>
      <c r="M154" s="44"/>
      <c r="N154" s="44"/>
      <c r="O154" s="44"/>
      <c r="P154" s="44"/>
      <c r="W154" s="74"/>
      <c r="X154" s="74"/>
      <c r="Y154" s="74"/>
      <c r="Z154" s="74"/>
      <c r="AA154" s="67"/>
      <c r="AB154" s="74"/>
      <c r="AC154" s="74"/>
      <c r="AD154" s="74"/>
    </row>
    <row r="155" spans="1:30" x14ac:dyDescent="0.25">
      <c r="A155" s="111"/>
      <c r="B155" s="111"/>
      <c r="C155" s="111"/>
      <c r="D155" s="111"/>
      <c r="I155" s="47"/>
      <c r="L155" s="44"/>
      <c r="M155" s="44"/>
      <c r="N155" s="44"/>
      <c r="O155" s="44"/>
      <c r="P155" s="44"/>
      <c r="W155" s="74"/>
      <c r="X155" s="74"/>
      <c r="Y155" s="74"/>
      <c r="Z155" s="74"/>
      <c r="AA155" s="67"/>
      <c r="AB155" s="74"/>
      <c r="AC155" s="74"/>
      <c r="AD155" s="74"/>
    </row>
    <row r="156" spans="1:30" x14ac:dyDescent="0.25">
      <c r="A156" s="111" t="s">
        <v>266</v>
      </c>
      <c r="B156" s="111"/>
      <c r="C156" s="111"/>
      <c r="D156" s="111"/>
      <c r="I156" s="47"/>
      <c r="L156" s="44"/>
      <c r="W156" s="74"/>
      <c r="X156" s="74"/>
      <c r="Y156" s="74"/>
      <c r="Z156" s="74"/>
      <c r="AA156" s="67"/>
      <c r="AB156" s="74"/>
      <c r="AC156" s="74"/>
      <c r="AD156" s="74"/>
    </row>
    <row r="157" spans="1:30" x14ac:dyDescent="0.25">
      <c r="A157" s="40" t="s">
        <v>21</v>
      </c>
      <c r="B157" s="52"/>
      <c r="C157" s="39" t="str">
        <f>IF(L157="","",L157)</f>
        <v/>
      </c>
      <c r="D157" s="40" t="str">
        <f>_xlfn.CONCAT(K157, U157)</f>
        <v>salt, to taste</v>
      </c>
      <c r="I157" s="47"/>
      <c r="K157" s="55" t="s">
        <v>11</v>
      </c>
      <c r="L157" s="44"/>
      <c r="M157" s="44"/>
      <c r="N157" s="44"/>
      <c r="O157" s="44"/>
      <c r="P157" s="44"/>
      <c r="U157" s="44" t="s">
        <v>216</v>
      </c>
      <c r="V157" s="44" t="b">
        <f>INDEX(itemPrepMethods, MATCH(K157, itemNames, 0))="chop"</f>
        <v>0</v>
      </c>
      <c r="W157" s="57" t="str">
        <f>IF(V157, Q157, "")</f>
        <v/>
      </c>
      <c r="X157" s="58" t="str">
        <f>IF(V157, IF(L157 = "", "", L157), "")</f>
        <v/>
      </c>
      <c r="Y157" s="58" t="str">
        <f>IF(V157, K157, "")</f>
        <v/>
      </c>
      <c r="Z157" s="59"/>
      <c r="AA157" s="44" t="b">
        <f>INDEX(itemPrepMethods, MATCH(K157, itemNames, 0))="soak"</f>
        <v>0</v>
      </c>
      <c r="AB157" s="58" t="str">
        <f>IF(AA157, Q157, "")</f>
        <v/>
      </c>
      <c r="AC157" s="58" t="str">
        <f>IF(AA157, IF(L157 = "", "", L157), "")</f>
        <v/>
      </c>
      <c r="AD157" s="58" t="str">
        <f>IF(AA157, K157, "")</f>
        <v/>
      </c>
    </row>
    <row r="158" spans="1:30" x14ac:dyDescent="0.25">
      <c r="A158" s="40" t="s">
        <v>21</v>
      </c>
      <c r="B158" s="52"/>
      <c r="C158" s="39" t="str">
        <f>IF(L158="","",L158)</f>
        <v/>
      </c>
      <c r="D158" s="40" t="str">
        <f>_xlfn.CONCAT(K158, U158)</f>
        <v>ground black pepper, to taste</v>
      </c>
      <c r="I158" s="47"/>
      <c r="K158" s="55" t="s">
        <v>80</v>
      </c>
      <c r="L158" s="44"/>
      <c r="M158" s="44"/>
      <c r="N158" s="44"/>
      <c r="O158" s="44"/>
      <c r="P158" s="44"/>
      <c r="U158" s="44" t="s">
        <v>216</v>
      </c>
      <c r="V158" s="44" t="b">
        <f>INDEX(itemPrepMethods, MATCH(K158, itemNames, 0))="chop"</f>
        <v>0</v>
      </c>
      <c r="W158" s="57" t="str">
        <f>IF(V158, Q158, "")</f>
        <v/>
      </c>
      <c r="X158" s="58" t="str">
        <f>IF(V158, IF(L158 = "", "", L158), "")</f>
        <v/>
      </c>
      <c r="Y158" s="58" t="str">
        <f>IF(V158, K158, "")</f>
        <v/>
      </c>
      <c r="Z158" s="59"/>
      <c r="AA158" s="44" t="b">
        <f>INDEX(itemPrepMethods, MATCH(K158, itemNames, 0))="soak"</f>
        <v>0</v>
      </c>
      <c r="AB158" s="58" t="str">
        <f>IF(AA158, Q158, "")</f>
        <v/>
      </c>
      <c r="AC158" s="58" t="str">
        <f>IF(AA158, IF(L158 = "", "", L158), "")</f>
        <v/>
      </c>
      <c r="AD158" s="58" t="str">
        <f>IF(AA158, K158, "")</f>
        <v/>
      </c>
    </row>
    <row r="159" spans="1:30" ht="15.75" x14ac:dyDescent="0.25">
      <c r="A159" s="110" t="s">
        <v>30</v>
      </c>
      <c r="B159" s="110"/>
      <c r="C159" s="110"/>
      <c r="D159" s="110"/>
      <c r="E159" s="43" t="s">
        <v>141</v>
      </c>
      <c r="F159" s="104" t="s">
        <v>170</v>
      </c>
      <c r="G159" s="104"/>
    </row>
    <row r="160" spans="1:30" ht="24" x14ac:dyDescent="0.2">
      <c r="A160" s="110" t="s">
        <v>42</v>
      </c>
      <c r="B160" s="110"/>
      <c r="C160" s="110"/>
      <c r="D160" s="110"/>
      <c r="E160" s="42" t="s">
        <v>56</v>
      </c>
      <c r="F160" s="90">
        <v>16</v>
      </c>
      <c r="G160" s="47"/>
      <c r="I160" s="70" t="s">
        <v>448</v>
      </c>
      <c r="J160" s="71" t="s">
        <v>449</v>
      </c>
      <c r="K160" s="71" t="s">
        <v>17</v>
      </c>
      <c r="L160" s="72" t="s">
        <v>452</v>
      </c>
      <c r="M160" s="70" t="s">
        <v>148</v>
      </c>
      <c r="N160" s="70" t="s">
        <v>149</v>
      </c>
      <c r="O160" s="70" t="s">
        <v>450</v>
      </c>
      <c r="P160" s="70" t="s">
        <v>451</v>
      </c>
      <c r="Q160" s="71" t="s">
        <v>364</v>
      </c>
      <c r="R160" s="70" t="s">
        <v>365</v>
      </c>
      <c r="S160" s="70" t="s">
        <v>366</v>
      </c>
      <c r="T160" s="70" t="s">
        <v>367</v>
      </c>
      <c r="U160" s="71" t="s">
        <v>22</v>
      </c>
      <c r="V160" s="71" t="s">
        <v>212</v>
      </c>
      <c r="W160" s="73" t="s">
        <v>364</v>
      </c>
      <c r="X160" s="71" t="s">
        <v>210</v>
      </c>
      <c r="Y160" s="71" t="s">
        <v>211</v>
      </c>
      <c r="Z160" s="71" t="s">
        <v>313</v>
      </c>
      <c r="AA160" s="71" t="s">
        <v>213</v>
      </c>
      <c r="AB160" s="73" t="s">
        <v>364</v>
      </c>
      <c r="AC160" s="71" t="s">
        <v>214</v>
      </c>
      <c r="AD160" s="71" t="s">
        <v>215</v>
      </c>
    </row>
    <row r="161" spans="1:30" ht="15.75" thickBot="1" x14ac:dyDescent="0.3">
      <c r="A161" s="111"/>
      <c r="B161" s="111"/>
      <c r="C161" s="111"/>
      <c r="D161" s="111"/>
      <c r="E161" s="66" t="s">
        <v>359</v>
      </c>
      <c r="F161" s="90">
        <f>thLuCount</f>
        <v>10</v>
      </c>
      <c r="G161" s="47"/>
      <c r="I161" s="47"/>
    </row>
    <row r="162" spans="1:30" ht="15.75" thickBot="1" x14ac:dyDescent="0.3">
      <c r="A162" s="111" t="s">
        <v>172</v>
      </c>
      <c r="B162" s="111"/>
      <c r="C162" s="111"/>
      <c r="D162" s="111"/>
      <c r="E162" s="66" t="s">
        <v>362</v>
      </c>
      <c r="F162" s="50">
        <f>F161/F160</f>
        <v>0.625</v>
      </c>
      <c r="G162" s="51" t="s">
        <v>390</v>
      </c>
      <c r="I162" s="47"/>
    </row>
    <row r="163" spans="1:30" x14ac:dyDescent="0.25">
      <c r="A163" s="40" t="s">
        <v>21</v>
      </c>
      <c r="B163" s="52"/>
      <c r="C163" s="39" t="str">
        <f t="shared" ref="C163" si="165">IF(L163="","",L163)</f>
        <v/>
      </c>
      <c r="D163" s="40" t="str">
        <f>_xlfn.CONCAT(K163, U163)</f>
        <v>oil</v>
      </c>
      <c r="E163" s="67"/>
      <c r="F163" s="67"/>
      <c r="G163" s="67"/>
      <c r="I163" s="47"/>
      <c r="K163" s="55" t="s">
        <v>46</v>
      </c>
      <c r="L163" s="44"/>
      <c r="M163" s="44"/>
      <c r="N163" s="44"/>
      <c r="O163" s="44"/>
      <c r="P163" s="44"/>
      <c r="Q163" s="44"/>
      <c r="T163" s="44"/>
      <c r="V163" s="44" t="b">
        <f>INDEX(itemPrepMethods, MATCH(K163, itemNames, 0))="chop"</f>
        <v>0</v>
      </c>
      <c r="W163" s="57" t="str">
        <f>IF(V163, Q163, "")</f>
        <v/>
      </c>
      <c r="X163" s="58" t="str">
        <f>IF(V163, IF(L163 = "", "", L163), "")</f>
        <v/>
      </c>
      <c r="Y163" s="58" t="str">
        <f>IF(V163, K163, "")</f>
        <v/>
      </c>
      <c r="Z163" s="59"/>
      <c r="AA163" s="44" t="b">
        <f>INDEX(itemPrepMethods, MATCH(K163, itemNames, 0))="soak"</f>
        <v>0</v>
      </c>
      <c r="AB163" s="58" t="str">
        <f>IF(AA163, Q163, "")</f>
        <v/>
      </c>
      <c r="AC163" s="58" t="str">
        <f>IF(AA163, IF(L163 = "", "", L163), "")</f>
        <v/>
      </c>
      <c r="AD163" s="58" t="str">
        <f>IF(AA163, K163, "")</f>
        <v/>
      </c>
    </row>
    <row r="164" spans="1:30" ht="36.75" thickBot="1" x14ac:dyDescent="0.3">
      <c r="A164" s="40" t="s">
        <v>21</v>
      </c>
      <c r="B164" s="52">
        <f t="shared" ref="B164" si="166">Q164</f>
        <v>500</v>
      </c>
      <c r="C164" s="39" t="str">
        <f t="shared" ref="C164" si="167">IF(L164="","",L164)</f>
        <v>g</v>
      </c>
      <c r="D164" s="40" t="str">
        <f>_xlfn.CONCAT(K164, U164)</f>
        <v>blocks tofu, cut into cubes</v>
      </c>
      <c r="E164" s="66" t="s">
        <v>338</v>
      </c>
      <c r="F164" s="90">
        <f>thLuCount</f>
        <v>10</v>
      </c>
      <c r="G164" s="67"/>
      <c r="I164" s="62">
        <v>800</v>
      </c>
      <c r="J164" s="55" t="s">
        <v>0</v>
      </c>
      <c r="K164" s="55" t="s">
        <v>270</v>
      </c>
      <c r="L164" s="56" t="s">
        <v>0</v>
      </c>
      <c r="M164" s="47">
        <f>INDEX(itemGPerQty, MATCH(K164, itemNames, 0))</f>
        <v>0</v>
      </c>
      <c r="N164" s="47">
        <f>INDEX(itemMlPerQty, MATCH(K164, itemNames, 0))</f>
        <v>0</v>
      </c>
      <c r="O164" s="47">
        <f t="shared" ref="O164:O165" si="168">IF(J164 = "", I164 * M164, IF(ISNA(CONVERT(I164, J164, "kg")), CONVERT(I164, J164, "l") * IF(N164 &lt;&gt; 0, M164 / N164, 0), CONVERT(I164, J164, "kg")))</f>
        <v>0.8</v>
      </c>
      <c r="P164" s="47">
        <f t="shared" ref="P164:P165" si="169">IF(J164 = "", I164 * N164, IF(ISNA(CONVERT(I164, J164, "l")), CONVERT(I164, J164, "kg") * IF(M164 &lt;&gt; 0, N164 / M164, 0), CONVERT(I164, J164, "l")))</f>
        <v>0</v>
      </c>
      <c r="Q164" s="47">
        <f>MROUND(IF(AND(J164 = "", L164 = ""), I164 * recipe10DayScale, IF(ISNA(CONVERT(O164, "kg", L164)), CONVERT(P164 * recipe10DayScale, "l", L164), CONVERT(O164 * recipe10DayScale, "kg", L164))), roundTo)</f>
        <v>500</v>
      </c>
      <c r="R164" s="47">
        <f>recipe10TotScale * IF(L164 = "", Q164 * M164, IF(ISNA(CONVERT(Q164, L164, "kg")), CONVERT(Q164, L164, "l") * IF(N164 &lt;&gt; 0, M164 / N164, 0), CONVERT(Q164, L164, "kg")))</f>
        <v>0.5</v>
      </c>
      <c r="S164" s="47">
        <f>recipe10TotScale * IF(R164 = 0, IF(L164 = "", Q164 * N164, IF(ISNA(CONVERT(Q164, L164, "l")), CONVERT(Q164, L164, "kg") * IF(M164 &lt;&gt; 0, N164 / M164, 0), CONVERT(Q164, L164, "l"))), 0)</f>
        <v>0</v>
      </c>
      <c r="T164" s="47">
        <f>recipe10TotScale * IF(AND(R164 = 0, S164 = 0, J164 = "", L164 = ""), Q164, 0)</f>
        <v>0</v>
      </c>
      <c r="V164" s="44" t="b">
        <f>INDEX(itemPrepMethods, MATCH(K164, itemNames, 0))="chop"</f>
        <v>1</v>
      </c>
      <c r="W164" s="57">
        <f>IF(V164, Q164, "")</f>
        <v>500</v>
      </c>
      <c r="X164" s="58" t="str">
        <f>IF(V164, IF(L164 = "", "", L164), "")</f>
        <v>g</v>
      </c>
      <c r="Y164" s="58" t="str">
        <f>IF(V164, K164, "")</f>
        <v>blocks tofu, cut into cubes</v>
      </c>
      <c r="Z164" s="59" t="s">
        <v>272</v>
      </c>
      <c r="AA164" s="44" t="b">
        <f>INDEX(itemPrepMethods, MATCH(K164, itemNames, 0))="soak"</f>
        <v>0</v>
      </c>
      <c r="AB164" s="58" t="str">
        <f>IF(AA164, Q164, "")</f>
        <v/>
      </c>
      <c r="AC164" s="58" t="str">
        <f>IF(AA164, IF(L164 = "", "", L164), "")</f>
        <v/>
      </c>
      <c r="AD164" s="58" t="str">
        <f>IF(AA164, K164, "")</f>
        <v/>
      </c>
    </row>
    <row r="165" spans="1:30" ht="15.75" thickBot="1" x14ac:dyDescent="0.3">
      <c r="A165" s="40" t="s">
        <v>21</v>
      </c>
      <c r="B165" s="52">
        <f t="shared" ref="B165" si="170">Q165</f>
        <v>3</v>
      </c>
      <c r="C165" s="39" t="str">
        <f t="shared" ref="C165" si="171">IF(L165="","",L165)</f>
        <v>tbs</v>
      </c>
      <c r="D165" s="40" t="str">
        <f>_xlfn.CONCAT(K165, U165)</f>
        <v>tamari</v>
      </c>
      <c r="E165" s="66" t="s">
        <v>363</v>
      </c>
      <c r="F165" s="50">
        <f>F164/F161</f>
        <v>1</v>
      </c>
      <c r="G165" s="51" t="s">
        <v>391</v>
      </c>
      <c r="I165" s="62">
        <v>0.3</v>
      </c>
      <c r="J165" s="55" t="s">
        <v>16</v>
      </c>
      <c r="K165" s="55" t="s">
        <v>171</v>
      </c>
      <c r="L165" s="56" t="s">
        <v>15</v>
      </c>
      <c r="M165" s="47">
        <f>INDEX(itemGPerQty, MATCH(K165, itemNames, 0))</f>
        <v>0</v>
      </c>
      <c r="N165" s="47">
        <f>INDEX(itemMlPerQty, MATCH(K165, itemNames, 0))</f>
        <v>0</v>
      </c>
      <c r="O165" s="47">
        <f t="shared" si="168"/>
        <v>0</v>
      </c>
      <c r="P165" s="47">
        <f t="shared" si="169"/>
        <v>7.0976470949999995E-2</v>
      </c>
      <c r="Q165" s="47">
        <f>MROUND(IF(AND(J165 = "", L165 = ""), I165 * recipe10DayScale, IF(ISNA(CONVERT(O165, "kg", L165)), CONVERT(P165 * recipe10DayScale, "l", L165), CONVERT(O165 * recipe10DayScale, "kg", L165))), roundTo)</f>
        <v>3</v>
      </c>
      <c r="R165" s="47">
        <f>recipe10TotScale * IF(L165 = "", Q165 * M165, IF(ISNA(CONVERT(Q165, L165, "kg")), CONVERT(Q165, L165, "l") * IF(N165 &lt;&gt; 0, M165 / N165, 0), CONVERT(Q165, L165, "kg")))</f>
        <v>0</v>
      </c>
      <c r="S165" s="47">
        <f>recipe10TotScale * IF(R165 = 0, IF(L165 = "", Q165 * N165, IF(ISNA(CONVERT(Q165, L165, "l")), CONVERT(Q165, L165, "kg") * IF(M165 &lt;&gt; 0, N165 / M165, 0), CONVERT(Q165, L165, "l"))), 0)</f>
        <v>4.4360294343749995E-2</v>
      </c>
      <c r="T165" s="47">
        <f>recipe10TotScale * IF(AND(R165 = 0, S165 = 0, J165 = "", L165 = ""), Q165, 0)</f>
        <v>0</v>
      </c>
      <c r="V165" s="44" t="b">
        <f>INDEX(itemPrepMethods, MATCH(K165, itemNames, 0))="chop"</f>
        <v>0</v>
      </c>
      <c r="W165" s="57" t="str">
        <f>IF(V165, Q165, "")</f>
        <v/>
      </c>
      <c r="X165" s="58" t="str">
        <f>IF(V165, IF(L165 = "", "", L165), "")</f>
        <v/>
      </c>
      <c r="Y165" s="58" t="str">
        <f>IF(V165, K165, "")</f>
        <v/>
      </c>
      <c r="Z165" s="59"/>
      <c r="AA165" s="44" t="b">
        <f>INDEX(itemPrepMethods, MATCH(K165, itemNames, 0))="soak"</f>
        <v>0</v>
      </c>
      <c r="AB165" s="58" t="str">
        <f>IF(AA165, Q165, "")</f>
        <v/>
      </c>
      <c r="AC165" s="58" t="str">
        <f>IF(AA165, IF(L165 = "", "", L165), "")</f>
        <v/>
      </c>
      <c r="AD165" s="58" t="str">
        <f>IF(AA165, K165, "")</f>
        <v/>
      </c>
    </row>
    <row r="166" spans="1:30" x14ac:dyDescent="0.25">
      <c r="A166" s="111"/>
      <c r="B166" s="111"/>
      <c r="C166" s="111"/>
      <c r="D166" s="111"/>
      <c r="I166" s="47"/>
      <c r="L166" s="44"/>
      <c r="M166" s="44"/>
      <c r="N166" s="44"/>
      <c r="W166" s="74"/>
      <c r="X166" s="75"/>
      <c r="Y166" s="75"/>
      <c r="Z166" s="76"/>
      <c r="AA166" s="67"/>
      <c r="AB166" s="74"/>
      <c r="AC166" s="74"/>
      <c r="AD166" s="74"/>
    </row>
    <row r="167" spans="1:30" x14ac:dyDescent="0.25">
      <c r="A167" s="111" t="s">
        <v>184</v>
      </c>
      <c r="B167" s="111"/>
      <c r="C167" s="111"/>
      <c r="D167" s="111"/>
      <c r="I167" s="47"/>
      <c r="L167" s="44"/>
      <c r="M167" s="44"/>
      <c r="N167" s="44"/>
      <c r="W167" s="74"/>
      <c r="X167" s="75"/>
      <c r="Y167" s="75"/>
      <c r="Z167" s="76"/>
      <c r="AA167" s="67"/>
      <c r="AB167" s="74"/>
      <c r="AC167" s="74"/>
      <c r="AD167" s="74"/>
    </row>
    <row r="168" spans="1:30" x14ac:dyDescent="0.25">
      <c r="A168" s="40" t="s">
        <v>21</v>
      </c>
      <c r="B168" s="52">
        <f t="shared" ref="B168" si="172">Q168</f>
        <v>6.25</v>
      </c>
      <c r="C168" s="39" t="str">
        <f t="shared" ref="C168" si="173">IF(L168="","",L168)</f>
        <v>tbs</v>
      </c>
      <c r="D168" s="40" t="str">
        <f>_xlfn.CONCAT(K168, U168)</f>
        <v>sesame oil</v>
      </c>
      <c r="I168" s="62">
        <v>10</v>
      </c>
      <c r="J168" s="55" t="s">
        <v>15</v>
      </c>
      <c r="K168" s="55" t="s">
        <v>173</v>
      </c>
      <c r="L168" s="56" t="s">
        <v>15</v>
      </c>
      <c r="M168" s="47">
        <f>INDEX(itemGPerQty, MATCH(K168, itemNames, 0))</f>
        <v>0</v>
      </c>
      <c r="N168" s="47">
        <f>INDEX(itemMlPerQty, MATCH(K168, itemNames, 0))</f>
        <v>0</v>
      </c>
      <c r="O168" s="47">
        <f t="shared" ref="O168:O172" si="174">IF(J168 = "", I168 * M168, IF(ISNA(CONVERT(I168, J168, "kg")), CONVERT(I168, J168, "l") * IF(N168 &lt;&gt; 0, M168 / N168, 0), CONVERT(I168, J168, "kg")))</f>
        <v>0</v>
      </c>
      <c r="P168" s="47">
        <f t="shared" ref="P168:P172" si="175">IF(J168 = "", I168 * N168, IF(ISNA(CONVERT(I168, J168, "l")), CONVERT(I168, J168, "kg") * IF(M168 &lt;&gt; 0, N168 / M168, 0), CONVERT(I168, J168, "l")))</f>
        <v>0.1478676478125</v>
      </c>
      <c r="Q168" s="47">
        <f>MROUND(IF(AND(J168 = "", L168 = ""), I168 * recipe10DayScale, IF(ISNA(CONVERT(O168, "kg", L168)), CONVERT(P168 * recipe10DayScale, "l", L168), CONVERT(O168 * recipe10DayScale, "kg", L168))), roundTo)</f>
        <v>6.25</v>
      </c>
      <c r="R168" s="47">
        <f>recipe10TotScale * IF(L168 = "", Q168 * M168, IF(ISNA(CONVERT(Q168, L168, "kg")), CONVERT(Q168, L168, "l") * IF(N168 &lt;&gt; 0, M168 / N168, 0), CONVERT(Q168, L168, "kg")))</f>
        <v>0</v>
      </c>
      <c r="S168" s="47">
        <f>recipe10TotScale * IF(R168 = 0, IF(L168 = "", Q168 * N168, IF(ISNA(CONVERT(Q168, L168, "l")), CONVERT(Q168, L168, "kg") * IF(M168 &lt;&gt; 0, N168 / M168, 0), CONVERT(Q168, L168, "l"))), 0)</f>
        <v>9.2417279882812495E-2</v>
      </c>
      <c r="T168" s="47">
        <f>recipe10TotScale * IF(AND(R168 = 0, S168 = 0, J168 = "", L168 = ""), Q168, 0)</f>
        <v>0</v>
      </c>
      <c r="V168" s="44" t="b">
        <f>INDEX(itemPrepMethods, MATCH(K168, itemNames, 0))="chop"</f>
        <v>0</v>
      </c>
      <c r="W168" s="57" t="str">
        <f>IF(V168, Q168, "")</f>
        <v/>
      </c>
      <c r="X168" s="58" t="str">
        <f>IF(V168, IF(L168 = "", "", L168), "")</f>
        <v/>
      </c>
      <c r="Y168" s="58" t="str">
        <f>IF(V168, K168, "")</f>
        <v/>
      </c>
      <c r="Z168" s="59"/>
      <c r="AA168" s="44" t="b">
        <f>INDEX(itemPrepMethods, MATCH(K168, itemNames, 0))="soak"</f>
        <v>0</v>
      </c>
      <c r="AB168" s="58" t="str">
        <f>IF(AA168, Q168, "")</f>
        <v/>
      </c>
      <c r="AC168" s="58" t="str">
        <f>IF(AA168, IF(L168 = "", "", L168), "")</f>
        <v/>
      </c>
      <c r="AD168" s="58" t="str">
        <f>IF(AA168, K168, "")</f>
        <v/>
      </c>
    </row>
    <row r="169" spans="1:30" x14ac:dyDescent="0.25">
      <c r="A169" s="40" t="s">
        <v>21</v>
      </c>
      <c r="B169" s="52">
        <f t="shared" ref="B169:B170" si="176">Q169</f>
        <v>2</v>
      </c>
      <c r="C169" s="39" t="str">
        <f t="shared" ref="C169:C170" si="177">IF(L169="","",L169)</f>
        <v>tbs</v>
      </c>
      <c r="D169" s="40" t="str">
        <f>_xlfn.CONCAT(K169, U169)</f>
        <v>thai green curry</v>
      </c>
      <c r="I169" s="62">
        <v>3</v>
      </c>
      <c r="J169" s="55" t="s">
        <v>15</v>
      </c>
      <c r="K169" s="55" t="s">
        <v>174</v>
      </c>
      <c r="L169" s="56" t="s">
        <v>15</v>
      </c>
      <c r="M169" s="47">
        <f>INDEX(itemGPerQty, MATCH(K169, itemNames, 0))</f>
        <v>0</v>
      </c>
      <c r="N169" s="47">
        <f>INDEX(itemMlPerQty, MATCH(K169, itemNames, 0))</f>
        <v>0</v>
      </c>
      <c r="O169" s="47">
        <f t="shared" si="174"/>
        <v>0</v>
      </c>
      <c r="P169" s="47">
        <f t="shared" si="175"/>
        <v>4.4360294343749995E-2</v>
      </c>
      <c r="Q169" s="47">
        <f>MROUND(IF(AND(J169 = "", L169 = ""), I169 * recipe10DayScale, IF(ISNA(CONVERT(O169, "kg", L169)), CONVERT(P169 * recipe10DayScale, "l", L169), CONVERT(O169 * recipe10DayScale, "kg", L169))), roundTo)</f>
        <v>2</v>
      </c>
      <c r="R169" s="47">
        <f>recipe10TotScale * IF(L169 = "", Q169 * M169, IF(ISNA(CONVERT(Q169, L169, "kg")), CONVERT(Q169, L169, "l") * IF(N169 &lt;&gt; 0, M169 / N169, 0), CONVERT(Q169, L169, "kg")))</f>
        <v>0</v>
      </c>
      <c r="S169" s="47">
        <f>recipe10TotScale * IF(R169 = 0, IF(L169 = "", Q169 * N169, IF(ISNA(CONVERT(Q169, L169, "l")), CONVERT(Q169, L169, "kg") * IF(M169 &lt;&gt; 0, N169 / M169, 0), CONVERT(Q169, L169, "l"))), 0)</f>
        <v>2.9573529562499999E-2</v>
      </c>
      <c r="T169" s="47">
        <f>recipe10TotScale * IF(AND(R169 = 0, S169 = 0, J169 = "", L169 = ""), Q169, 0)</f>
        <v>0</v>
      </c>
      <c r="V169" s="44" t="b">
        <f>INDEX(itemPrepMethods, MATCH(K169, itemNames, 0))="chop"</f>
        <v>0</v>
      </c>
      <c r="W169" s="57" t="str">
        <f>IF(V169, Q169, "")</f>
        <v/>
      </c>
      <c r="X169" s="58" t="str">
        <f>IF(V169, IF(L169 = "", "", L169), "")</f>
        <v/>
      </c>
      <c r="Y169" s="58" t="str">
        <f>IF(V169, K169, "")</f>
        <v/>
      </c>
      <c r="Z169" s="59"/>
      <c r="AA169" s="44" t="b">
        <f>INDEX(itemPrepMethods, MATCH(K169, itemNames, 0))="soak"</f>
        <v>0</v>
      </c>
      <c r="AB169" s="58" t="str">
        <f>IF(AA169, Q169, "")</f>
        <v/>
      </c>
      <c r="AC169" s="58" t="str">
        <f>IF(AA169, IF(L169 = "", "", L169), "")</f>
        <v/>
      </c>
      <c r="AD169" s="58" t="str">
        <f>IF(AA169, K169, "")</f>
        <v/>
      </c>
    </row>
    <row r="170" spans="1:30" x14ac:dyDescent="0.25">
      <c r="A170" s="40" t="s">
        <v>21</v>
      </c>
      <c r="B170" s="52">
        <f t="shared" si="176"/>
        <v>2.5</v>
      </c>
      <c r="C170" s="39" t="str">
        <f t="shared" si="177"/>
        <v/>
      </c>
      <c r="D170" s="40" t="str">
        <f>_xlfn.CONCAT(K170, U170)</f>
        <v>chopped onions</v>
      </c>
      <c r="I170" s="62">
        <v>4</v>
      </c>
      <c r="J170" s="55"/>
      <c r="K170" s="55" t="s">
        <v>6</v>
      </c>
      <c r="L170" s="56"/>
      <c r="M170" s="47">
        <f>INDEX(itemGPerQty, MATCH(K170, itemNames, 0))</f>
        <v>0.185</v>
      </c>
      <c r="N170" s="47">
        <f>INDEX(itemMlPerQty, MATCH(K170, itemNames, 0))</f>
        <v>0.3</v>
      </c>
      <c r="O170" s="47">
        <f t="shared" si="174"/>
        <v>0.74</v>
      </c>
      <c r="P170" s="47">
        <f t="shared" si="175"/>
        <v>1.2</v>
      </c>
      <c r="Q170" s="47">
        <f>MROUND(IF(AND(J170 = "", L170 = ""), I170 * recipe10DayScale, IF(ISNA(CONVERT(O170, "kg", L170)), CONVERT(P170 * recipe10DayScale, "l", L170), CONVERT(O170 * recipe10DayScale, "kg", L170))), roundTo)</f>
        <v>2.5</v>
      </c>
      <c r="R170" s="47">
        <f>recipe10TotScale * IF(L170 = "", Q170 * M170, IF(ISNA(CONVERT(Q170, L170, "kg")), CONVERT(Q170, L170, "l") * IF(N170 &lt;&gt; 0, M170 / N170, 0), CONVERT(Q170, L170, "kg")))</f>
        <v>0.46250000000000002</v>
      </c>
      <c r="S170" s="47">
        <f>recipe10TotScale * IF(R170 = 0, IF(L170 = "", Q170 * N170, IF(ISNA(CONVERT(Q170, L170, "l")), CONVERT(Q170, L170, "kg") * IF(M170 &lt;&gt; 0, N170 / M170, 0), CONVERT(Q170, L170, "l"))), 0)</f>
        <v>0</v>
      </c>
      <c r="T170" s="47">
        <f>recipe10TotScale * IF(AND(R170 = 0, S170 = 0, J170 = "", L170 = ""), Q170, 0)</f>
        <v>0</v>
      </c>
      <c r="V170" s="44" t="b">
        <f>INDEX(itemPrepMethods, MATCH(K170, itemNames, 0))="chop"</f>
        <v>1</v>
      </c>
      <c r="W170" s="57">
        <f>IF(V170, Q170, "")</f>
        <v>2.5</v>
      </c>
      <c r="X170" s="58" t="str">
        <f>IF(V170, IF(L170 = "", "", L170), "")</f>
        <v/>
      </c>
      <c r="Y170" s="58" t="str">
        <f>IF(V170, K170, "")</f>
        <v>chopped onions</v>
      </c>
      <c r="Z170" s="59"/>
      <c r="AA170" s="44" t="b">
        <f>INDEX(itemPrepMethods, MATCH(K170, itemNames, 0))="soak"</f>
        <v>0</v>
      </c>
      <c r="AB170" s="58" t="str">
        <f>IF(AA170, Q170, "")</f>
        <v/>
      </c>
      <c r="AC170" s="58" t="str">
        <f>IF(AA170, IF(L170 = "", "", L170), "")</f>
        <v/>
      </c>
      <c r="AD170" s="58" t="str">
        <f>IF(AA170, K170, "")</f>
        <v/>
      </c>
    </row>
    <row r="171" spans="1:30" x14ac:dyDescent="0.25">
      <c r="A171" s="40" t="s">
        <v>21</v>
      </c>
      <c r="B171" s="52">
        <f t="shared" ref="B171" si="178">Q171</f>
        <v>3.25</v>
      </c>
      <c r="C171" s="39" t="str">
        <f t="shared" ref="C171" si="179">IF(L171="","",L171)</f>
        <v>tbs</v>
      </c>
      <c r="D171" s="40" t="str">
        <f>_xlfn.CONCAT(K171, U171)</f>
        <v>minced fresh ginger</v>
      </c>
      <c r="I171" s="62">
        <v>5</v>
      </c>
      <c r="J171" s="55" t="s">
        <v>15</v>
      </c>
      <c r="K171" s="55" t="s">
        <v>231</v>
      </c>
      <c r="L171" s="56" t="s">
        <v>15</v>
      </c>
      <c r="M171" s="47">
        <f>INDEX(itemGPerQty, MATCH(K171, itemNames, 0))</f>
        <v>0</v>
      </c>
      <c r="N171" s="47">
        <f>INDEX(itemMlPerQty, MATCH(K171, itemNames, 0))</f>
        <v>0</v>
      </c>
      <c r="O171" s="47">
        <f t="shared" si="174"/>
        <v>0</v>
      </c>
      <c r="P171" s="47">
        <f t="shared" si="175"/>
        <v>7.3933823906250001E-2</v>
      </c>
      <c r="Q171" s="47">
        <f>MROUND(IF(AND(J171 = "", L171 = ""), I171 * recipe10DayScale, IF(ISNA(CONVERT(O171, "kg", L171)), CONVERT(P171 * recipe10DayScale, "l", L171), CONVERT(O171 * recipe10DayScale, "kg", L171))), roundTo)</f>
        <v>3.25</v>
      </c>
      <c r="R171" s="47">
        <f>recipe10TotScale * IF(L171 = "", Q171 * M171, IF(ISNA(CONVERT(Q171, L171, "kg")), CONVERT(Q171, L171, "l") * IF(N171 &lt;&gt; 0, M171 / N171, 0), CONVERT(Q171, L171, "kg")))</f>
        <v>0</v>
      </c>
      <c r="S171" s="47">
        <f>recipe10TotScale * IF(R171 = 0, IF(L171 = "", Q171 * N171, IF(ISNA(CONVERT(Q171, L171, "l")), CONVERT(Q171, L171, "kg") * IF(M171 &lt;&gt; 0, N171 / M171, 0), CONVERT(Q171, L171, "l"))), 0)</f>
        <v>4.8056985539062499E-2</v>
      </c>
      <c r="T171" s="47">
        <f>recipe10TotScale * IF(AND(R171 = 0, S171 = 0, J171 = "", L171 = ""), Q171, 0)</f>
        <v>0</v>
      </c>
      <c r="V171" s="44" t="b">
        <f>INDEX(itemPrepMethods, MATCH(K171, itemNames, 0))="chop"</f>
        <v>1</v>
      </c>
      <c r="W171" s="57">
        <f>IF(V171, Q171, "")</f>
        <v>3.25</v>
      </c>
      <c r="X171" s="58" t="str">
        <f>IF(V171, IF(L171 = "", "", L171), "")</f>
        <v>tbs</v>
      </c>
      <c r="Y171" s="58" t="str">
        <f>IF(V171, K171, "")</f>
        <v>minced fresh ginger</v>
      </c>
      <c r="Z171" s="59"/>
      <c r="AA171" s="44" t="b">
        <f>INDEX(itemPrepMethods, MATCH(K171, itemNames, 0))="soak"</f>
        <v>0</v>
      </c>
      <c r="AB171" s="58" t="str">
        <f>IF(AA171, Q171, "")</f>
        <v/>
      </c>
      <c r="AC171" s="58" t="str">
        <f>IF(AA171, IF(L171 = "", "", L171), "")</f>
        <v/>
      </c>
      <c r="AD171" s="58" t="str">
        <f>IF(AA171, K171, "")</f>
        <v/>
      </c>
    </row>
    <row r="172" spans="1:30" x14ac:dyDescent="0.25">
      <c r="A172" s="40" t="s">
        <v>21</v>
      </c>
      <c r="B172" s="52">
        <f t="shared" ref="B172" si="180">Q172</f>
        <v>0.75</v>
      </c>
      <c r="C172" s="39" t="str">
        <f t="shared" ref="C172" si="181">IF(L172="","",L172)</f>
        <v/>
      </c>
      <c r="D172" s="40" t="str">
        <f>_xlfn.CONCAT(K172, U172)</f>
        <v>chopped cauliflowers</v>
      </c>
      <c r="I172" s="62">
        <v>1</v>
      </c>
      <c r="J172" s="55"/>
      <c r="K172" s="55" t="s">
        <v>167</v>
      </c>
      <c r="L172" s="56"/>
      <c r="M172" s="47">
        <f>INDEX(itemGPerQty, MATCH(K172, itemNames, 0))</f>
        <v>0</v>
      </c>
      <c r="N172" s="47">
        <f>INDEX(itemMlPerQty, MATCH(K172, itemNames, 0))</f>
        <v>0</v>
      </c>
      <c r="O172" s="47">
        <f t="shared" si="174"/>
        <v>0</v>
      </c>
      <c r="P172" s="47">
        <f t="shared" si="175"/>
        <v>0</v>
      </c>
      <c r="Q172" s="47">
        <f>MROUND(IF(AND(J172 = "", L172 = ""), I172 * recipe10DayScale, IF(ISNA(CONVERT(O172, "kg", L172)), CONVERT(P172 * recipe10DayScale, "l", L172), CONVERT(O172 * recipe10DayScale, "kg", L172))), roundTo)</f>
        <v>0.75</v>
      </c>
      <c r="R172" s="47">
        <f>recipe10TotScale * IF(L172 = "", Q172 * M172, IF(ISNA(CONVERT(Q172, L172, "kg")), CONVERT(Q172, L172, "l") * IF(N172 &lt;&gt; 0, M172 / N172, 0), CONVERT(Q172, L172, "kg")))</f>
        <v>0</v>
      </c>
      <c r="S172" s="47">
        <f>recipe10TotScale * IF(R172 = 0, IF(L172 = "", Q172 * N172, IF(ISNA(CONVERT(Q172, L172, "l")), CONVERT(Q172, L172, "kg") * IF(M172 &lt;&gt; 0, N172 / M172, 0), CONVERT(Q172, L172, "l"))), 0)</f>
        <v>0</v>
      </c>
      <c r="T172" s="47">
        <f>recipe10TotScale * IF(AND(R172 = 0, S172 = 0, J172 = "", L172 = ""), Q172, 0)</f>
        <v>0.75</v>
      </c>
      <c r="V172" s="44" t="b">
        <f>INDEX(itemPrepMethods, MATCH(K172, itemNames, 0))="chop"</f>
        <v>1</v>
      </c>
      <c r="W172" s="57">
        <f>IF(V172, Q172, "")</f>
        <v>0.75</v>
      </c>
      <c r="X172" s="58" t="str">
        <f>IF(V172, IF(L172 = "", "", L172), "")</f>
        <v/>
      </c>
      <c r="Y172" s="58" t="str">
        <f>IF(V172, K172, "")</f>
        <v>chopped cauliflowers</v>
      </c>
      <c r="Z172" s="59"/>
      <c r="AA172" s="44" t="b">
        <f>INDEX(itemPrepMethods, MATCH(K172, itemNames, 0))="soak"</f>
        <v>0</v>
      </c>
      <c r="AB172" s="58" t="str">
        <f>IF(AA172, Q172, "")</f>
        <v/>
      </c>
      <c r="AC172" s="58" t="str">
        <f>IF(AA172, IF(L172 = "", "", L172), "")</f>
        <v/>
      </c>
      <c r="AD172" s="58" t="str">
        <f>IF(AA172, K172, "")</f>
        <v/>
      </c>
    </row>
    <row r="173" spans="1:30" x14ac:dyDescent="0.25">
      <c r="A173" s="111"/>
      <c r="B173" s="111"/>
      <c r="C173" s="111"/>
      <c r="D173" s="111"/>
      <c r="I173" s="47"/>
      <c r="L173" s="44"/>
      <c r="M173" s="44"/>
      <c r="N173" s="44"/>
      <c r="W173" s="74"/>
      <c r="X173" s="75"/>
      <c r="Y173" s="75"/>
      <c r="Z173" s="76"/>
      <c r="AA173" s="67"/>
      <c r="AB173" s="74"/>
      <c r="AC173" s="74"/>
      <c r="AD173" s="74"/>
    </row>
    <row r="174" spans="1:30" x14ac:dyDescent="0.25">
      <c r="A174" s="111" t="s">
        <v>185</v>
      </c>
      <c r="B174" s="111"/>
      <c r="C174" s="111"/>
      <c r="D174" s="111"/>
      <c r="I174" s="47"/>
      <c r="L174" s="44"/>
      <c r="M174" s="44"/>
      <c r="N174" s="44"/>
      <c r="W174" s="74"/>
      <c r="X174" s="75"/>
      <c r="Y174" s="75"/>
      <c r="Z174" s="76"/>
      <c r="AA174" s="67"/>
      <c r="AB174" s="74"/>
      <c r="AC174" s="74"/>
      <c r="AD174" s="74"/>
    </row>
    <row r="175" spans="1:30" x14ac:dyDescent="0.25">
      <c r="A175" s="40" t="s">
        <v>21</v>
      </c>
      <c r="B175" s="52">
        <f t="shared" ref="B175:B176" si="182">Q175</f>
        <v>0.25</v>
      </c>
      <c r="C175" s="39" t="str">
        <f t="shared" ref="C175:C176" si="183">IF(L175="","",L175)</f>
        <v>l</v>
      </c>
      <c r="D175" s="40" t="str">
        <f>_xlfn.CONCAT(K175, U175)</f>
        <v>water</v>
      </c>
      <c r="I175" s="62">
        <v>0.5</v>
      </c>
      <c r="J175" s="55" t="s">
        <v>57</v>
      </c>
      <c r="K175" s="55" t="s">
        <v>48</v>
      </c>
      <c r="L175" s="56" t="s">
        <v>57</v>
      </c>
      <c r="M175" s="47">
        <f>INDEX(itemGPerQty, MATCH(K175, itemNames, 0))</f>
        <v>1</v>
      </c>
      <c r="N175" s="47">
        <f>INDEX(itemMlPerQty, MATCH(K175, itemNames, 0))</f>
        <v>1</v>
      </c>
      <c r="O175" s="47">
        <f t="shared" ref="O175:O179" si="184">IF(J175 = "", I175 * M175, IF(ISNA(CONVERT(I175, J175, "kg")), CONVERT(I175, J175, "l") * IF(N175 &lt;&gt; 0, M175 / N175, 0), CONVERT(I175, J175, "kg")))</f>
        <v>0.5</v>
      </c>
      <c r="P175" s="47">
        <f t="shared" ref="P175:P179" si="185">IF(J175 = "", I175 * N175, IF(ISNA(CONVERT(I175, J175, "l")), CONVERT(I175, J175, "kg") * IF(M175 &lt;&gt; 0, N175 / M175, 0), CONVERT(I175, J175, "l")))</f>
        <v>0.5</v>
      </c>
      <c r="Q175" s="47">
        <f>MROUND(IF(AND(J175 = "", L175 = ""), I175 * recipe10DayScale, IF(ISNA(CONVERT(O175, "kg", L175)), CONVERT(P175 * recipe10DayScale, "l", L175), CONVERT(O175 * recipe10DayScale, "kg", L175))), roundTo)</f>
        <v>0.25</v>
      </c>
      <c r="R175" s="47">
        <f>recipe10TotScale * IF(L175 = "", Q175 * M175, IF(ISNA(CONVERT(Q175, L175, "kg")), CONVERT(Q175, L175, "l") * IF(N175 &lt;&gt; 0, M175 / N175, 0), CONVERT(Q175, L175, "kg")))</f>
        <v>0.25</v>
      </c>
      <c r="S175" s="47">
        <f>recipe10TotScale * IF(R175 = 0, IF(L175 = "", Q175 * N175, IF(ISNA(CONVERT(Q175, L175, "l")), CONVERT(Q175, L175, "kg") * IF(M175 &lt;&gt; 0, N175 / M175, 0), CONVERT(Q175, L175, "l"))), 0)</f>
        <v>0</v>
      </c>
      <c r="T175" s="47">
        <f>recipe10TotScale * IF(AND(R175 = 0, S175 = 0, J175 = "", L175 = ""), Q175, 0)</f>
        <v>0</v>
      </c>
      <c r="V175" s="44" t="b">
        <f>INDEX(itemPrepMethods, MATCH(K175, itemNames, 0))="chop"</f>
        <v>0</v>
      </c>
      <c r="W175" s="57" t="str">
        <f>IF(V175, Q175, "")</f>
        <v/>
      </c>
      <c r="X175" s="58" t="str">
        <f>IF(V175, IF(L175 = "", "", L175), "")</f>
        <v/>
      </c>
      <c r="Y175" s="58" t="str">
        <f>IF(V175, K175, "")</f>
        <v/>
      </c>
      <c r="Z175" s="59"/>
      <c r="AA175" s="44" t="b">
        <f>INDEX(itemPrepMethods, MATCH(K175, itemNames, 0))="soak"</f>
        <v>0</v>
      </c>
      <c r="AB175" s="58" t="str">
        <f>IF(AA175, Q175, "")</f>
        <v/>
      </c>
      <c r="AC175" s="58" t="str">
        <f>IF(AA175, IF(L175 = "", "", L175), "")</f>
        <v/>
      </c>
      <c r="AD175" s="58" t="str">
        <f>IF(AA175, K175, "")</f>
        <v/>
      </c>
    </row>
    <row r="176" spans="1:30" x14ac:dyDescent="0.25">
      <c r="A176" s="40" t="s">
        <v>21</v>
      </c>
      <c r="B176" s="52">
        <f t="shared" si="182"/>
        <v>1.25</v>
      </c>
      <c r="C176" s="39" t="str">
        <f t="shared" si="183"/>
        <v/>
      </c>
      <c r="D176" s="40" t="str">
        <f>_xlfn.CONCAT(K176, U176)</f>
        <v>chopped broccoli</v>
      </c>
      <c r="I176" s="62">
        <v>1.9</v>
      </c>
      <c r="J176" s="55"/>
      <c r="K176" s="55" t="s">
        <v>120</v>
      </c>
      <c r="L176" s="56"/>
      <c r="M176" s="47">
        <f>INDEX(itemGPerQty, MATCH(K176, itemNames, 0))</f>
        <v>0.313</v>
      </c>
      <c r="N176" s="47">
        <f>INDEX(itemMlPerQty, MATCH(K176, itemNames, 0))</f>
        <v>0</v>
      </c>
      <c r="O176" s="47">
        <f t="shared" si="184"/>
        <v>0.59470000000000001</v>
      </c>
      <c r="P176" s="47">
        <f t="shared" si="185"/>
        <v>0</v>
      </c>
      <c r="Q176" s="47">
        <f>MROUND(IF(AND(J176 = "", L176 = ""), I176 * recipe10DayScale, IF(ISNA(CONVERT(O176, "kg", L176)), CONVERT(P176 * recipe10DayScale, "l", L176), CONVERT(O176 * recipe10DayScale, "kg", L176))), roundTo)</f>
        <v>1.25</v>
      </c>
      <c r="R176" s="47">
        <f>recipe10TotScale * IF(L176 = "", Q176 * M176, IF(ISNA(CONVERT(Q176, L176, "kg")), CONVERT(Q176, L176, "l") * IF(N176 &lt;&gt; 0, M176 / N176, 0), CONVERT(Q176, L176, "kg")))</f>
        <v>0.39124999999999999</v>
      </c>
      <c r="S176" s="47">
        <f>recipe10TotScale * IF(R176 = 0, IF(L176 = "", Q176 * N176, IF(ISNA(CONVERT(Q176, L176, "l")), CONVERT(Q176, L176, "kg") * IF(M176 &lt;&gt; 0, N176 / M176, 0), CONVERT(Q176, L176, "l"))), 0)</f>
        <v>0</v>
      </c>
      <c r="T176" s="47">
        <f>recipe10TotScale * IF(AND(R176 = 0, S176 = 0, J176 = "", L176 = ""), Q176, 0)</f>
        <v>0</v>
      </c>
      <c r="V176" s="44" t="b">
        <f>INDEX(itemPrepMethods, MATCH(K176, itemNames, 0))="chop"</f>
        <v>1</v>
      </c>
      <c r="W176" s="57">
        <f>IF(V176, Q176, "")</f>
        <v>1.25</v>
      </c>
      <c r="X176" s="58" t="str">
        <f>IF(V176, IF(L176 = "", "", L176), "")</f>
        <v/>
      </c>
      <c r="Y176" s="58" t="str">
        <f>IF(V176, K176, "")</f>
        <v>chopped broccoli</v>
      </c>
      <c r="Z176" s="59"/>
      <c r="AA176" s="44" t="b">
        <f>INDEX(itemPrepMethods, MATCH(K176, itemNames, 0))="soak"</f>
        <v>0</v>
      </c>
      <c r="AB176" s="58" t="str">
        <f>IF(AA176, Q176, "")</f>
        <v/>
      </c>
      <c r="AC176" s="58" t="str">
        <f>IF(AA176, IF(L176 = "", "", L176), "")</f>
        <v/>
      </c>
      <c r="AD176" s="58" t="str">
        <f>IF(AA176, K176, "")</f>
        <v/>
      </c>
    </row>
    <row r="177" spans="1:30" x14ac:dyDescent="0.25">
      <c r="A177" s="40" t="s">
        <v>21</v>
      </c>
      <c r="B177" s="52">
        <f t="shared" ref="B177:B178" si="186">Q177</f>
        <v>2.5</v>
      </c>
      <c r="C177" s="39" t="str">
        <f t="shared" ref="C177:C178" si="187">IF(L177="","",L177)</f>
        <v/>
      </c>
      <c r="D177" s="40" t="str">
        <f>_xlfn.CONCAT(K177, U177)</f>
        <v>chopped yellow capsicums</v>
      </c>
      <c r="I177" s="62">
        <v>4</v>
      </c>
      <c r="J177" s="55"/>
      <c r="K177" s="55" t="s">
        <v>176</v>
      </c>
      <c r="L177" s="56"/>
      <c r="M177" s="47">
        <f>INDEX(itemGPerQty, MATCH(K177, itemNames, 0))</f>
        <v>0.1885</v>
      </c>
      <c r="N177" s="47">
        <f>INDEX(itemMlPerQty, MATCH(K177, itemNames, 0))</f>
        <v>0.25</v>
      </c>
      <c r="O177" s="47">
        <f t="shared" si="184"/>
        <v>0.754</v>
      </c>
      <c r="P177" s="47">
        <f t="shared" si="185"/>
        <v>1</v>
      </c>
      <c r="Q177" s="47">
        <f>MROUND(IF(AND(J177 = "", L177 = ""), I177 * recipe10DayScale, IF(ISNA(CONVERT(O177, "kg", L177)), CONVERT(P177 * recipe10DayScale, "l", L177), CONVERT(O177 * recipe10DayScale, "kg", L177))), roundTo)</f>
        <v>2.5</v>
      </c>
      <c r="R177" s="47">
        <f>recipe10TotScale * IF(L177 = "", Q177 * M177, IF(ISNA(CONVERT(Q177, L177, "kg")), CONVERT(Q177, L177, "l") * IF(N177 &lt;&gt; 0, M177 / N177, 0), CONVERT(Q177, L177, "kg")))</f>
        <v>0.47125</v>
      </c>
      <c r="S177" s="47">
        <f>recipe10TotScale * IF(R177 = 0, IF(L177 = "", Q177 * N177, IF(ISNA(CONVERT(Q177, L177, "l")), CONVERT(Q177, L177, "kg") * IF(M177 &lt;&gt; 0, N177 / M177, 0), CONVERT(Q177, L177, "l"))), 0)</f>
        <v>0</v>
      </c>
      <c r="T177" s="47">
        <f>recipe10TotScale * IF(AND(R177 = 0, S177 = 0, J177 = "", L177 = ""), Q177, 0)</f>
        <v>0</v>
      </c>
      <c r="V177" s="44" t="b">
        <f>INDEX(itemPrepMethods, MATCH(K177, itemNames, 0))="chop"</f>
        <v>1</v>
      </c>
      <c r="W177" s="57">
        <f>IF(V177, Q177, "")</f>
        <v>2.5</v>
      </c>
      <c r="X177" s="58" t="str">
        <f>IF(V177, IF(L177 = "", "", L177), "")</f>
        <v/>
      </c>
      <c r="Y177" s="58" t="str">
        <f>IF(V177, K177, "")</f>
        <v>chopped yellow capsicums</v>
      </c>
      <c r="Z177" s="59"/>
      <c r="AA177" s="44" t="b">
        <f>INDEX(itemPrepMethods, MATCH(K177, itemNames, 0))="soak"</f>
        <v>0</v>
      </c>
      <c r="AB177" s="58" t="str">
        <f>IF(AA177, Q177, "")</f>
        <v/>
      </c>
      <c r="AC177" s="58" t="str">
        <f>IF(AA177, IF(L177 = "", "", L177), "")</f>
        <v/>
      </c>
      <c r="AD177" s="58" t="str">
        <f>IF(AA177, K177, "")</f>
        <v/>
      </c>
    </row>
    <row r="178" spans="1:30" x14ac:dyDescent="0.25">
      <c r="A178" s="40" t="s">
        <v>21</v>
      </c>
      <c r="B178" s="52">
        <f t="shared" si="186"/>
        <v>6.25</v>
      </c>
      <c r="C178" s="39" t="str">
        <f t="shared" si="187"/>
        <v/>
      </c>
      <c r="D178" s="40" t="str">
        <f>_xlfn.CONCAT(K178, U178)</f>
        <v>sliced celery stalks</v>
      </c>
      <c r="I178" s="62">
        <v>10</v>
      </c>
      <c r="J178" s="55"/>
      <c r="K178" s="55" t="s">
        <v>177</v>
      </c>
      <c r="L178" s="56"/>
      <c r="M178" s="47">
        <f>INDEX(itemGPerQty, MATCH(K178, itemNames, 0))</f>
        <v>0</v>
      </c>
      <c r="N178" s="47">
        <f>INDEX(itemMlPerQty, MATCH(K178, itemNames, 0))</f>
        <v>0</v>
      </c>
      <c r="O178" s="47">
        <f t="shared" si="184"/>
        <v>0</v>
      </c>
      <c r="P178" s="47">
        <f t="shared" si="185"/>
        <v>0</v>
      </c>
      <c r="Q178" s="47">
        <f>MROUND(IF(AND(J178 = "", L178 = ""), I178 * recipe10DayScale, IF(ISNA(CONVERT(O178, "kg", L178)), CONVERT(P178 * recipe10DayScale, "l", L178), CONVERT(O178 * recipe10DayScale, "kg", L178))), roundTo)</f>
        <v>6.25</v>
      </c>
      <c r="R178" s="47">
        <f>recipe10TotScale * IF(L178 = "", Q178 * M178, IF(ISNA(CONVERT(Q178, L178, "kg")), CONVERT(Q178, L178, "l") * IF(N178 &lt;&gt; 0, M178 / N178, 0), CONVERT(Q178, L178, "kg")))</f>
        <v>0</v>
      </c>
      <c r="S178" s="47">
        <f>recipe10TotScale * IF(R178 = 0, IF(L178 = "", Q178 * N178, IF(ISNA(CONVERT(Q178, L178, "l")), CONVERT(Q178, L178, "kg") * IF(M178 &lt;&gt; 0, N178 / M178, 0), CONVERT(Q178, L178, "l"))), 0)</f>
        <v>0</v>
      </c>
      <c r="T178" s="47">
        <f>recipe10TotScale * IF(AND(R178 = 0, S178 = 0, J178 = "", L178 = ""), Q178, 0)</f>
        <v>6.25</v>
      </c>
      <c r="V178" s="44" t="b">
        <f>INDEX(itemPrepMethods, MATCH(K178, itemNames, 0))="chop"</f>
        <v>1</v>
      </c>
      <c r="W178" s="57">
        <f>IF(V178, Q178, "")</f>
        <v>6.25</v>
      </c>
      <c r="X178" s="58" t="str">
        <f>IF(V178, IF(L178 = "", "", L178), "")</f>
        <v/>
      </c>
      <c r="Y178" s="58" t="str">
        <f>IF(V178, K178, "")</f>
        <v>sliced celery stalks</v>
      </c>
      <c r="Z178" s="59"/>
      <c r="AA178" s="44" t="b">
        <f>INDEX(itemPrepMethods, MATCH(K178, itemNames, 0))="soak"</f>
        <v>0</v>
      </c>
      <c r="AB178" s="58" t="str">
        <f>IF(AA178, Q178, "")</f>
        <v/>
      </c>
      <c r="AC178" s="58" t="str">
        <f>IF(AA178, IF(L178 = "", "", L178), "")</f>
        <v/>
      </c>
      <c r="AD178" s="58" t="str">
        <f>IF(AA178, K178, "")</f>
        <v/>
      </c>
    </row>
    <row r="179" spans="1:30" x14ac:dyDescent="0.25">
      <c r="A179" s="40" t="s">
        <v>21</v>
      </c>
      <c r="B179" s="52">
        <f t="shared" ref="B179" si="188">Q179</f>
        <v>3.75</v>
      </c>
      <c r="C179" s="39" t="str">
        <f t="shared" ref="C179" si="189">IF(L179="","",L179)</f>
        <v/>
      </c>
      <c r="D179" s="40" t="str">
        <f>_xlfn.CONCAT(K179, U179)</f>
        <v>tins bamboo</v>
      </c>
      <c r="I179" s="62">
        <v>6</v>
      </c>
      <c r="J179" s="55"/>
      <c r="K179" s="55" t="s">
        <v>179</v>
      </c>
      <c r="L179" s="56"/>
      <c r="M179" s="47">
        <f>INDEX(itemGPerQty, MATCH(K179, itemNames, 0))</f>
        <v>0</v>
      </c>
      <c r="N179" s="47">
        <f>INDEX(itemMlPerQty, MATCH(K179, itemNames, 0))</f>
        <v>0</v>
      </c>
      <c r="O179" s="47">
        <f t="shared" si="184"/>
        <v>0</v>
      </c>
      <c r="P179" s="47">
        <f t="shared" si="185"/>
        <v>0</v>
      </c>
      <c r="Q179" s="47">
        <f>MROUND(IF(AND(J179 = "", L179 = ""), I179 * recipe10DayScale, IF(ISNA(CONVERT(O179, "kg", L179)), CONVERT(P179 * recipe10DayScale, "l", L179), CONVERT(O179 * recipe10DayScale, "kg", L179))), roundTo)</f>
        <v>3.75</v>
      </c>
      <c r="R179" s="47">
        <f>recipe10TotScale * IF(L179 = "", Q179 * M179, IF(ISNA(CONVERT(Q179, L179, "kg")), CONVERT(Q179, L179, "l") * IF(N179 &lt;&gt; 0, M179 / N179, 0), CONVERT(Q179, L179, "kg")))</f>
        <v>0</v>
      </c>
      <c r="S179" s="47">
        <f>recipe10TotScale * IF(R179 = 0, IF(L179 = "", Q179 * N179, IF(ISNA(CONVERT(Q179, L179, "l")), CONVERT(Q179, L179, "kg") * IF(M179 &lt;&gt; 0, N179 / M179, 0), CONVERT(Q179, L179, "l"))), 0)</f>
        <v>0</v>
      </c>
      <c r="T179" s="47">
        <f>recipe10TotScale * IF(AND(R179 = 0, S179 = 0, J179 = "", L179 = ""), Q179, 0)</f>
        <v>3.75</v>
      </c>
      <c r="V179" s="44" t="b">
        <f>INDEX(itemPrepMethods, MATCH(K179, itemNames, 0))="chop"</f>
        <v>0</v>
      </c>
      <c r="W179" s="57" t="str">
        <f>IF(V179, Q179, "")</f>
        <v/>
      </c>
      <c r="X179" s="58" t="str">
        <f>IF(V179, IF(L179 = "", "", L179), "")</f>
        <v/>
      </c>
      <c r="Y179" s="58" t="str">
        <f>IF(V179, K179, "")</f>
        <v/>
      </c>
      <c r="Z179" s="59"/>
      <c r="AA179" s="44" t="b">
        <f>INDEX(itemPrepMethods, MATCH(K179, itemNames, 0))="soak"</f>
        <v>0</v>
      </c>
      <c r="AB179" s="58" t="str">
        <f>IF(AA179, Q179, "")</f>
        <v/>
      </c>
      <c r="AC179" s="58" t="str">
        <f>IF(AA179, IF(L179 = "", "", L179), "")</f>
        <v/>
      </c>
      <c r="AD179" s="58" t="str">
        <f>IF(AA179, K179, "")</f>
        <v/>
      </c>
    </row>
    <row r="180" spans="1:30" x14ac:dyDescent="0.25">
      <c r="A180" s="111"/>
      <c r="B180" s="111"/>
      <c r="C180" s="111"/>
      <c r="D180" s="111"/>
      <c r="I180" s="47"/>
      <c r="L180" s="44"/>
      <c r="M180" s="44"/>
      <c r="N180" s="44"/>
      <c r="W180" s="74"/>
      <c r="X180" s="75"/>
      <c r="Y180" s="75"/>
      <c r="Z180" s="76"/>
      <c r="AA180" s="67"/>
      <c r="AB180" s="74"/>
      <c r="AC180" s="74"/>
      <c r="AD180" s="74"/>
    </row>
    <row r="181" spans="1:30" x14ac:dyDescent="0.25">
      <c r="A181" s="111" t="s">
        <v>161</v>
      </c>
      <c r="B181" s="111"/>
      <c r="C181" s="111"/>
      <c r="D181" s="111"/>
      <c r="I181" s="47"/>
      <c r="L181" s="44"/>
      <c r="M181" s="44"/>
      <c r="N181" s="44"/>
      <c r="W181" s="74"/>
      <c r="X181" s="75"/>
      <c r="Y181" s="75"/>
      <c r="Z181" s="76"/>
      <c r="AA181" s="67"/>
      <c r="AB181" s="74"/>
      <c r="AC181" s="74"/>
      <c r="AD181" s="74"/>
    </row>
    <row r="182" spans="1:30" x14ac:dyDescent="0.25">
      <c r="A182" s="40" t="s">
        <v>21</v>
      </c>
      <c r="B182" s="52">
        <f t="shared" ref="B182" si="190">Q182</f>
        <v>3</v>
      </c>
      <c r="C182" s="39" t="str">
        <f t="shared" ref="C182" si="191">IF(L182="","",L182)</f>
        <v/>
      </c>
      <c r="D182" s="92" t="str">
        <f>_xlfn.CONCAT(K182, U182)</f>
        <v>juiced limes</v>
      </c>
      <c r="I182" s="62">
        <v>4.75</v>
      </c>
      <c r="J182" s="55"/>
      <c r="K182" s="55" t="s">
        <v>395</v>
      </c>
      <c r="L182" s="56"/>
      <c r="M182" s="47">
        <f>INDEX(itemGPerQty, MATCH(K182, itemNames, 0))</f>
        <v>0</v>
      </c>
      <c r="N182" s="47">
        <f>INDEX(itemMlPerQty, MATCH(K182, itemNames, 0))</f>
        <v>0</v>
      </c>
      <c r="O182" s="47">
        <f t="shared" ref="O182:O184" si="192">IF(J182 = "", I182 * M182, IF(ISNA(CONVERT(I182, J182, "kg")), CONVERT(I182, J182, "l") * IF(N182 &lt;&gt; 0, M182 / N182, 0), CONVERT(I182, J182, "kg")))</f>
        <v>0</v>
      </c>
      <c r="P182" s="47">
        <f t="shared" ref="P182:P184" si="193">IF(J182 = "", I182 * N182, IF(ISNA(CONVERT(I182, J182, "l")), CONVERT(I182, J182, "kg") * IF(M182 &lt;&gt; 0, N182 / M182, 0), CONVERT(I182, J182, "l")))</f>
        <v>0</v>
      </c>
      <c r="Q182" s="47">
        <f>MROUND(IF(AND(J182 = "", L182 = ""), I182 * recipe10DayScale, IF(ISNA(CONVERT(O182, "kg", L182)), CONVERT(P182 * recipe10DayScale, "l", L182), CONVERT(O182 * recipe10DayScale, "kg", L182))), roundTo)</f>
        <v>3</v>
      </c>
      <c r="R182" s="47">
        <f>recipe10TotScale * IF(L182 = "", Q182 * M182, IF(ISNA(CONVERT(Q182, L182, "kg")), CONVERT(Q182, L182, "l") * IF(N182 &lt;&gt; 0, M182 / N182, 0), CONVERT(Q182, L182, "kg")))</f>
        <v>0</v>
      </c>
      <c r="S182" s="47">
        <f>recipe10TotScale * IF(R182 = 0, IF(L182 = "", Q182 * N182, IF(ISNA(CONVERT(Q182, L182, "l")), CONVERT(Q182, L182, "kg") * IF(M182 &lt;&gt; 0, N182 / M182, 0), CONVERT(Q182, L182, "l"))), 0)</f>
        <v>0</v>
      </c>
      <c r="T182" s="47">
        <f>recipe10TotScale * IF(AND(R182 = 0, S182 = 0, J182 = "", L182 = ""), Q182, 0)</f>
        <v>3</v>
      </c>
      <c r="V182" s="44" t="b">
        <f>INDEX(itemPrepMethods, MATCH(K182, itemNames, 0))="chop"</f>
        <v>1</v>
      </c>
      <c r="W182" s="57">
        <f>IF(V182, Q182, "")</f>
        <v>3</v>
      </c>
      <c r="X182" s="58" t="str">
        <f>IF(V182, IF(L182 = "", "", L182), "")</f>
        <v/>
      </c>
      <c r="Y182" s="58" t="str">
        <f>IF(V182, K182, "")</f>
        <v>juiced limes</v>
      </c>
      <c r="Z182" s="59"/>
      <c r="AA182" s="44" t="b">
        <f>INDEX(itemPrepMethods, MATCH(K182, itemNames, 0))="soak"</f>
        <v>0</v>
      </c>
      <c r="AB182" s="58" t="str">
        <f>IF(AA182, Q182, "")</f>
        <v/>
      </c>
      <c r="AC182" s="58" t="str">
        <f>IF(AA182, IF(L182 = "", "", L182), "")</f>
        <v/>
      </c>
      <c r="AD182" s="58" t="str">
        <f>IF(AA182, K182, "")</f>
        <v/>
      </c>
    </row>
    <row r="183" spans="1:30" x14ac:dyDescent="0.25">
      <c r="A183" s="40" t="s">
        <v>21</v>
      </c>
      <c r="B183" s="52">
        <f t="shared" ref="B183" si="194">Q183</f>
        <v>750</v>
      </c>
      <c r="C183" s="39" t="str">
        <f t="shared" ref="C183" si="195">IF(L183="","",L183)</f>
        <v>g</v>
      </c>
      <c r="D183" s="40" t="str">
        <f>_xlfn.CONCAT(K183, U183)</f>
        <v>green beans</v>
      </c>
      <c r="I183" s="62">
        <v>1.2</v>
      </c>
      <c r="J183" s="55" t="s">
        <v>12</v>
      </c>
      <c r="K183" s="55" t="s">
        <v>182</v>
      </c>
      <c r="L183" s="56" t="s">
        <v>0</v>
      </c>
      <c r="M183" s="47">
        <f>INDEX(itemGPerQty, MATCH(K183, itemNames, 0))</f>
        <v>0</v>
      </c>
      <c r="N183" s="47">
        <f>INDEX(itemMlPerQty, MATCH(K183, itemNames, 0))</f>
        <v>0</v>
      </c>
      <c r="O183" s="47">
        <f t="shared" si="192"/>
        <v>1.2</v>
      </c>
      <c r="P183" s="47">
        <f t="shared" si="193"/>
        <v>0</v>
      </c>
      <c r="Q183" s="47">
        <f>MROUND(IF(AND(J183 = "", L183 = ""), I183 * recipe10DayScale, IF(ISNA(CONVERT(O183, "kg", L183)), CONVERT(P183 * recipe10DayScale, "l", L183), CONVERT(O183 * recipe10DayScale, "kg", L183))), roundTo)</f>
        <v>750</v>
      </c>
      <c r="R183" s="47">
        <f>recipe10TotScale * IF(L183 = "", Q183 * M183, IF(ISNA(CONVERT(Q183, L183, "kg")), CONVERT(Q183, L183, "l") * IF(N183 &lt;&gt; 0, M183 / N183, 0), CONVERT(Q183, L183, "kg")))</f>
        <v>0.75</v>
      </c>
      <c r="S183" s="47">
        <f>recipe10TotScale * IF(R183 = 0, IF(L183 = "", Q183 * N183, IF(ISNA(CONVERT(Q183, L183, "l")), CONVERT(Q183, L183, "kg") * IF(M183 &lt;&gt; 0, N183 / M183, 0), CONVERT(Q183, L183, "l"))), 0)</f>
        <v>0</v>
      </c>
      <c r="T183" s="47">
        <f>recipe10TotScale * IF(AND(R183 = 0, S183 = 0, J183 = "", L183 = ""), Q183, 0)</f>
        <v>0</v>
      </c>
      <c r="V183" s="44" t="b">
        <f>INDEX(itemPrepMethods, MATCH(K183, itemNames, 0))="chop"</f>
        <v>0</v>
      </c>
      <c r="W183" s="57" t="str">
        <f>IF(V183, Q183, "")</f>
        <v/>
      </c>
      <c r="X183" s="58" t="str">
        <f>IF(V183, IF(L183 = "", "", L183), "")</f>
        <v/>
      </c>
      <c r="Y183" s="58" t="str">
        <f>IF(V183, K183, "")</f>
        <v/>
      </c>
      <c r="Z183" s="59"/>
      <c r="AA183" s="44" t="b">
        <f>INDEX(itemPrepMethods, MATCH(K183, itemNames, 0))="soak"</f>
        <v>0</v>
      </c>
      <c r="AB183" s="58" t="str">
        <f>IF(AA183, Q183, "")</f>
        <v/>
      </c>
      <c r="AC183" s="58" t="str">
        <f>IF(AA183, IF(L183 = "", "", L183), "")</f>
        <v/>
      </c>
      <c r="AD183" s="58" t="str">
        <f>IF(AA183, K183, "")</f>
        <v/>
      </c>
    </row>
    <row r="184" spans="1:30" x14ac:dyDescent="0.25">
      <c r="A184" s="40" t="s">
        <v>21</v>
      </c>
      <c r="B184" s="52">
        <f t="shared" ref="B184" si="196">Q184</f>
        <v>1.25</v>
      </c>
      <c r="C184" s="39" t="str">
        <f t="shared" ref="C184" si="197">IF(L184="","",L184)</f>
        <v/>
      </c>
      <c r="D184" s="40" t="str">
        <f>_xlfn.CONCAT(K184, U184)</f>
        <v>tins coconut cream</v>
      </c>
      <c r="I184" s="62">
        <v>1.9</v>
      </c>
      <c r="J184" s="55"/>
      <c r="K184" s="55" t="s">
        <v>111</v>
      </c>
      <c r="L184" s="56"/>
      <c r="M184" s="47">
        <f>INDEX(itemGPerQty, MATCH(K184, itemNames, 0))</f>
        <v>0</v>
      </c>
      <c r="N184" s="47">
        <f>INDEX(itemMlPerQty, MATCH(K184, itemNames, 0))</f>
        <v>0</v>
      </c>
      <c r="O184" s="47">
        <f t="shared" si="192"/>
        <v>0</v>
      </c>
      <c r="P184" s="47">
        <f t="shared" si="193"/>
        <v>0</v>
      </c>
      <c r="Q184" s="47">
        <f>MROUND(IF(AND(J184 = "", L184 = ""), I184 * recipe10DayScale, IF(ISNA(CONVERT(O184, "kg", L184)), CONVERT(P184 * recipe10DayScale, "l", L184), CONVERT(O184 * recipe10DayScale, "kg", L184))), roundTo)</f>
        <v>1.25</v>
      </c>
      <c r="R184" s="47">
        <f>recipe10TotScale * IF(L184 = "", Q184 * M184, IF(ISNA(CONVERT(Q184, L184, "kg")), CONVERT(Q184, L184, "l") * IF(N184 &lt;&gt; 0, M184 / N184, 0), CONVERT(Q184, L184, "kg")))</f>
        <v>0</v>
      </c>
      <c r="S184" s="47">
        <f>recipe10TotScale * IF(R184 = 0, IF(L184 = "", Q184 * N184, IF(ISNA(CONVERT(Q184, L184, "l")), CONVERT(Q184, L184, "kg") * IF(M184 &lt;&gt; 0, N184 / M184, 0), CONVERT(Q184, L184, "l"))), 0)</f>
        <v>0</v>
      </c>
      <c r="T184" s="47">
        <f>recipe10TotScale * IF(AND(R184 = 0, S184 = 0, J184 = "", L184 = ""), Q184, 0)</f>
        <v>1.25</v>
      </c>
      <c r="V184" s="44" t="b">
        <f>INDEX(itemPrepMethods, MATCH(K184, itemNames, 0))="chop"</f>
        <v>0</v>
      </c>
      <c r="W184" s="57" t="str">
        <f>IF(V184, Q184, "")</f>
        <v/>
      </c>
      <c r="X184" s="58" t="str">
        <f>IF(V184, IF(L184 = "", "", L184), "")</f>
        <v/>
      </c>
      <c r="Y184" s="58" t="str">
        <f>IF(V184, K184, "")</f>
        <v/>
      </c>
      <c r="Z184" s="59"/>
      <c r="AA184" s="44" t="b">
        <f>INDEX(itemPrepMethods, MATCH(K184, itemNames, 0))="soak"</f>
        <v>0</v>
      </c>
      <c r="AB184" s="58" t="str">
        <f>IF(AA184, Q184, "")</f>
        <v/>
      </c>
      <c r="AC184" s="58" t="str">
        <f>IF(AA184, IF(L184 = "", "", L184), "")</f>
        <v/>
      </c>
      <c r="AD184" s="58" t="str">
        <f>IF(AA184, K184, "")</f>
        <v/>
      </c>
    </row>
    <row r="185" spans="1:30" x14ac:dyDescent="0.25">
      <c r="A185" s="111"/>
      <c r="B185" s="111"/>
      <c r="C185" s="111"/>
      <c r="D185" s="111"/>
      <c r="I185" s="47"/>
      <c r="L185" s="44"/>
      <c r="M185" s="44"/>
      <c r="N185" s="44"/>
      <c r="W185" s="74"/>
      <c r="X185" s="75"/>
      <c r="Y185" s="75"/>
      <c r="Z185" s="76"/>
      <c r="AA185" s="67"/>
      <c r="AB185" s="74"/>
      <c r="AC185" s="74"/>
      <c r="AD185" s="74"/>
    </row>
    <row r="186" spans="1:30" x14ac:dyDescent="0.25">
      <c r="A186" s="111" t="s">
        <v>303</v>
      </c>
      <c r="B186" s="111"/>
      <c r="C186" s="111"/>
      <c r="D186" s="111"/>
      <c r="I186" s="47"/>
      <c r="L186" s="44"/>
      <c r="M186" s="44"/>
      <c r="N186" s="44"/>
      <c r="W186" s="74"/>
      <c r="X186" s="75"/>
      <c r="Y186" s="75"/>
      <c r="Z186" s="76"/>
      <c r="AA186" s="67"/>
      <c r="AB186" s="74"/>
      <c r="AC186" s="74"/>
      <c r="AD186" s="74"/>
    </row>
    <row r="187" spans="1:30" x14ac:dyDescent="0.25">
      <c r="A187" s="111"/>
      <c r="B187" s="111"/>
      <c r="C187" s="111"/>
      <c r="D187" s="111"/>
      <c r="I187" s="47"/>
      <c r="L187" s="44"/>
      <c r="M187" s="44"/>
      <c r="N187" s="44"/>
      <c r="W187" s="74"/>
      <c r="X187" s="75"/>
      <c r="Y187" s="75"/>
      <c r="Z187" s="76"/>
      <c r="AA187" s="67"/>
      <c r="AB187" s="74"/>
      <c r="AC187" s="74"/>
      <c r="AD187" s="74"/>
    </row>
    <row r="188" spans="1:30" x14ac:dyDescent="0.25">
      <c r="A188" s="111" t="s">
        <v>186</v>
      </c>
      <c r="B188" s="111"/>
      <c r="C188" s="111"/>
      <c r="D188" s="111"/>
      <c r="I188" s="47"/>
      <c r="L188" s="44"/>
      <c r="M188" s="44"/>
      <c r="N188" s="44"/>
      <c r="W188" s="74"/>
      <c r="X188" s="75"/>
      <c r="Y188" s="75"/>
      <c r="Z188" s="76"/>
      <c r="AA188" s="67"/>
      <c r="AB188" s="74"/>
      <c r="AC188" s="74"/>
      <c r="AD188" s="74"/>
    </row>
    <row r="189" spans="1:30" x14ac:dyDescent="0.25">
      <c r="A189" s="40" t="s">
        <v>21</v>
      </c>
      <c r="B189" s="52">
        <f t="shared" ref="B189" si="198">Q189</f>
        <v>2</v>
      </c>
      <c r="C189" s="39" t="str">
        <f t="shared" ref="C189:C191" si="199">IF(L189="","",L189)</f>
        <v>cup</v>
      </c>
      <c r="D189" s="40" t="str">
        <f>_xlfn.CONCAT(K189, U189)</f>
        <v>cashew nuts</v>
      </c>
      <c r="I189" s="62">
        <v>3</v>
      </c>
      <c r="J189" s="55" t="s">
        <v>16</v>
      </c>
      <c r="K189" s="55" t="s">
        <v>187</v>
      </c>
      <c r="L189" s="56" t="s">
        <v>16</v>
      </c>
      <c r="M189" s="47">
        <f>INDEX(itemGPerQty, MATCH(K189, itemNames, 0))</f>
        <v>0</v>
      </c>
      <c r="N189" s="47">
        <f>INDEX(itemMlPerQty, MATCH(K189, itemNames, 0))</f>
        <v>0</v>
      </c>
      <c r="O189" s="47">
        <f>IF(J189 = "", I189 * M189, IF(ISNA(CONVERT(I189, J189, "kg")), CONVERT(I189, J189, "l") * IF(N189 &lt;&gt; 0, M189 / N189, 0), CONVERT(I189, J189, "kg")))</f>
        <v>0</v>
      </c>
      <c r="P189" s="47">
        <f>IF(J189 = "", I189 * N189, IF(ISNA(CONVERT(I189, J189, "l")), CONVERT(I189, J189, "kg") * IF(M189 &lt;&gt; 0, N189 / M189, 0), CONVERT(I189, J189, "l")))</f>
        <v>0.70976470949999992</v>
      </c>
      <c r="Q189" s="47">
        <f>MROUND(IF(AND(J189 = "", L189 = ""), I189 * recipe10DayScale, IF(ISNA(CONVERT(O189, "kg", L189)), CONVERT(P189 * recipe10DayScale, "l", L189), CONVERT(O189 * recipe10DayScale, "kg", L189))), roundTo)</f>
        <v>2</v>
      </c>
      <c r="R189" s="47">
        <f>recipe10TotScale * IF(L189 = "", Q189 * M189, IF(ISNA(CONVERT(Q189, L189, "kg")), CONVERT(Q189, L189, "l") * IF(N189 &lt;&gt; 0, M189 / N189, 0), CONVERT(Q189, L189, "kg")))</f>
        <v>0</v>
      </c>
      <c r="S189" s="47">
        <f>recipe10TotScale * IF(R189 = 0, IF(L189 = "", Q189 * N189, IF(ISNA(CONVERT(Q189, L189, "l")), CONVERT(Q189, L189, "kg") * IF(M189 &lt;&gt; 0, N189 / M189, 0), CONVERT(Q189, L189, "l"))), 0)</f>
        <v>0.47317647299999999</v>
      </c>
      <c r="T189" s="47">
        <f>recipe10TotScale * IF(AND(R189 = 0, S189 = 0, J189 = "", L189 = ""), Q189, 0)</f>
        <v>0</v>
      </c>
      <c r="V189" s="44" t="b">
        <f>INDEX(itemPrepMethods, MATCH(K189, itemNames, 0))="chop"</f>
        <v>0</v>
      </c>
      <c r="W189" s="57" t="str">
        <f>IF(V189, Q189, "")</f>
        <v/>
      </c>
      <c r="X189" s="58" t="str">
        <f>IF(V189, IF(L189 = "", "", L189), "")</f>
        <v/>
      </c>
      <c r="Y189" s="58" t="str">
        <f>IF(V189, K189, "")</f>
        <v/>
      </c>
      <c r="Z189" s="59"/>
      <c r="AA189" s="44" t="b">
        <f>INDEX(itemPrepMethods, MATCH(K189, itemNames, 0))="soak"</f>
        <v>0</v>
      </c>
      <c r="AB189" s="58" t="str">
        <f>IF(AA189, Q189, "")</f>
        <v/>
      </c>
      <c r="AC189" s="58" t="str">
        <f>IF(AA189, IF(L189 = "", "", L189), "")</f>
        <v/>
      </c>
      <c r="AD189" s="58" t="str">
        <f>IF(AA189, K189, "")</f>
        <v/>
      </c>
    </row>
    <row r="190" spans="1:30" x14ac:dyDescent="0.25">
      <c r="A190" s="40" t="s">
        <v>21</v>
      </c>
      <c r="B190" s="52"/>
      <c r="C190" s="39" t="str">
        <f t="shared" si="199"/>
        <v/>
      </c>
      <c r="D190" s="40" t="str">
        <f>_xlfn.CONCAT(K190, U190)</f>
        <v>grilled tofu</v>
      </c>
      <c r="I190" s="47"/>
      <c r="L190" s="44"/>
      <c r="M190" s="44"/>
      <c r="N190" s="44"/>
      <c r="O190" s="44"/>
      <c r="P190" s="44"/>
      <c r="Q190" s="44"/>
      <c r="T190" s="44"/>
      <c r="U190" s="44" t="s">
        <v>128</v>
      </c>
      <c r="V190" s="67"/>
      <c r="W190" s="74"/>
      <c r="X190" s="75"/>
      <c r="Y190" s="75"/>
      <c r="Z190" s="76"/>
      <c r="AA190" s="67"/>
      <c r="AB190" s="74"/>
      <c r="AC190" s="74"/>
      <c r="AD190" s="74"/>
    </row>
    <row r="191" spans="1:30" x14ac:dyDescent="0.25">
      <c r="A191" s="40" t="s">
        <v>21</v>
      </c>
      <c r="B191" s="52"/>
      <c r="C191" s="39" t="str">
        <f t="shared" si="199"/>
        <v/>
      </c>
      <c r="D191" s="40" t="str">
        <f>_xlfn.CONCAT(K191, U191)</f>
        <v>sprigs fresh corriander, for garnish</v>
      </c>
      <c r="I191" s="63"/>
      <c r="J191" s="60"/>
      <c r="K191" s="55" t="s">
        <v>87</v>
      </c>
      <c r="L191" s="60"/>
      <c r="M191" s="60"/>
      <c r="N191" s="60"/>
      <c r="O191" s="60"/>
      <c r="P191" s="60"/>
      <c r="U191" s="44" t="s">
        <v>218</v>
      </c>
      <c r="V191" s="44" t="b">
        <f>INDEX(itemPrepMethods, MATCH(K191, itemNames, 0))="chop"</f>
        <v>0</v>
      </c>
      <c r="W191" s="57" t="str">
        <f>IF(V191, Q191, "")</f>
        <v/>
      </c>
      <c r="X191" s="58" t="str">
        <f>IF(V191, IF(L191 = "", "", L191), "")</f>
        <v/>
      </c>
      <c r="Y191" s="58" t="str">
        <f>IF(V191, K191, "")</f>
        <v/>
      </c>
      <c r="Z191" s="59"/>
      <c r="AA191" s="44" t="b">
        <f>INDEX(itemPrepMethods, MATCH(K191, itemNames, 0))="soak"</f>
        <v>0</v>
      </c>
      <c r="AB191" s="58" t="str">
        <f>IF(AA191, Q191, "")</f>
        <v/>
      </c>
      <c r="AC191" s="58" t="str">
        <f>IF(AA191, IF(L191 = "", "", L191), "")</f>
        <v/>
      </c>
      <c r="AD191" s="58" t="str">
        <f>IF(AA191, K191, "")</f>
        <v/>
      </c>
    </row>
    <row r="192" spans="1:30" ht="15.75" x14ac:dyDescent="0.25">
      <c r="A192" s="110" t="s">
        <v>29</v>
      </c>
      <c r="B192" s="110"/>
      <c r="C192" s="110"/>
      <c r="D192" s="110"/>
      <c r="E192" s="43" t="s">
        <v>136</v>
      </c>
      <c r="F192" s="104" t="s">
        <v>82</v>
      </c>
      <c r="G192" s="104"/>
      <c r="H192" s="47"/>
    </row>
    <row r="193" spans="1:30" ht="24" x14ac:dyDescent="0.2">
      <c r="A193" s="110" t="s">
        <v>259</v>
      </c>
      <c r="B193" s="110"/>
      <c r="C193" s="110"/>
      <c r="D193" s="110"/>
      <c r="E193" s="42" t="s">
        <v>56</v>
      </c>
      <c r="F193" s="90">
        <v>15</v>
      </c>
      <c r="G193" s="47"/>
      <c r="H193" s="47"/>
      <c r="I193" s="70" t="s">
        <v>448</v>
      </c>
      <c r="J193" s="71" t="s">
        <v>449</v>
      </c>
      <c r="K193" s="71" t="s">
        <v>17</v>
      </c>
      <c r="L193" s="72" t="s">
        <v>452</v>
      </c>
      <c r="M193" s="70" t="s">
        <v>148</v>
      </c>
      <c r="N193" s="70" t="s">
        <v>149</v>
      </c>
      <c r="O193" s="70" t="s">
        <v>450</v>
      </c>
      <c r="P193" s="70" t="s">
        <v>451</v>
      </c>
      <c r="Q193" s="71" t="s">
        <v>364</v>
      </c>
      <c r="R193" s="70" t="s">
        <v>365</v>
      </c>
      <c r="S193" s="70" t="s">
        <v>366</v>
      </c>
      <c r="T193" s="70" t="s">
        <v>367</v>
      </c>
      <c r="U193" s="71" t="s">
        <v>22</v>
      </c>
      <c r="V193" s="71" t="s">
        <v>212</v>
      </c>
      <c r="W193" s="73" t="s">
        <v>364</v>
      </c>
      <c r="X193" s="71" t="s">
        <v>210</v>
      </c>
      <c r="Y193" s="71" t="s">
        <v>211</v>
      </c>
      <c r="Z193" s="71" t="s">
        <v>313</v>
      </c>
      <c r="AA193" s="71" t="s">
        <v>213</v>
      </c>
      <c r="AB193" s="73" t="s">
        <v>364</v>
      </c>
      <c r="AC193" s="71" t="s">
        <v>214</v>
      </c>
      <c r="AD193" s="71" t="s">
        <v>215</v>
      </c>
    </row>
    <row r="194" spans="1:30" ht="15.75" thickBot="1" x14ac:dyDescent="0.3">
      <c r="A194" s="111"/>
      <c r="B194" s="111"/>
      <c r="C194" s="111"/>
      <c r="D194" s="111"/>
      <c r="E194" s="66" t="s">
        <v>359</v>
      </c>
      <c r="F194" s="90">
        <f>moDiCount</f>
        <v>10</v>
      </c>
      <c r="G194" s="47"/>
      <c r="H194" s="47"/>
      <c r="I194" s="63"/>
      <c r="J194" s="42"/>
      <c r="K194" s="42"/>
      <c r="L194" s="64"/>
      <c r="M194" s="63"/>
      <c r="N194" s="63"/>
      <c r="O194" s="63"/>
      <c r="P194" s="63"/>
      <c r="Q194" s="42"/>
      <c r="R194" s="63"/>
      <c r="S194" s="63"/>
      <c r="T194" s="63"/>
      <c r="U194" s="42"/>
      <c r="V194" s="42"/>
      <c r="W194" s="60"/>
      <c r="X194" s="42"/>
      <c r="Y194" s="42"/>
      <c r="Z194" s="41"/>
      <c r="AA194" s="42"/>
      <c r="AB194" s="42"/>
      <c r="AC194" s="42"/>
      <c r="AD194" s="42"/>
    </row>
    <row r="195" spans="1:30" ht="15.75" thickBot="1" x14ac:dyDescent="0.3">
      <c r="A195" s="111" t="s">
        <v>260</v>
      </c>
      <c r="B195" s="111"/>
      <c r="C195" s="111"/>
      <c r="D195" s="111"/>
      <c r="E195" s="66" t="s">
        <v>362</v>
      </c>
      <c r="F195" s="50">
        <f>F194/F193</f>
        <v>0.66666666666666663</v>
      </c>
      <c r="G195" s="51" t="s">
        <v>380</v>
      </c>
      <c r="H195" s="53"/>
      <c r="I195" s="47"/>
    </row>
    <row r="196" spans="1:30" x14ac:dyDescent="0.25">
      <c r="A196" s="40" t="s">
        <v>21</v>
      </c>
      <c r="B196" s="52">
        <f>Q196</f>
        <v>3</v>
      </c>
      <c r="C196" s="39" t="str">
        <f>IF(L196="","",L196)</f>
        <v>l</v>
      </c>
      <c r="D196" s="40" t="str">
        <f>_xlfn.CONCAT(K196, U196)</f>
        <v>vegetable stock</v>
      </c>
      <c r="E196" s="67"/>
      <c r="F196" s="67"/>
      <c r="G196" s="67"/>
      <c r="I196" s="54">
        <v>4.5</v>
      </c>
      <c r="J196" s="55" t="s">
        <v>57</v>
      </c>
      <c r="K196" s="55" t="s">
        <v>58</v>
      </c>
      <c r="L196" s="56" t="s">
        <v>57</v>
      </c>
      <c r="M196" s="47">
        <f>INDEX(itemGPerQty, MATCH(K196, itemNames, 0))</f>
        <v>0</v>
      </c>
      <c r="N196" s="47">
        <f>INDEX(itemMlPerQty, MATCH(K196, itemNames, 0))</f>
        <v>0</v>
      </c>
      <c r="O196" s="47">
        <f>IF(J196 = "", I196 * M196, IF(ISNA(CONVERT(I196, J196, "kg")), CONVERT(I196, J196, "l") * IF(N196 &lt;&gt; 0, M196 / N196, 0), CONVERT(I196, J196, "kg")))</f>
        <v>0</v>
      </c>
      <c r="P196" s="47">
        <f>IF(J196 = "", I196 * N196, IF(ISNA(CONVERT(I196, J196, "l")), CONVERT(I196, J196, "kg") * IF(M196 &lt;&gt; 0, N196 / M196, 0), CONVERT(I196, J196, "l")))</f>
        <v>4.5</v>
      </c>
      <c r="Q196" s="47">
        <f>MROUND(IF(AND(J196 = "", L196 = ""), I196 * recipe05DayScale, IF(ISNA(CONVERT(O196, "kg", L196)), CONVERT(P196 * recipe05DayScale, "l", L196), CONVERT(O196 * recipe05DayScale, "kg", L196))), roundTo)</f>
        <v>3</v>
      </c>
      <c r="R196" s="47">
        <f>recipe05TotScale * IF(L196 = "", Q196 * M196, IF(ISNA(CONVERT(Q196, L196, "kg")), CONVERT(Q196, L196, "l") * IF(N196 &lt;&gt; 0, M196 / N196, 0), CONVERT(Q196, L196, "kg")))</f>
        <v>0</v>
      </c>
      <c r="S196" s="47">
        <f>recipe05TotScale * IF(R196 = 0, IF(L196 = "", Q196 * N196, IF(ISNA(CONVERT(Q196, L196, "l")), CONVERT(Q196, L196, "kg") * IF(M196 &lt;&gt; 0, N196 / M196, 0), CONVERT(Q196, L196, "l"))), 0)</f>
        <v>3</v>
      </c>
      <c r="T196" s="47">
        <f>recipe05TotScale * IF(AND(R196 = 0, S196 = 0, J196 = "", L196 = ""), Q196, 0)</f>
        <v>0</v>
      </c>
      <c r="V196" s="44" t="b">
        <f>INDEX(itemPrepMethods, MATCH(K196, itemNames, 0))="chop"</f>
        <v>0</v>
      </c>
      <c r="W196" s="57" t="str">
        <f>IF(V196, Q196, "")</f>
        <v/>
      </c>
      <c r="X196" s="58" t="str">
        <f>IF(V196, IF(L196 = "", "", L196), "")</f>
        <v/>
      </c>
      <c r="Y196" s="58" t="str">
        <f>IF(V196, K196, "")</f>
        <v/>
      </c>
      <c r="Z196" s="59"/>
      <c r="AA196" s="44" t="b">
        <f>INDEX(itemPrepMethods, MATCH(K196, itemNames, 0))="soak"</f>
        <v>0</v>
      </c>
      <c r="AB196" s="58" t="str">
        <f>IF(AA196, Q196, "")</f>
        <v/>
      </c>
      <c r="AC196" s="58" t="str">
        <f>IF(AA196, IF(L196 = "", "", L196), "")</f>
        <v/>
      </c>
      <c r="AD196" s="58" t="str">
        <f>IF(AA196, K196, "")</f>
        <v/>
      </c>
    </row>
    <row r="197" spans="1:30" ht="16.5" thickBot="1" x14ac:dyDescent="0.3">
      <c r="A197" s="112"/>
      <c r="B197" s="112"/>
      <c r="C197" s="112"/>
      <c r="D197" s="112"/>
      <c r="E197" s="66" t="s">
        <v>338</v>
      </c>
      <c r="F197" s="90">
        <f>moDiCount</f>
        <v>10</v>
      </c>
      <c r="G197" s="67"/>
      <c r="H197" s="47"/>
      <c r="I197" s="63"/>
      <c r="J197" s="42"/>
      <c r="K197" s="42"/>
      <c r="L197" s="64"/>
      <c r="M197" s="63"/>
      <c r="N197" s="63"/>
      <c r="O197" s="63"/>
      <c r="P197" s="63"/>
      <c r="Q197" s="42"/>
      <c r="R197" s="63"/>
      <c r="S197" s="63"/>
      <c r="T197" s="63"/>
      <c r="U197" s="42"/>
      <c r="W197" s="74"/>
      <c r="X197" s="74"/>
      <c r="Y197" s="74"/>
      <c r="Z197" s="74"/>
      <c r="AA197" s="67"/>
      <c r="AB197" s="74"/>
      <c r="AC197" s="74"/>
      <c r="AD197" s="74"/>
    </row>
    <row r="198" spans="1:30" ht="15.75" thickBot="1" x14ac:dyDescent="0.3">
      <c r="A198" s="111" t="s">
        <v>124</v>
      </c>
      <c r="B198" s="111"/>
      <c r="C198" s="111"/>
      <c r="D198" s="111"/>
      <c r="E198" s="66" t="s">
        <v>363</v>
      </c>
      <c r="F198" s="50">
        <f>F197/F194</f>
        <v>1</v>
      </c>
      <c r="G198" s="51" t="s">
        <v>381</v>
      </c>
      <c r="H198" s="47"/>
      <c r="I198" s="63"/>
      <c r="J198" s="42"/>
      <c r="K198" s="42"/>
      <c r="L198" s="64"/>
      <c r="M198" s="63"/>
      <c r="N198" s="63"/>
      <c r="O198" s="63"/>
      <c r="P198" s="63"/>
      <c r="Q198" s="42"/>
      <c r="R198" s="63"/>
      <c r="S198" s="63"/>
      <c r="T198" s="63"/>
      <c r="U198" s="42"/>
      <c r="W198" s="74"/>
      <c r="X198" s="74"/>
      <c r="Y198" s="74"/>
      <c r="Z198" s="74"/>
      <c r="AA198" s="67"/>
      <c r="AB198" s="74"/>
      <c r="AC198" s="74"/>
      <c r="AD198" s="74"/>
    </row>
    <row r="199" spans="1:30" x14ac:dyDescent="0.25">
      <c r="A199" s="40" t="s">
        <v>21</v>
      </c>
      <c r="B199" s="52">
        <f t="shared" ref="B199:B214" si="200">Q199</f>
        <v>16</v>
      </c>
      <c r="C199" s="39" t="str">
        <f t="shared" ref="C199:C223" si="201">IF(L199="","",L199)</f>
        <v/>
      </c>
      <c r="D199" s="40" t="str">
        <f>_xlfn.CONCAT(K199, U199)</f>
        <v>chopped kumara</v>
      </c>
      <c r="I199" s="54">
        <v>24</v>
      </c>
      <c r="J199" s="55"/>
      <c r="K199" s="55" t="s">
        <v>158</v>
      </c>
      <c r="L199" s="56"/>
      <c r="M199" s="47">
        <f t="shared" ref="M199:M214" si="202">INDEX(itemGPerQty, MATCH(K199, itemNames, 0))</f>
        <v>0.34</v>
      </c>
      <c r="N199" s="47">
        <f t="shared" ref="N199:N214" si="203">INDEX(itemMlPerQty, MATCH(K199, itemNames, 0))</f>
        <v>0</v>
      </c>
      <c r="O199" s="47">
        <f t="shared" ref="O199:O214" si="204">IF(J199 = "", I199 * M199, IF(ISNA(CONVERT(I199, J199, "kg")), CONVERT(I199, J199, "l") * IF(N199 &lt;&gt; 0, M199 / N199, 0), CONVERT(I199, J199, "kg")))</f>
        <v>8.16</v>
      </c>
      <c r="P199" s="47">
        <f t="shared" ref="P199:P214" si="205">IF(J199 = "", I199 * N199, IF(ISNA(CONVERT(I199, J199, "l")), CONVERT(I199, J199, "kg") * IF(M199 &lt;&gt; 0, N199 / M199, 0), CONVERT(I199, J199, "l")))</f>
        <v>0</v>
      </c>
      <c r="Q199" s="47">
        <f>MROUND(IF(AND(J199 = "", L199 = ""), I199 * recipe05DayScale, IF(ISNA(CONVERT(O199, "kg", L199)), CONVERT(P199 * recipe05DayScale, "l", L199), CONVERT(O199 * recipe05DayScale, "kg", L199))), roundTo)</f>
        <v>16</v>
      </c>
      <c r="R199" s="47">
        <f>recipe05TotScale * IF(L199 = "", Q199 * M199, IF(ISNA(CONVERT(Q199, L199, "kg")), CONVERT(Q199, L199, "l") * IF(N199 &lt;&gt; 0, M199 / N199, 0), CONVERT(Q199, L199, "kg")))</f>
        <v>5.44</v>
      </c>
      <c r="S199" s="47">
        <f>recipe05TotScale * IF(R199 = 0, IF(L199 = "", Q199 * N199, IF(ISNA(CONVERT(Q199, L199, "l")), CONVERT(Q199, L199, "kg") * IF(M199 &lt;&gt; 0, N199 / M199, 0), CONVERT(Q199, L199, "l"))), 0)</f>
        <v>0</v>
      </c>
      <c r="T199" s="47">
        <f>recipe05TotScale * IF(AND(R199 = 0, S199 = 0, J199 = "", L199 = ""), Q199, 0)</f>
        <v>0</v>
      </c>
      <c r="V199" s="44" t="b">
        <f>INDEX(itemPrepMethods, MATCH(K199, itemNames, 0))="chop"</f>
        <v>1</v>
      </c>
      <c r="W199" s="57">
        <f>IF(V199, Q199, "")</f>
        <v>16</v>
      </c>
      <c r="X199" s="58" t="str">
        <f>IF(V199, IF(L199 = "", "", L199), "")</f>
        <v/>
      </c>
      <c r="Y199" s="58" t="str">
        <f>IF(V199, K199, "")</f>
        <v>chopped kumara</v>
      </c>
      <c r="Z199" s="59"/>
      <c r="AA199" s="44" t="b">
        <f>INDEX(itemPrepMethods, MATCH(K199, itemNames, 0))="soak"</f>
        <v>0</v>
      </c>
      <c r="AB199" s="58" t="str">
        <f>IF(AA199, Q199, "")</f>
        <v/>
      </c>
      <c r="AC199" s="58" t="str">
        <f>IF(AA199, IF(L199 = "", "", L199), "")</f>
        <v/>
      </c>
      <c r="AD199" s="58" t="str">
        <f>IF(AA199, K199, "")</f>
        <v/>
      </c>
    </row>
    <row r="200" spans="1:30" x14ac:dyDescent="0.25">
      <c r="A200" s="40" t="s">
        <v>21</v>
      </c>
      <c r="B200" s="52">
        <f t="shared" si="200"/>
        <v>8</v>
      </c>
      <c r="C200" s="39" t="str">
        <f t="shared" si="201"/>
        <v/>
      </c>
      <c r="D200" s="40" t="str">
        <f>_xlfn.CONCAT(K200, U200)</f>
        <v>chopped carrots</v>
      </c>
      <c r="I200" s="54">
        <v>12</v>
      </c>
      <c r="J200" s="55"/>
      <c r="K200" s="55" t="s">
        <v>5</v>
      </c>
      <c r="L200" s="56"/>
      <c r="M200" s="47">
        <f t="shared" si="202"/>
        <v>0.14833333333333334</v>
      </c>
      <c r="N200" s="47">
        <f t="shared" si="203"/>
        <v>0.19999999999999998</v>
      </c>
      <c r="O200" s="47">
        <f t="shared" si="204"/>
        <v>1.7800000000000002</v>
      </c>
      <c r="P200" s="47">
        <f t="shared" si="205"/>
        <v>2.4</v>
      </c>
      <c r="Q200" s="47">
        <f>MROUND(IF(AND(J200 = "", L200 = ""), I200 * recipe05DayScale, IF(ISNA(CONVERT(O200, "kg", L200)), CONVERT(P200 * recipe05DayScale, "l", L200), CONVERT(O200 * recipe05DayScale, "kg", L200))), roundTo)</f>
        <v>8</v>
      </c>
      <c r="R200" s="47">
        <f>recipe05TotScale * IF(L200 = "", Q200 * M200, IF(ISNA(CONVERT(Q200, L200, "kg")), CONVERT(Q200, L200, "l") * IF(N200 &lt;&gt; 0, M200 / N200, 0), CONVERT(Q200, L200, "kg")))</f>
        <v>1.1866666666666668</v>
      </c>
      <c r="S200" s="47">
        <f>recipe05TotScale * IF(R200 = 0, IF(L200 = "", Q200 * N200, IF(ISNA(CONVERT(Q200, L200, "l")), CONVERT(Q200, L200, "kg") * IF(M200 &lt;&gt; 0, N200 / M200, 0), CONVERT(Q200, L200, "l"))), 0)</f>
        <v>0</v>
      </c>
      <c r="T200" s="47">
        <f>recipe05TotScale * IF(AND(R200 = 0, S200 = 0, J200 = "", L200 = ""), Q200, 0)</f>
        <v>0</v>
      </c>
      <c r="V200" s="44" t="b">
        <f>INDEX(itemPrepMethods, MATCH(K200, itemNames, 0))="chop"</f>
        <v>1</v>
      </c>
      <c r="W200" s="57">
        <f>IF(V200, Q200, "")</f>
        <v>8</v>
      </c>
      <c r="X200" s="58" t="str">
        <f>IF(V200, IF(L200 = "", "", L200), "")</f>
        <v/>
      </c>
      <c r="Y200" s="58" t="str">
        <f>IF(V200, K200, "")</f>
        <v>chopped carrots</v>
      </c>
      <c r="Z200" s="59"/>
      <c r="AA200" s="44" t="b">
        <f>INDEX(itemPrepMethods, MATCH(K200, itemNames, 0))="soak"</f>
        <v>0</v>
      </c>
      <c r="AB200" s="58" t="str">
        <f>IF(AA200, Q200, "")</f>
        <v/>
      </c>
      <c r="AC200" s="58" t="str">
        <f>IF(AA200, IF(L200 = "", "", L200), "")</f>
        <v/>
      </c>
      <c r="AD200" s="58" t="str">
        <f>IF(AA200, K200, "")</f>
        <v/>
      </c>
    </row>
    <row r="201" spans="1:30" x14ac:dyDescent="0.25">
      <c r="A201" s="40" t="s">
        <v>21</v>
      </c>
      <c r="B201" s="52"/>
      <c r="C201" s="39" t="str">
        <f>IF(L201="","",L201)</f>
        <v/>
      </c>
      <c r="D201" s="40" t="str">
        <f>_xlfn.CONCAT(K201, U201)</f>
        <v>water, ONLY IF REQUIRED to completely cover vegetables</v>
      </c>
      <c r="I201" s="47"/>
      <c r="K201" s="55" t="s">
        <v>48</v>
      </c>
      <c r="L201" s="44"/>
      <c r="M201" s="44"/>
      <c r="N201" s="44"/>
      <c r="O201" s="44"/>
      <c r="P201" s="44"/>
      <c r="U201" s="44" t="s">
        <v>261</v>
      </c>
      <c r="V201" s="44" t="b">
        <f>INDEX(itemPrepMethods, MATCH(K201, itemNames, 0))="chop"</f>
        <v>0</v>
      </c>
      <c r="W201" s="57" t="str">
        <f>IF(V201, Q201, "")</f>
        <v/>
      </c>
      <c r="X201" s="58" t="str">
        <f>IF(V201, IF(L201 = "", "", L201), "")</f>
        <v/>
      </c>
      <c r="Y201" s="58" t="str">
        <f>IF(V201, K201, "")</f>
        <v/>
      </c>
      <c r="Z201" s="59"/>
      <c r="AA201" s="44" t="b">
        <f>INDEX(itemPrepMethods, MATCH(K201, itemNames, 0))="soak"</f>
        <v>0</v>
      </c>
      <c r="AB201" s="58" t="str">
        <f>IF(AA201, Q201, "")</f>
        <v/>
      </c>
      <c r="AC201" s="58" t="str">
        <f>IF(AA201, IF(L201 = "", "", L201), "")</f>
        <v/>
      </c>
      <c r="AD201" s="58" t="str">
        <f>IF(AA201, K201, "")</f>
        <v/>
      </c>
    </row>
    <row r="202" spans="1:30" ht="15.75" x14ac:dyDescent="0.25">
      <c r="A202" s="112"/>
      <c r="B202" s="112"/>
      <c r="C202" s="112"/>
      <c r="D202" s="112"/>
      <c r="E202" s="42"/>
      <c r="F202" s="42"/>
      <c r="G202" s="47"/>
      <c r="H202" s="47"/>
      <c r="I202" s="63"/>
      <c r="J202" s="42"/>
      <c r="K202" s="42"/>
      <c r="L202" s="64"/>
      <c r="M202" s="63"/>
      <c r="N202" s="63"/>
      <c r="O202" s="63"/>
      <c r="P202" s="63"/>
      <c r="Q202" s="42"/>
      <c r="R202" s="63"/>
      <c r="S202" s="63"/>
      <c r="T202" s="63"/>
      <c r="U202" s="42"/>
      <c r="W202" s="74"/>
      <c r="X202" s="74"/>
      <c r="Y202" s="74"/>
      <c r="Z202" s="74"/>
      <c r="AA202" s="67"/>
      <c r="AB202" s="74"/>
      <c r="AC202" s="74"/>
      <c r="AD202" s="74"/>
    </row>
    <row r="203" spans="1:30" x14ac:dyDescent="0.25">
      <c r="A203" s="111" t="s">
        <v>262</v>
      </c>
      <c r="B203" s="111"/>
      <c r="C203" s="111"/>
      <c r="D203" s="111"/>
      <c r="E203" s="42"/>
      <c r="F203" s="42"/>
      <c r="G203" s="47"/>
      <c r="H203" s="47"/>
      <c r="I203" s="63"/>
      <c r="J203" s="42"/>
      <c r="K203" s="42"/>
      <c r="L203" s="64"/>
      <c r="M203" s="63"/>
      <c r="N203" s="63"/>
      <c r="O203" s="63"/>
      <c r="P203" s="63"/>
      <c r="Q203" s="42"/>
      <c r="R203" s="63"/>
      <c r="S203" s="63"/>
      <c r="T203" s="63"/>
      <c r="U203" s="42"/>
      <c r="W203" s="74"/>
      <c r="X203" s="74"/>
      <c r="Y203" s="74"/>
      <c r="Z203" s="74"/>
      <c r="AA203" s="67"/>
      <c r="AB203" s="74"/>
      <c r="AC203" s="74"/>
      <c r="AD203" s="74"/>
    </row>
    <row r="204" spans="1:30" ht="15.75" x14ac:dyDescent="0.25">
      <c r="A204" s="112"/>
      <c r="B204" s="112"/>
      <c r="C204" s="112"/>
      <c r="D204" s="112"/>
      <c r="E204" s="42"/>
      <c r="F204" s="42"/>
      <c r="G204" s="47"/>
      <c r="H204" s="47"/>
      <c r="I204" s="63"/>
      <c r="J204" s="42"/>
      <c r="K204" s="42"/>
      <c r="L204" s="64"/>
      <c r="M204" s="63"/>
      <c r="N204" s="63"/>
      <c r="O204" s="63"/>
      <c r="P204" s="63"/>
      <c r="Q204" s="42"/>
      <c r="R204" s="63"/>
      <c r="S204" s="63"/>
      <c r="T204" s="63"/>
      <c r="U204" s="42"/>
      <c r="W204" s="74"/>
      <c r="X204" s="74"/>
      <c r="Y204" s="74"/>
      <c r="Z204" s="74"/>
      <c r="AA204" s="67"/>
      <c r="AB204" s="74"/>
      <c r="AC204" s="74"/>
      <c r="AD204" s="74"/>
    </row>
    <row r="205" spans="1:30" x14ac:dyDescent="0.25">
      <c r="A205" s="111" t="s">
        <v>269</v>
      </c>
      <c r="B205" s="111"/>
      <c r="C205" s="111"/>
      <c r="D205" s="111"/>
      <c r="E205" s="42"/>
      <c r="F205" s="42"/>
      <c r="G205" s="47"/>
      <c r="H205" s="47"/>
      <c r="I205" s="63"/>
      <c r="J205" s="42"/>
      <c r="K205" s="42"/>
      <c r="L205" s="64"/>
      <c r="M205" s="63"/>
      <c r="N205" s="63"/>
      <c r="O205" s="63"/>
      <c r="P205" s="63"/>
      <c r="Q205" s="42"/>
      <c r="R205" s="63"/>
      <c r="S205" s="63"/>
      <c r="T205" s="63"/>
      <c r="U205" s="42"/>
      <c r="W205" s="74"/>
      <c r="X205" s="74"/>
      <c r="Y205" s="74"/>
      <c r="Z205" s="74"/>
      <c r="AA205" s="67"/>
      <c r="AB205" s="74"/>
      <c r="AC205" s="74"/>
      <c r="AD205" s="74"/>
    </row>
    <row r="206" spans="1:30" ht="15.75" x14ac:dyDescent="0.25">
      <c r="A206" s="112"/>
      <c r="B206" s="112"/>
      <c r="C206" s="112"/>
      <c r="D206" s="112"/>
      <c r="E206" s="42"/>
      <c r="F206" s="42"/>
      <c r="G206" s="47"/>
      <c r="H206" s="47"/>
      <c r="I206" s="63"/>
      <c r="J206" s="42"/>
      <c r="K206" s="42"/>
      <c r="L206" s="64"/>
      <c r="M206" s="63"/>
      <c r="N206" s="63"/>
      <c r="O206" s="63"/>
      <c r="P206" s="63"/>
      <c r="Q206" s="42"/>
      <c r="R206" s="63"/>
      <c r="S206" s="63"/>
      <c r="T206" s="63"/>
      <c r="U206" s="42"/>
      <c r="W206" s="74"/>
      <c r="X206" s="74"/>
      <c r="Y206" s="74"/>
      <c r="Z206" s="74"/>
      <c r="AA206" s="67"/>
      <c r="AB206" s="74"/>
      <c r="AC206" s="74"/>
      <c r="AD206" s="74"/>
    </row>
    <row r="207" spans="1:30" x14ac:dyDescent="0.25">
      <c r="A207" s="111" t="s">
        <v>263</v>
      </c>
      <c r="B207" s="111"/>
      <c r="C207" s="111"/>
      <c r="D207" s="111"/>
      <c r="E207" s="42"/>
      <c r="F207" s="42"/>
      <c r="G207" s="47"/>
      <c r="H207" s="47"/>
      <c r="I207" s="63"/>
      <c r="J207" s="42"/>
      <c r="K207" s="42"/>
      <c r="L207" s="64"/>
      <c r="M207" s="63"/>
      <c r="N207" s="63"/>
      <c r="O207" s="63"/>
      <c r="P207" s="63"/>
      <c r="Q207" s="42"/>
      <c r="R207" s="63"/>
      <c r="S207" s="63"/>
      <c r="T207" s="63"/>
      <c r="U207" s="42"/>
      <c r="W207" s="74"/>
      <c r="X207" s="74"/>
      <c r="Y207" s="74"/>
      <c r="Z207" s="74"/>
      <c r="AA207" s="67"/>
      <c r="AB207" s="74"/>
      <c r="AC207" s="74"/>
      <c r="AD207" s="74"/>
    </row>
    <row r="208" spans="1:30" x14ac:dyDescent="0.25">
      <c r="A208" s="40" t="s">
        <v>21</v>
      </c>
      <c r="B208" s="52">
        <f t="shared" si="200"/>
        <v>2</v>
      </c>
      <c r="C208" s="39" t="str">
        <f t="shared" si="201"/>
        <v/>
      </c>
      <c r="D208" s="40" t="str">
        <f>_xlfn.CONCAT(K208, U208)</f>
        <v>tins creamed corn</v>
      </c>
      <c r="I208" s="54">
        <v>3</v>
      </c>
      <c r="J208" s="55"/>
      <c r="K208" s="55" t="s">
        <v>74</v>
      </c>
      <c r="L208" s="56"/>
      <c r="M208" s="47">
        <f t="shared" si="202"/>
        <v>0</v>
      </c>
      <c r="N208" s="47">
        <f t="shared" si="203"/>
        <v>0</v>
      </c>
      <c r="O208" s="47">
        <f t="shared" si="204"/>
        <v>0</v>
      </c>
      <c r="P208" s="47">
        <f t="shared" si="205"/>
        <v>0</v>
      </c>
      <c r="Q208" s="47">
        <f>MROUND(IF(AND(J208 = "", L208 = ""), I208 * recipe05DayScale, IF(ISNA(CONVERT(O208, "kg", L208)), CONVERT(P208 * recipe05DayScale, "l", L208), CONVERT(O208 * recipe05DayScale, "kg", L208))), roundTo)</f>
        <v>2</v>
      </c>
      <c r="R208" s="47">
        <f>recipe05TotScale * IF(L208 = "", Q208 * M208, IF(ISNA(CONVERT(Q208, L208, "kg")), CONVERT(Q208, L208, "l") * IF(N208 &lt;&gt; 0, M208 / N208, 0), CONVERT(Q208, L208, "kg")))</f>
        <v>0</v>
      </c>
      <c r="S208" s="47">
        <f>recipe05TotScale * IF(R208 = 0, IF(L208 = "", Q208 * N208, IF(ISNA(CONVERT(Q208, L208, "l")), CONVERT(Q208, L208, "kg") * IF(M208 &lt;&gt; 0, N208 / M208, 0), CONVERT(Q208, L208, "l"))), 0)</f>
        <v>0</v>
      </c>
      <c r="T208" s="47">
        <f>recipe05TotScale * IF(AND(R208 = 0, S208 = 0, J208 = "", L208 = ""), Q208, 0)</f>
        <v>2</v>
      </c>
      <c r="V208" s="44" t="b">
        <f>INDEX(itemPrepMethods, MATCH(K208, itemNames, 0))="chop"</f>
        <v>0</v>
      </c>
      <c r="W208" s="57" t="str">
        <f>IF(V208, Q208, "")</f>
        <v/>
      </c>
      <c r="X208" s="58" t="str">
        <f>IF(V208, IF(L208 = "", "", L208), "")</f>
        <v/>
      </c>
      <c r="Y208" s="58" t="str">
        <f>IF(V208, K208, "")</f>
        <v/>
      </c>
      <c r="Z208" s="59"/>
      <c r="AA208" s="44" t="b">
        <f>INDEX(itemPrepMethods, MATCH(K208, itemNames, 0))="soak"</f>
        <v>0</v>
      </c>
      <c r="AB208" s="58" t="str">
        <f>IF(AA208, Q208, "")</f>
        <v/>
      </c>
      <c r="AC208" s="58" t="str">
        <f>IF(AA208, IF(L208 = "", "", L208), "")</f>
        <v/>
      </c>
      <c r="AD208" s="58" t="str">
        <f>IF(AA208, K208, "")</f>
        <v/>
      </c>
    </row>
    <row r="209" spans="1:30" x14ac:dyDescent="0.25">
      <c r="A209" s="40" t="s">
        <v>21</v>
      </c>
      <c r="B209" s="52">
        <f t="shared" si="200"/>
        <v>5.25</v>
      </c>
      <c r="C209" s="39" t="str">
        <f t="shared" si="201"/>
        <v>tbs</v>
      </c>
      <c r="D209" s="40" t="str">
        <f>_xlfn.CONCAT(K209, U209)</f>
        <v>dijon mustard</v>
      </c>
      <c r="I209" s="54">
        <v>8</v>
      </c>
      <c r="J209" s="55" t="s">
        <v>15</v>
      </c>
      <c r="K209" s="55" t="s">
        <v>75</v>
      </c>
      <c r="L209" s="56" t="s">
        <v>15</v>
      </c>
      <c r="M209" s="47">
        <f t="shared" si="202"/>
        <v>0</v>
      </c>
      <c r="N209" s="47">
        <f t="shared" si="203"/>
        <v>0</v>
      </c>
      <c r="O209" s="47">
        <f t="shared" si="204"/>
        <v>0</v>
      </c>
      <c r="P209" s="47">
        <f t="shared" si="205"/>
        <v>0.11829411825</v>
      </c>
      <c r="Q209" s="47">
        <f>MROUND(IF(AND(J209 = "", L209 = ""), I209 * recipe05DayScale, IF(ISNA(CONVERT(O209, "kg", L209)), CONVERT(P209 * recipe05DayScale, "l", L209), CONVERT(O209 * recipe05DayScale, "kg", L209))), roundTo)</f>
        <v>5.25</v>
      </c>
      <c r="R209" s="47">
        <f>recipe05TotScale * IF(L209 = "", Q209 * M209, IF(ISNA(CONVERT(Q209, L209, "kg")), CONVERT(Q209, L209, "l") * IF(N209 &lt;&gt; 0, M209 / N209, 0), CONVERT(Q209, L209, "kg")))</f>
        <v>0</v>
      </c>
      <c r="S209" s="47">
        <f>recipe05TotScale * IF(R209 = 0, IF(L209 = "", Q209 * N209, IF(ISNA(CONVERT(Q209, L209, "l")), CONVERT(Q209, L209, "kg") * IF(M209 &lt;&gt; 0, N209 / M209, 0), CONVERT(Q209, L209, "l"))), 0)</f>
        <v>7.7630515101562492E-2</v>
      </c>
      <c r="T209" s="47">
        <f>recipe05TotScale * IF(AND(R209 = 0, S209 = 0, J209 = "", L209 = ""), Q209, 0)</f>
        <v>0</v>
      </c>
      <c r="V209" s="44" t="b">
        <f>INDEX(itemPrepMethods, MATCH(K209, itemNames, 0))="chop"</f>
        <v>0</v>
      </c>
      <c r="W209" s="57" t="str">
        <f>IF(V209, Q209, "")</f>
        <v/>
      </c>
      <c r="X209" s="58" t="str">
        <f>IF(V209, IF(L209 = "", "", L209), "")</f>
        <v/>
      </c>
      <c r="Y209" s="58" t="str">
        <f>IF(V209, K209, "")</f>
        <v/>
      </c>
      <c r="Z209" s="59"/>
      <c r="AA209" s="44" t="b">
        <f>INDEX(itemPrepMethods, MATCH(K209, itemNames, 0))="soak"</f>
        <v>0</v>
      </c>
      <c r="AB209" s="58" t="str">
        <f>IF(AA209, Q209, "")</f>
        <v/>
      </c>
      <c r="AC209" s="58" t="str">
        <f>IF(AA209, IF(L209 = "", "", L209), "")</f>
        <v/>
      </c>
      <c r="AD209" s="58" t="str">
        <f>IF(AA209, K209, "")</f>
        <v/>
      </c>
    </row>
    <row r="210" spans="1:30" x14ac:dyDescent="0.25">
      <c r="A210" s="40" t="s">
        <v>21</v>
      </c>
      <c r="B210" s="52">
        <f>Q210</f>
        <v>0.25</v>
      </c>
      <c r="C210" s="39" t="str">
        <f>IF(L210="","",L210)</f>
        <v>cup</v>
      </c>
      <c r="D210" s="40" t="str">
        <f>_xlfn.CONCAT(K210, U210)</f>
        <v>olive oil</v>
      </c>
      <c r="I210" s="54">
        <v>0.33</v>
      </c>
      <c r="J210" s="55" t="s">
        <v>16</v>
      </c>
      <c r="K210" s="55" t="s">
        <v>77</v>
      </c>
      <c r="L210" s="56" t="s">
        <v>16</v>
      </c>
      <c r="M210" s="47">
        <f>INDEX(itemGPerQty, MATCH(K210, itemNames, 0))</f>
        <v>0</v>
      </c>
      <c r="N210" s="47">
        <f>INDEX(itemMlPerQty, MATCH(K210, itemNames, 0))</f>
        <v>0</v>
      </c>
      <c r="O210" s="47">
        <f>IF(J210 = "", I210 * M210, IF(ISNA(CONVERT(I210, J210, "kg")), CONVERT(I210, J210, "l") * IF(N210 &lt;&gt; 0, M210 / N210, 0), CONVERT(I210, J210, "kg")))</f>
        <v>0</v>
      </c>
      <c r="P210" s="47">
        <f>IF(J210 = "", I210 * N210, IF(ISNA(CONVERT(I210, J210, "l")), CONVERT(I210, J210, "kg") * IF(M210 &lt;&gt; 0, N210 / M210, 0), CONVERT(I210, J210, "l")))</f>
        <v>7.8074118045000002E-2</v>
      </c>
      <c r="Q210" s="47">
        <f>MROUND(IF(AND(J210 = "", L210 = ""), I210 * recipe05DayScale, IF(ISNA(CONVERT(O210, "kg", L210)), CONVERT(P210 * recipe05DayScale, "l", L210), CONVERT(O210 * recipe05DayScale, "kg", L210))), roundTo)</f>
        <v>0.25</v>
      </c>
      <c r="R210" s="47">
        <f>recipe05TotScale * IF(L210 = "", Q210 * M210, IF(ISNA(CONVERT(Q210, L210, "kg")), CONVERT(Q210, L210, "l") * IF(N210 &lt;&gt; 0, M210 / N210, 0), CONVERT(Q210, L210, "kg")))</f>
        <v>0</v>
      </c>
      <c r="S210" s="47">
        <f>recipe05TotScale * IF(R210 = 0, IF(L210 = "", Q210 * N210, IF(ISNA(CONVERT(Q210, L210, "l")), CONVERT(Q210, L210, "kg") * IF(M210 &lt;&gt; 0, N210 / M210, 0), CONVERT(Q210, L210, "l"))), 0)</f>
        <v>5.9147059124999998E-2</v>
      </c>
      <c r="T210" s="47">
        <f>recipe05TotScale * IF(AND(R210 = 0, S210 = 0, J210 = "", L210 = ""), Q210, 0)</f>
        <v>0</v>
      </c>
      <c r="V210" s="44" t="b">
        <f>INDEX(itemPrepMethods, MATCH(K210, itemNames, 0))="chop"</f>
        <v>0</v>
      </c>
      <c r="W210" s="57" t="str">
        <f>IF(V210, Q210, "")</f>
        <v/>
      </c>
      <c r="X210" s="58" t="str">
        <f>IF(V210, IF(L210 = "", "", L210), "")</f>
        <v/>
      </c>
      <c r="Y210" s="58" t="str">
        <f>IF(V210, K210, "")</f>
        <v/>
      </c>
      <c r="Z210" s="59"/>
      <c r="AA210" s="44" t="b">
        <f>INDEX(itemPrepMethods, MATCH(K210, itemNames, 0))="soak"</f>
        <v>0</v>
      </c>
      <c r="AB210" s="58" t="str">
        <f>IF(AA210, Q210, "")</f>
        <v/>
      </c>
      <c r="AC210" s="58" t="str">
        <f>IF(AA210, IF(L210 = "", "", L210), "")</f>
        <v/>
      </c>
      <c r="AD210" s="58" t="str">
        <f>IF(AA210, K210, "")</f>
        <v/>
      </c>
    </row>
    <row r="211" spans="1:30" ht="15.75" x14ac:dyDescent="0.25">
      <c r="A211" s="112"/>
      <c r="B211" s="112"/>
      <c r="C211" s="112"/>
      <c r="D211" s="112"/>
      <c r="E211" s="42"/>
      <c r="F211" s="42"/>
      <c r="G211" s="47"/>
      <c r="H211" s="47"/>
      <c r="I211" s="63"/>
      <c r="J211" s="42"/>
      <c r="K211" s="42"/>
      <c r="L211" s="64"/>
      <c r="M211" s="63"/>
      <c r="N211" s="63"/>
      <c r="O211" s="63"/>
      <c r="P211" s="63"/>
      <c r="Q211" s="42"/>
      <c r="R211" s="63"/>
      <c r="S211" s="63"/>
      <c r="T211" s="63"/>
      <c r="U211" s="42"/>
      <c r="W211" s="74"/>
      <c r="X211" s="74"/>
      <c r="Y211" s="74"/>
      <c r="Z211" s="74"/>
      <c r="AA211" s="67"/>
      <c r="AB211" s="74"/>
      <c r="AC211" s="74"/>
      <c r="AD211" s="74"/>
    </row>
    <row r="212" spans="1:30" x14ac:dyDescent="0.25">
      <c r="A212" s="111" t="s">
        <v>264</v>
      </c>
      <c r="B212" s="111"/>
      <c r="C212" s="111"/>
      <c r="D212" s="111"/>
      <c r="E212" s="42"/>
      <c r="F212" s="42"/>
      <c r="G212" s="47"/>
      <c r="H212" s="47"/>
      <c r="I212" s="63"/>
      <c r="J212" s="42"/>
      <c r="K212" s="42"/>
      <c r="L212" s="64"/>
      <c r="M212" s="63"/>
      <c r="N212" s="63"/>
      <c r="O212" s="63"/>
      <c r="P212" s="63"/>
      <c r="Q212" s="42"/>
      <c r="R212" s="63"/>
      <c r="S212" s="63"/>
      <c r="T212" s="63"/>
      <c r="U212" s="42"/>
      <c r="W212" s="74"/>
      <c r="X212" s="74"/>
      <c r="Y212" s="74"/>
      <c r="Z212" s="74"/>
      <c r="AA212" s="67"/>
      <c r="AB212" s="74"/>
      <c r="AC212" s="74"/>
      <c r="AD212" s="74"/>
    </row>
    <row r="213" spans="1:30" x14ac:dyDescent="0.25">
      <c r="A213" s="40" t="s">
        <v>21</v>
      </c>
      <c r="B213" s="52">
        <f>Q213</f>
        <v>4</v>
      </c>
      <c r="C213" s="39" t="str">
        <f>IF(L213="","",L213)</f>
        <v>tsp</v>
      </c>
      <c r="D213" s="40" t="str">
        <f>_xlfn.CONCAT(K213, U213)</f>
        <v>ground cumin</v>
      </c>
      <c r="I213" s="54">
        <v>6</v>
      </c>
      <c r="J213" s="55" t="s">
        <v>13</v>
      </c>
      <c r="K213" s="55" t="s">
        <v>14</v>
      </c>
      <c r="L213" s="56" t="s">
        <v>13</v>
      </c>
      <c r="M213" s="47">
        <f>INDEX(itemGPerQty, MATCH(K213, itemNames, 0))</f>
        <v>1.0999999999999999E-2</v>
      </c>
      <c r="N213" s="47">
        <f>INDEX(itemMlPerQty, MATCH(K213, itemNames, 0))</f>
        <v>2.2180100000000001E-2</v>
      </c>
      <c r="O213" s="47">
        <f>IF(J213 = "", I213 * M213, IF(ISNA(CONVERT(I213, J213, "kg")), CONVERT(I213, J213, "l") * IF(N213 &lt;&gt; 0, M213 / N213, 0), CONVERT(I213, J213, "kg")))</f>
        <v>1.4666697859229668E-2</v>
      </c>
      <c r="P213" s="47">
        <f>IF(J213 = "", I213 * N213, IF(ISNA(CONVERT(I213, J213, "l")), CONVERT(I213, J213, "kg") * IF(M213 &lt;&gt; 0, N213 / M213, 0), CONVERT(I213, J213, "l")))</f>
        <v>2.9573529562499999E-2</v>
      </c>
      <c r="Q213" s="47">
        <f>MROUND(IF(AND(J213 = "", L213 = ""), I213 * recipe05DayScale, IF(ISNA(CONVERT(O213, "kg", L213)), CONVERT(P213 * recipe05DayScale, "l", L213), CONVERT(O213 * recipe05DayScale, "kg", L213))), roundTo)</f>
        <v>4</v>
      </c>
      <c r="R213" s="47">
        <f>recipe05TotScale * IF(L213 = "", Q213 * M213, IF(ISNA(CONVERT(Q213, L213, "kg")), CONVERT(Q213, L213, "l") * IF(N213 &lt;&gt; 0, M213 / N213, 0), CONVERT(Q213, L213, "kg")))</f>
        <v>9.7777985728197785E-3</v>
      </c>
      <c r="S213" s="47">
        <f>recipe05TotScale * IF(R213 = 0, IF(L213 = "", Q213 * N213, IF(ISNA(CONVERT(Q213, L213, "l")), CONVERT(Q213, L213, "kg") * IF(M213 &lt;&gt; 0, N213 / M213, 0), CONVERT(Q213, L213, "l"))), 0)</f>
        <v>0</v>
      </c>
      <c r="T213" s="47">
        <f>recipe05TotScale * IF(AND(R213 = 0, S213 = 0, J213 = "", L213 = ""), Q213, 0)</f>
        <v>0</v>
      </c>
      <c r="V213" s="44" t="b">
        <f>INDEX(itemPrepMethods, MATCH(K213, itemNames, 0))="chop"</f>
        <v>0</v>
      </c>
      <c r="W213" s="57" t="str">
        <f>IF(V213, Q213, "")</f>
        <v/>
      </c>
      <c r="X213" s="58" t="str">
        <f>IF(V213, IF(L213 = "", "", L213), "")</f>
        <v/>
      </c>
      <c r="Y213" s="58" t="str">
        <f>IF(V213, K213, "")</f>
        <v/>
      </c>
      <c r="Z213" s="59"/>
      <c r="AA213" s="44" t="b">
        <f>INDEX(itemPrepMethods, MATCH(K213, itemNames, 0))="soak"</f>
        <v>0</v>
      </c>
      <c r="AB213" s="58" t="str">
        <f>IF(AA213, Q213, "")</f>
        <v/>
      </c>
      <c r="AC213" s="58" t="str">
        <f>IF(AA213, IF(L213 = "", "", L213), "")</f>
        <v/>
      </c>
      <c r="AD213" s="58" t="str">
        <f>IF(AA213, K213, "")</f>
        <v/>
      </c>
    </row>
    <row r="214" spans="1:30" x14ac:dyDescent="0.25">
      <c r="A214" s="40" t="s">
        <v>21</v>
      </c>
      <c r="B214" s="52">
        <f t="shared" si="200"/>
        <v>4</v>
      </c>
      <c r="C214" s="39" t="str">
        <f t="shared" si="201"/>
        <v>tbs</v>
      </c>
      <c r="D214" s="40" t="str">
        <f>_xlfn.CONCAT(K214, U214)</f>
        <v>nutritional yeast</v>
      </c>
      <c r="I214" s="54">
        <v>6</v>
      </c>
      <c r="J214" s="55" t="s">
        <v>15</v>
      </c>
      <c r="K214" s="55" t="s">
        <v>76</v>
      </c>
      <c r="L214" s="56" t="s">
        <v>15</v>
      </c>
      <c r="M214" s="47">
        <f t="shared" si="202"/>
        <v>0</v>
      </c>
      <c r="N214" s="47">
        <f t="shared" si="203"/>
        <v>0</v>
      </c>
      <c r="O214" s="47">
        <f t="shared" si="204"/>
        <v>0</v>
      </c>
      <c r="P214" s="47">
        <f t="shared" si="205"/>
        <v>8.872058868749999E-2</v>
      </c>
      <c r="Q214" s="47">
        <f>MROUND(IF(AND(J214 = "", L214 = ""), I214 * recipe05DayScale, IF(ISNA(CONVERT(O214, "kg", L214)), CONVERT(P214 * recipe05DayScale, "l", L214), CONVERT(O214 * recipe05DayScale, "kg", L214))), roundTo)</f>
        <v>4</v>
      </c>
      <c r="R214" s="47">
        <f>recipe05TotScale * IF(L214 = "", Q214 * M214, IF(ISNA(CONVERT(Q214, L214, "kg")), CONVERT(Q214, L214, "l") * IF(N214 &lt;&gt; 0, M214 / N214, 0), CONVERT(Q214, L214, "kg")))</f>
        <v>0</v>
      </c>
      <c r="S214" s="47">
        <f>recipe05TotScale * IF(R214 = 0, IF(L214 = "", Q214 * N214, IF(ISNA(CONVERT(Q214, L214, "l")), CONVERT(Q214, L214, "kg") * IF(M214 &lt;&gt; 0, N214 / M214, 0), CONVERT(Q214, L214, "l"))), 0)</f>
        <v>5.9147059124999998E-2</v>
      </c>
      <c r="T214" s="47">
        <f>recipe05TotScale * IF(AND(R214 = 0, S214 = 0, J214 = "", L214 = ""), Q214, 0)</f>
        <v>0</v>
      </c>
      <c r="V214" s="44" t="b">
        <f>INDEX(itemPrepMethods, MATCH(K214, itemNames, 0))="chop"</f>
        <v>0</v>
      </c>
      <c r="W214" s="57" t="str">
        <f>IF(V214, Q214, "")</f>
        <v/>
      </c>
      <c r="X214" s="58" t="str">
        <f>IF(V214, IF(L214 = "", "", L214), "")</f>
        <v/>
      </c>
      <c r="Y214" s="58" t="str">
        <f>IF(V214, K214, "")</f>
        <v/>
      </c>
      <c r="Z214" s="59"/>
      <c r="AA214" s="44" t="b">
        <f>INDEX(itemPrepMethods, MATCH(K214, itemNames, 0))="soak"</f>
        <v>0</v>
      </c>
      <c r="AB214" s="58" t="str">
        <f>IF(AA214, Q214, "")</f>
        <v/>
      </c>
      <c r="AC214" s="58" t="str">
        <f>IF(AA214, IF(L214 = "", "", L214), "")</f>
        <v/>
      </c>
      <c r="AD214" s="58" t="str">
        <f>IF(AA214, K214, "")</f>
        <v/>
      </c>
    </row>
    <row r="215" spans="1:30" x14ac:dyDescent="0.25">
      <c r="B215" s="52"/>
      <c r="I215" s="44"/>
      <c r="L215" s="44"/>
      <c r="W215" s="74"/>
      <c r="X215" s="74"/>
      <c r="Y215" s="74"/>
      <c r="Z215" s="74"/>
      <c r="AA215" s="67"/>
      <c r="AB215" s="74"/>
      <c r="AC215" s="74"/>
      <c r="AD215" s="74"/>
    </row>
    <row r="216" spans="1:30" x14ac:dyDescent="0.25">
      <c r="A216" s="111" t="s">
        <v>265</v>
      </c>
      <c r="B216" s="111"/>
      <c r="C216" s="111"/>
      <c r="D216" s="111"/>
      <c r="I216" s="44"/>
      <c r="L216" s="44"/>
      <c r="W216" s="74"/>
      <c r="X216" s="74"/>
      <c r="Y216" s="74"/>
      <c r="Z216" s="74"/>
      <c r="AA216" s="67"/>
      <c r="AB216" s="74"/>
      <c r="AC216" s="74"/>
      <c r="AD216" s="74"/>
    </row>
    <row r="217" spans="1:30" x14ac:dyDescent="0.25">
      <c r="B217" s="52"/>
      <c r="I217" s="44"/>
      <c r="L217" s="44"/>
      <c r="W217" s="74"/>
      <c r="X217" s="74"/>
      <c r="Y217" s="74"/>
      <c r="Z217" s="74"/>
      <c r="AA217" s="67"/>
      <c r="AB217" s="74"/>
      <c r="AC217" s="74"/>
      <c r="AD217" s="74"/>
    </row>
    <row r="218" spans="1:30" x14ac:dyDescent="0.25">
      <c r="A218" s="111" t="s">
        <v>267</v>
      </c>
      <c r="B218" s="111"/>
      <c r="C218" s="111"/>
      <c r="D218" s="111"/>
      <c r="I218" s="44"/>
      <c r="L218" s="44"/>
      <c r="W218" s="74"/>
      <c r="X218" s="74"/>
      <c r="Y218" s="74"/>
      <c r="Z218" s="74"/>
      <c r="AA218" s="67"/>
      <c r="AB218" s="74"/>
      <c r="AC218" s="74"/>
      <c r="AD218" s="74"/>
    </row>
    <row r="219" spans="1:30" x14ac:dyDescent="0.25">
      <c r="A219" s="40" t="s">
        <v>21</v>
      </c>
      <c r="B219" s="52"/>
      <c r="C219" s="39" t="str">
        <f t="shared" ref="C219" si="206">IF(L219="","",L219)</f>
        <v/>
      </c>
      <c r="D219" s="40" t="str">
        <f>_xlfn.CONCAT(K219, U219)</f>
        <v>salt, to taste</v>
      </c>
      <c r="I219" s="47"/>
      <c r="K219" s="55" t="s">
        <v>11</v>
      </c>
      <c r="L219" s="44"/>
      <c r="M219" s="44"/>
      <c r="N219" s="44"/>
      <c r="O219" s="44"/>
      <c r="P219" s="44"/>
      <c r="U219" s="44" t="s">
        <v>216</v>
      </c>
      <c r="V219" s="44" t="b">
        <f>INDEX(itemPrepMethods, MATCH(K219, itemNames, 0))="chop"</f>
        <v>0</v>
      </c>
      <c r="W219" s="57" t="str">
        <f>IF(V219, Q219, "")</f>
        <v/>
      </c>
      <c r="X219" s="58" t="str">
        <f>IF(V219, IF(L219 = "", "", L219), "")</f>
        <v/>
      </c>
      <c r="Y219" s="58" t="str">
        <f>IF(V219, K219, "")</f>
        <v/>
      </c>
      <c r="Z219" s="59"/>
      <c r="AA219" s="44" t="b">
        <f>INDEX(itemPrepMethods, MATCH(K219, itemNames, 0))="soak"</f>
        <v>0</v>
      </c>
      <c r="AB219" s="58" t="str">
        <f>IF(AA219, Q219, "")</f>
        <v/>
      </c>
      <c r="AC219" s="58" t="str">
        <f>IF(AA219, IF(L219 = "", "", L219), "")</f>
        <v/>
      </c>
      <c r="AD219" s="58" t="str">
        <f>IF(AA219, K219, "")</f>
        <v/>
      </c>
    </row>
    <row r="220" spans="1:30" x14ac:dyDescent="0.25">
      <c r="A220" s="40" t="s">
        <v>21</v>
      </c>
      <c r="B220" s="52"/>
      <c r="C220" s="39" t="str">
        <f t="shared" si="201"/>
        <v/>
      </c>
      <c r="D220" s="40" t="str">
        <f>_xlfn.CONCAT(K220, U220)</f>
        <v>ground black pepper, to taste</v>
      </c>
      <c r="I220" s="47"/>
      <c r="K220" s="55" t="s">
        <v>80</v>
      </c>
      <c r="L220" s="44"/>
      <c r="M220" s="44"/>
      <c r="N220" s="44"/>
      <c r="O220" s="44"/>
      <c r="P220" s="44"/>
      <c r="U220" s="44" t="s">
        <v>216</v>
      </c>
      <c r="V220" s="44" t="b">
        <f>INDEX(itemPrepMethods, MATCH(K220, itemNames, 0))="chop"</f>
        <v>0</v>
      </c>
      <c r="W220" s="57" t="str">
        <f>IF(V220, Q220, "")</f>
        <v/>
      </c>
      <c r="X220" s="58" t="str">
        <f>IF(V220, IF(L220 = "", "", L220), "")</f>
        <v/>
      </c>
      <c r="Y220" s="58" t="str">
        <f>IF(V220, K220, "")</f>
        <v/>
      </c>
      <c r="Z220" s="59"/>
      <c r="AA220" s="44" t="b">
        <f>INDEX(itemPrepMethods, MATCH(K220, itemNames, 0))="soak"</f>
        <v>0</v>
      </c>
      <c r="AB220" s="58" t="str">
        <f>IF(AA220, Q220, "")</f>
        <v/>
      </c>
      <c r="AC220" s="58" t="str">
        <f>IF(AA220, IF(L220 = "", "", L220), "")</f>
        <v/>
      </c>
      <c r="AD220" s="58" t="str">
        <f>IF(AA220, K220, "")</f>
        <v/>
      </c>
    </row>
    <row r="221" spans="1:30" x14ac:dyDescent="0.25">
      <c r="B221" s="52"/>
      <c r="I221" s="44"/>
      <c r="L221" s="44"/>
      <c r="W221" s="74"/>
      <c r="X221" s="74"/>
      <c r="Y221" s="74"/>
      <c r="Z221" s="74"/>
      <c r="AA221" s="67"/>
      <c r="AB221" s="74"/>
      <c r="AC221" s="74"/>
      <c r="AD221" s="74"/>
    </row>
    <row r="222" spans="1:30" x14ac:dyDescent="0.25">
      <c r="A222" s="111" t="s">
        <v>268</v>
      </c>
      <c r="B222" s="111"/>
      <c r="C222" s="111"/>
      <c r="D222" s="111"/>
      <c r="I222" s="44"/>
      <c r="L222" s="44"/>
      <c r="W222" s="74"/>
      <c r="X222" s="74"/>
      <c r="Y222" s="74"/>
      <c r="Z222" s="74"/>
      <c r="AA222" s="67"/>
      <c r="AB222" s="74"/>
      <c r="AC222" s="74"/>
      <c r="AD222" s="74"/>
    </row>
    <row r="223" spans="1:30" x14ac:dyDescent="0.25">
      <c r="A223" s="40" t="s">
        <v>21</v>
      </c>
      <c r="B223" s="52"/>
      <c r="C223" s="39" t="str">
        <f t="shared" si="201"/>
        <v/>
      </c>
      <c r="D223" s="40" t="str">
        <f>_xlfn.CONCAT(K223, U223)</f>
        <v>chopped fresh chives, if available</v>
      </c>
      <c r="I223" s="47"/>
      <c r="K223" s="55" t="s">
        <v>83</v>
      </c>
      <c r="L223" s="44"/>
      <c r="M223" s="44"/>
      <c r="N223" s="44"/>
      <c r="O223" s="44"/>
      <c r="P223" s="44"/>
      <c r="U223" s="44" t="s">
        <v>238</v>
      </c>
      <c r="V223" s="44" t="b">
        <f>INDEX(itemPrepMethods, MATCH(K223, itemNames, 0))="chop"</f>
        <v>1</v>
      </c>
      <c r="W223" s="57">
        <f>IF(V223, Q223, "")</f>
        <v>0</v>
      </c>
      <c r="X223" s="58" t="str">
        <f>IF(V223, IF(L223 = "", "", L223), "")</f>
        <v/>
      </c>
      <c r="Y223" s="58" t="str">
        <f>IF(V223, K223, "")</f>
        <v>chopped fresh chives</v>
      </c>
      <c r="Z223" s="59"/>
      <c r="AA223" s="44" t="b">
        <f>INDEX(itemPrepMethods, MATCH(K223, itemNames, 0))="soak"</f>
        <v>0</v>
      </c>
      <c r="AB223" s="58" t="str">
        <f>IF(AA223, Q223, "")</f>
        <v/>
      </c>
      <c r="AC223" s="58" t="str">
        <f>IF(AA223, IF(L223 = "", "", L223), "")</f>
        <v/>
      </c>
      <c r="AD223" s="58" t="str">
        <f>IF(AA223, K223, "")</f>
        <v/>
      </c>
    </row>
    <row r="224" spans="1:30" ht="15.75" x14ac:dyDescent="0.25">
      <c r="A224" s="110" t="s">
        <v>31</v>
      </c>
      <c r="B224" s="110"/>
      <c r="C224" s="110"/>
      <c r="D224" s="110"/>
      <c r="E224" s="43" t="s">
        <v>137</v>
      </c>
      <c r="F224" s="104" t="s">
        <v>97</v>
      </c>
      <c r="G224" s="104"/>
      <c r="H224" s="47"/>
    </row>
    <row r="225" spans="1:30" ht="24" x14ac:dyDescent="0.2">
      <c r="A225" s="110" t="s">
        <v>39</v>
      </c>
      <c r="B225" s="110"/>
      <c r="C225" s="110"/>
      <c r="D225" s="110"/>
      <c r="E225" s="42" t="s">
        <v>56</v>
      </c>
      <c r="F225" s="90">
        <v>14</v>
      </c>
      <c r="G225" s="47"/>
      <c r="H225" s="47"/>
      <c r="I225" s="70" t="s">
        <v>448</v>
      </c>
      <c r="J225" s="71" t="s">
        <v>449</v>
      </c>
      <c r="K225" s="71" t="s">
        <v>17</v>
      </c>
      <c r="L225" s="72" t="s">
        <v>452</v>
      </c>
      <c r="M225" s="70" t="s">
        <v>148</v>
      </c>
      <c r="N225" s="70" t="s">
        <v>149</v>
      </c>
      <c r="O225" s="70" t="s">
        <v>450</v>
      </c>
      <c r="P225" s="70" t="s">
        <v>451</v>
      </c>
      <c r="Q225" s="71" t="s">
        <v>364</v>
      </c>
      <c r="R225" s="70" t="s">
        <v>365</v>
      </c>
      <c r="S225" s="70" t="s">
        <v>366</v>
      </c>
      <c r="T225" s="70" t="s">
        <v>367</v>
      </c>
      <c r="U225" s="71" t="s">
        <v>22</v>
      </c>
      <c r="V225" s="71" t="s">
        <v>212</v>
      </c>
      <c r="W225" s="73" t="s">
        <v>364</v>
      </c>
      <c r="X225" s="71" t="s">
        <v>210</v>
      </c>
      <c r="Y225" s="71" t="s">
        <v>211</v>
      </c>
      <c r="Z225" s="71" t="s">
        <v>313</v>
      </c>
      <c r="AA225" s="71" t="s">
        <v>213</v>
      </c>
      <c r="AB225" s="73" t="s">
        <v>364</v>
      </c>
      <c r="AC225" s="71" t="s">
        <v>214</v>
      </c>
      <c r="AD225" s="71" t="s">
        <v>215</v>
      </c>
    </row>
    <row r="226" spans="1:30" ht="16.5" thickBot="1" x14ac:dyDescent="0.3">
      <c r="A226" s="112"/>
      <c r="B226" s="112"/>
      <c r="C226" s="112"/>
      <c r="D226" s="112"/>
      <c r="E226" s="66" t="s">
        <v>359</v>
      </c>
      <c r="F226" s="90">
        <f>tuLuCount</f>
        <v>10</v>
      </c>
      <c r="G226" s="47"/>
      <c r="H226" s="47"/>
      <c r="I226" s="63"/>
      <c r="J226" s="42"/>
      <c r="K226" s="42"/>
      <c r="L226" s="64"/>
      <c r="M226" s="63"/>
      <c r="N226" s="63"/>
      <c r="O226" s="63"/>
      <c r="P226" s="63"/>
      <c r="Q226" s="42"/>
      <c r="R226" s="63"/>
      <c r="S226" s="63"/>
      <c r="T226" s="63"/>
      <c r="U226" s="42"/>
    </row>
    <row r="227" spans="1:30" ht="15.75" thickBot="1" x14ac:dyDescent="0.3">
      <c r="A227" s="111" t="s">
        <v>123</v>
      </c>
      <c r="B227" s="111"/>
      <c r="C227" s="111"/>
      <c r="D227" s="111"/>
      <c r="E227" s="66" t="s">
        <v>362</v>
      </c>
      <c r="F227" s="50">
        <f>F226/F225</f>
        <v>0.7142857142857143</v>
      </c>
      <c r="G227" s="51" t="s">
        <v>382</v>
      </c>
      <c r="H227" s="53"/>
      <c r="I227" s="47"/>
    </row>
    <row r="228" spans="1:30" x14ac:dyDescent="0.25">
      <c r="A228" s="40" t="s">
        <v>21</v>
      </c>
      <c r="B228" s="52">
        <f t="shared" ref="B228:B229" si="207">Q228</f>
        <v>2.25</v>
      </c>
      <c r="C228" s="39" t="str">
        <f>IF(L228="","",L228)</f>
        <v>cup</v>
      </c>
      <c r="D228" s="40" t="str">
        <f>_xlfn.CONCAT(K228, U228)</f>
        <v>peanut butter</v>
      </c>
      <c r="E228" s="67"/>
      <c r="F228" s="67"/>
      <c r="G228" s="67"/>
      <c r="I228" s="54">
        <v>3</v>
      </c>
      <c r="J228" s="55" t="s">
        <v>16</v>
      </c>
      <c r="K228" s="55" t="s">
        <v>109</v>
      </c>
      <c r="L228" s="56" t="s">
        <v>16</v>
      </c>
      <c r="M228" s="47">
        <f>INDEX(itemGPerQty, MATCH(K228, itemNames, 0))</f>
        <v>0</v>
      </c>
      <c r="N228" s="47">
        <f>INDEX(itemMlPerQty, MATCH(K228, itemNames, 0))</f>
        <v>0</v>
      </c>
      <c r="O228" s="47">
        <f t="shared" ref="O228:O229" si="208">IF(J228 = "", I228 * M228, IF(ISNA(CONVERT(I228, J228, "kg")), CONVERT(I228, J228, "l") * IF(N228 &lt;&gt; 0, M228 / N228, 0), CONVERT(I228, J228, "kg")))</f>
        <v>0</v>
      </c>
      <c r="P228" s="47">
        <f t="shared" ref="P228:P229" si="209">IF(J228 = "", I228 * N228, IF(ISNA(CONVERT(I228, J228, "l")), CONVERT(I228, J228, "kg") * IF(M228 &lt;&gt; 0, N228 / M228, 0), CONVERT(I228, J228, "l")))</f>
        <v>0.70976470949999992</v>
      </c>
      <c r="Q228" s="47">
        <f>MROUND(IF(AND(J228 = "", L228 = ""), I228 * recipe06DayScale, IF(ISNA(CONVERT(O228, "kg", L228)), CONVERT(P228 * recipe06DayScale, "l", L228), CONVERT(O228 * recipe06DayScale, "kg", L228))), roundTo)</f>
        <v>2.25</v>
      </c>
      <c r="R228" s="47">
        <f>recipe06TotScale * IF(L228 = "", Q228 * M228, IF(ISNA(CONVERT(Q228, L228, "kg")), CONVERT(Q228, L228, "l") * IF(N228 &lt;&gt; 0, M228 / N228, 0), CONVERT(Q228, L228, "kg")))</f>
        <v>0</v>
      </c>
      <c r="S228" s="47">
        <f>recipe06TotScale * IF(R228 = 0, IF(L228 = "", Q228 * N228, IF(ISNA(CONVERT(Q228, L228, "l")), CONVERT(Q228, L228, "kg") * IF(M228 &lt;&gt; 0, N228 / M228, 0), CONVERT(Q228, L228, "l"))), 0)</f>
        <v>0.53232353212499994</v>
      </c>
      <c r="T228" s="47">
        <f>recipe06TotScale * IF(AND(R228 = 0, S228 = 0, J228 = "", L228 = ""), Q228, 0)</f>
        <v>0</v>
      </c>
      <c r="V228" s="44" t="b">
        <f>INDEX(itemPrepMethods, MATCH(K228, itemNames, 0))="chop"</f>
        <v>0</v>
      </c>
      <c r="W228" s="57" t="str">
        <f>IF(V228, Q228, "")</f>
        <v/>
      </c>
      <c r="X228" s="58" t="str">
        <f>IF(V228, IF(L228 = "", "", L228), "")</f>
        <v/>
      </c>
      <c r="Y228" s="58" t="str">
        <f>IF(V228, K228, "")</f>
        <v/>
      </c>
      <c r="Z228" s="59"/>
      <c r="AA228" s="44" t="b">
        <f>INDEX(itemPrepMethods, MATCH(K228, itemNames, 0))="soak"</f>
        <v>0</v>
      </c>
      <c r="AB228" s="58" t="str">
        <f>IF(AA228, Q228, "")</f>
        <v/>
      </c>
      <c r="AC228" s="58" t="str">
        <f>IF(AA228, IF(L228 = "", "", L228), "")</f>
        <v/>
      </c>
      <c r="AD228" s="58" t="str">
        <f>IF(AA228, K228, "")</f>
        <v/>
      </c>
    </row>
    <row r="229" spans="1:30" ht="15.75" thickBot="1" x14ac:dyDescent="0.3">
      <c r="A229" s="40" t="s">
        <v>21</v>
      </c>
      <c r="B229" s="52">
        <f t="shared" si="207"/>
        <v>2.75</v>
      </c>
      <c r="C229" s="39" t="str">
        <f>IF(L229="","",L229)</f>
        <v>cup</v>
      </c>
      <c r="D229" s="40" t="str">
        <f>_xlfn.CONCAT(K229, U229)</f>
        <v>hot water</v>
      </c>
      <c r="E229" s="66" t="s">
        <v>338</v>
      </c>
      <c r="F229" s="90">
        <f>tuLuCount</f>
        <v>10</v>
      </c>
      <c r="G229" s="67"/>
      <c r="I229" s="54">
        <v>4</v>
      </c>
      <c r="J229" s="55" t="s">
        <v>16</v>
      </c>
      <c r="K229" s="55" t="s">
        <v>117</v>
      </c>
      <c r="L229" s="56" t="s">
        <v>16</v>
      </c>
      <c r="M229" s="47">
        <f>INDEX(itemGPerQty, MATCH(K229, itemNames, 0))</f>
        <v>1</v>
      </c>
      <c r="N229" s="47">
        <f>INDEX(itemMlPerQty, MATCH(K229, itemNames, 0))</f>
        <v>1</v>
      </c>
      <c r="O229" s="47">
        <f t="shared" si="208"/>
        <v>0.94635294599999997</v>
      </c>
      <c r="P229" s="47">
        <f t="shared" si="209"/>
        <v>0.94635294599999997</v>
      </c>
      <c r="Q229" s="47">
        <f>MROUND(IF(AND(J229 = "", L229 = ""), I229 * recipe06DayScale, IF(ISNA(CONVERT(O229, "kg", L229)), CONVERT(P229 * recipe06DayScale, "l", L229), CONVERT(O229 * recipe06DayScale, "kg", L229))), roundTo)</f>
        <v>2.75</v>
      </c>
      <c r="R229" s="47">
        <f>recipe06TotScale * IF(L229 = "", Q229 * M229, IF(ISNA(CONVERT(Q229, L229, "kg")), CONVERT(Q229, L229, "l") * IF(N229 &lt;&gt; 0, M229 / N229, 0), CONVERT(Q229, L229, "kg")))</f>
        <v>0.65061765037499997</v>
      </c>
      <c r="S229" s="47">
        <f>recipe06TotScale * IF(R229 = 0, IF(L229 = "", Q229 * N229, IF(ISNA(CONVERT(Q229, L229, "l")), CONVERT(Q229, L229, "kg") * IF(M229 &lt;&gt; 0, N229 / M229, 0), CONVERT(Q229, L229, "l"))), 0)</f>
        <v>0</v>
      </c>
      <c r="T229" s="47">
        <f>recipe06TotScale * IF(AND(R229 = 0, S229 = 0, J229 = "", L229 = ""), Q229, 0)</f>
        <v>0</v>
      </c>
      <c r="V229" s="44" t="b">
        <f>INDEX(itemPrepMethods, MATCH(K229, itemNames, 0))="chop"</f>
        <v>0</v>
      </c>
      <c r="W229" s="57" t="str">
        <f>IF(V229, Q229, "")</f>
        <v/>
      </c>
      <c r="X229" s="58" t="str">
        <f>IF(V229, IF(L229 = "", "", L229), "")</f>
        <v/>
      </c>
      <c r="Y229" s="58" t="str">
        <f>IF(V229, K229, "")</f>
        <v/>
      </c>
      <c r="Z229" s="59"/>
      <c r="AA229" s="44" t="b">
        <f>INDEX(itemPrepMethods, MATCH(K229, itemNames, 0))="soak"</f>
        <v>0</v>
      </c>
      <c r="AB229" s="58" t="str">
        <f>IF(AA229, Q229, "")</f>
        <v/>
      </c>
      <c r="AC229" s="58" t="str">
        <f>IF(AA229, IF(L229 = "", "", L229), "")</f>
        <v/>
      </c>
      <c r="AD229" s="58" t="str">
        <f>IF(AA229, K229, "")</f>
        <v/>
      </c>
    </row>
    <row r="230" spans="1:30" ht="15.75" thickBot="1" x14ac:dyDescent="0.3">
      <c r="A230" s="111"/>
      <c r="B230" s="111"/>
      <c r="C230" s="111"/>
      <c r="D230" s="111"/>
      <c r="E230" s="66" t="s">
        <v>363</v>
      </c>
      <c r="F230" s="50">
        <f>F229/F226</f>
        <v>1</v>
      </c>
      <c r="G230" s="51" t="s">
        <v>383</v>
      </c>
      <c r="I230" s="47"/>
      <c r="W230" s="74"/>
      <c r="X230" s="74"/>
      <c r="Y230" s="74"/>
      <c r="Z230" s="74"/>
      <c r="AA230" s="67"/>
      <c r="AB230" s="74"/>
      <c r="AC230" s="74"/>
      <c r="AD230" s="74"/>
    </row>
    <row r="231" spans="1:30" x14ac:dyDescent="0.25">
      <c r="A231" s="111" t="s">
        <v>124</v>
      </c>
      <c r="B231" s="111"/>
      <c r="C231" s="111"/>
      <c r="D231" s="111"/>
      <c r="I231" s="47"/>
      <c r="W231" s="74"/>
      <c r="X231" s="74"/>
      <c r="Y231" s="74"/>
      <c r="Z231" s="74"/>
      <c r="AA231" s="67"/>
      <c r="AB231" s="74"/>
      <c r="AC231" s="74"/>
      <c r="AD231" s="74"/>
    </row>
    <row r="232" spans="1:30" x14ac:dyDescent="0.25">
      <c r="A232" s="40" t="s">
        <v>21</v>
      </c>
      <c r="B232" s="52">
        <f t="shared" ref="B232:B233" si="210">Q232</f>
        <v>0.25</v>
      </c>
      <c r="C232" s="39" t="str">
        <f>IF(L232="","",L232)</f>
        <v>cup</v>
      </c>
      <c r="D232" s="40" t="str">
        <f>_xlfn.CONCAT(K232, U232)</f>
        <v>cider vinegar</v>
      </c>
      <c r="I232" s="54">
        <v>0.5</v>
      </c>
      <c r="J232" s="55" t="s">
        <v>16</v>
      </c>
      <c r="K232" s="55" t="s">
        <v>118</v>
      </c>
      <c r="L232" s="56" t="s">
        <v>16</v>
      </c>
      <c r="M232" s="47">
        <f>INDEX(itemGPerQty, MATCH(K232, itemNames, 0))</f>
        <v>0</v>
      </c>
      <c r="N232" s="47">
        <f>INDEX(itemMlPerQty, MATCH(K232, itemNames, 0))</f>
        <v>0</v>
      </c>
      <c r="O232" s="47">
        <f t="shared" ref="O232:O233" si="211">IF(J232 = "", I232 * M232, IF(ISNA(CONVERT(I232, J232, "kg")), CONVERT(I232, J232, "l") * IF(N232 &lt;&gt; 0, M232 / N232, 0), CONVERT(I232, J232, "kg")))</f>
        <v>0</v>
      </c>
      <c r="P232" s="47">
        <f t="shared" ref="P232:P233" si="212">IF(J232 = "", I232 * N232, IF(ISNA(CONVERT(I232, J232, "l")), CONVERT(I232, J232, "kg") * IF(M232 &lt;&gt; 0, N232 / M232, 0), CONVERT(I232, J232, "l")))</f>
        <v>0.11829411825</v>
      </c>
      <c r="Q232" s="47">
        <f>MROUND(IF(AND(J232 = "", L232 = ""), I232 * recipe06DayScale, IF(ISNA(CONVERT(O232, "kg", L232)), CONVERT(P232 * recipe06DayScale, "l", L232), CONVERT(O232 * recipe06DayScale, "kg", L232))), roundTo)</f>
        <v>0.25</v>
      </c>
      <c r="R232" s="47">
        <f>recipe06TotScale * IF(L232 = "", Q232 * M232, IF(ISNA(CONVERT(Q232, L232, "kg")), CONVERT(Q232, L232, "l") * IF(N232 &lt;&gt; 0, M232 / N232, 0), CONVERT(Q232, L232, "kg")))</f>
        <v>0</v>
      </c>
      <c r="S232" s="47">
        <f>recipe06TotScale * IF(R232 = 0, IF(L232 = "", Q232 * N232, IF(ISNA(CONVERT(Q232, L232, "l")), CONVERT(Q232, L232, "kg") * IF(M232 &lt;&gt; 0, N232 / M232, 0), CONVERT(Q232, L232, "l"))), 0)</f>
        <v>5.9147059124999998E-2</v>
      </c>
      <c r="T232" s="47">
        <f>recipe06TotScale * IF(AND(R232 = 0, S232 = 0, J232 = "", L232 = ""), Q232, 0)</f>
        <v>0</v>
      </c>
      <c r="V232" s="44" t="b">
        <f>INDEX(itemPrepMethods, MATCH(K232, itemNames, 0))="chop"</f>
        <v>0</v>
      </c>
      <c r="W232" s="57" t="str">
        <f>IF(V232, Q232, "")</f>
        <v/>
      </c>
      <c r="X232" s="58" t="str">
        <f>IF(V232, IF(L232 = "", "", L232), "")</f>
        <v/>
      </c>
      <c r="Y232" s="58" t="str">
        <f>IF(V232, K232, "")</f>
        <v/>
      </c>
      <c r="Z232" s="59"/>
      <c r="AA232" s="44" t="b">
        <f>INDEX(itemPrepMethods, MATCH(K232, itemNames, 0))="soak"</f>
        <v>0</v>
      </c>
      <c r="AB232" s="58" t="str">
        <f>IF(AA232, Q232, "")</f>
        <v/>
      </c>
      <c r="AC232" s="58" t="str">
        <f>IF(AA232, IF(L232 = "", "", L232), "")</f>
        <v/>
      </c>
      <c r="AD232" s="58" t="str">
        <f>IF(AA232, K232, "")</f>
        <v/>
      </c>
    </row>
    <row r="233" spans="1:30" x14ac:dyDescent="0.25">
      <c r="A233" s="40" t="s">
        <v>21</v>
      </c>
      <c r="B233" s="52">
        <f t="shared" si="210"/>
        <v>0.25</v>
      </c>
      <c r="C233" s="39" t="str">
        <f>IF(L233="","",L233)</f>
        <v>cup</v>
      </c>
      <c r="D233" s="40" t="str">
        <f>_xlfn.CONCAT(K233, U233)</f>
        <v>soy sauce</v>
      </c>
      <c r="I233" s="54">
        <v>0.5</v>
      </c>
      <c r="J233" s="55" t="s">
        <v>16</v>
      </c>
      <c r="K233" s="55" t="s">
        <v>119</v>
      </c>
      <c r="L233" s="56" t="s">
        <v>16</v>
      </c>
      <c r="M233" s="47">
        <f>INDEX(itemGPerQty, MATCH(K233, itemNames, 0))</f>
        <v>0</v>
      </c>
      <c r="N233" s="47">
        <f>INDEX(itemMlPerQty, MATCH(K233, itemNames, 0))</f>
        <v>0</v>
      </c>
      <c r="O233" s="47">
        <f t="shared" si="211"/>
        <v>0</v>
      </c>
      <c r="P233" s="47">
        <f t="shared" si="212"/>
        <v>0.11829411825</v>
      </c>
      <c r="Q233" s="47">
        <f>MROUND(IF(AND(J233 = "", L233 = ""), I233 * recipe06DayScale, IF(ISNA(CONVERT(O233, "kg", L233)), CONVERT(P233 * recipe06DayScale, "l", L233), CONVERT(O233 * recipe06DayScale, "kg", L233))), roundTo)</f>
        <v>0.25</v>
      </c>
      <c r="R233" s="47">
        <f>recipe06TotScale * IF(L233 = "", Q233 * M233, IF(ISNA(CONVERT(Q233, L233, "kg")), CONVERT(Q233, L233, "l") * IF(N233 &lt;&gt; 0, M233 / N233, 0), CONVERT(Q233, L233, "kg")))</f>
        <v>0</v>
      </c>
      <c r="S233" s="47">
        <f>recipe06TotScale * IF(R233 = 0, IF(L233 = "", Q233 * N233, IF(ISNA(CONVERT(Q233, L233, "l")), CONVERT(Q233, L233, "kg") * IF(M233 &lt;&gt; 0, N233 / M233, 0), CONVERT(Q233, L233, "l"))), 0)</f>
        <v>5.9147059124999998E-2</v>
      </c>
      <c r="T233" s="47">
        <f>recipe06TotScale * IF(AND(R233 = 0, S233 = 0, J233 = "", L233 = ""), Q233, 0)</f>
        <v>0</v>
      </c>
      <c r="V233" s="44" t="b">
        <f>INDEX(itemPrepMethods, MATCH(K233, itemNames, 0))="chop"</f>
        <v>0</v>
      </c>
      <c r="W233" s="57" t="str">
        <f>IF(V233, Q233, "")</f>
        <v/>
      </c>
      <c r="X233" s="58" t="str">
        <f>IF(V233, IF(L233 = "", "", L233), "")</f>
        <v/>
      </c>
      <c r="Y233" s="58" t="str">
        <f>IF(V233, K233, "")</f>
        <v/>
      </c>
      <c r="Z233" s="59"/>
      <c r="AA233" s="44" t="b">
        <f>INDEX(itemPrepMethods, MATCH(K233, itemNames, 0))="soak"</f>
        <v>0</v>
      </c>
      <c r="AB233" s="58" t="str">
        <f>IF(AA233, Q233, "")</f>
        <v/>
      </c>
      <c r="AC233" s="58" t="str">
        <f>IF(AA233, IF(L233 = "", "", L233), "")</f>
        <v/>
      </c>
      <c r="AD233" s="58" t="str">
        <f>IF(AA233, K233, "")</f>
        <v/>
      </c>
    </row>
    <row r="234" spans="1:30" x14ac:dyDescent="0.25">
      <c r="A234" s="111"/>
      <c r="B234" s="111"/>
      <c r="C234" s="111"/>
      <c r="D234" s="111"/>
      <c r="I234" s="47"/>
      <c r="W234" s="74"/>
      <c r="X234" s="74"/>
      <c r="Y234" s="74"/>
      <c r="Z234" s="74"/>
      <c r="AA234" s="67"/>
      <c r="AB234" s="74"/>
      <c r="AC234" s="74"/>
      <c r="AD234" s="74"/>
    </row>
    <row r="235" spans="1:30" x14ac:dyDescent="0.25">
      <c r="A235" s="111" t="s">
        <v>125</v>
      </c>
      <c r="B235" s="111"/>
      <c r="C235" s="111"/>
      <c r="D235" s="111"/>
      <c r="I235" s="47"/>
      <c r="W235" s="74"/>
      <c r="X235" s="74"/>
      <c r="Y235" s="74"/>
      <c r="Z235" s="74"/>
      <c r="AA235" s="67"/>
      <c r="AB235" s="74"/>
      <c r="AC235" s="74"/>
      <c r="AD235" s="74"/>
    </row>
    <row r="236" spans="1:30" ht="36" x14ac:dyDescent="0.25">
      <c r="A236" s="40" t="s">
        <v>21</v>
      </c>
      <c r="B236" s="52">
        <f>Q236</f>
        <v>2.25</v>
      </c>
      <c r="C236" s="39" t="str">
        <f>IF(L236="","",L236)</f>
        <v/>
      </c>
      <c r="D236" s="40" t="str">
        <f>_xlfn.CONCAT(K236, U236)</f>
        <v>blocks tofu, cut into cubes</v>
      </c>
      <c r="I236" s="54">
        <v>3</v>
      </c>
      <c r="J236" s="55"/>
      <c r="K236" s="55" t="s">
        <v>270</v>
      </c>
      <c r="L236" s="56"/>
      <c r="M236" s="47">
        <f>INDEX(itemGPerQty, MATCH(K236, itemNames, 0))</f>
        <v>0</v>
      </c>
      <c r="N236" s="47">
        <f>INDEX(itemMlPerQty, MATCH(K236, itemNames, 0))</f>
        <v>0</v>
      </c>
      <c r="O236" s="47">
        <f>IF(J236 = "", I236 * M236, IF(ISNA(CONVERT(I236, J236, "kg")), CONVERT(I236, J236, "l") * IF(N236 &lt;&gt; 0, M236 / N236, 0), CONVERT(I236, J236, "kg")))</f>
        <v>0</v>
      </c>
      <c r="P236" s="47">
        <f>IF(J236 = "", I236 * N236, IF(ISNA(CONVERT(I236, J236, "l")), CONVERT(I236, J236, "kg") * IF(M236 &lt;&gt; 0, N236 / M236, 0), CONVERT(I236, J236, "l")))</f>
        <v>0</v>
      </c>
      <c r="Q236" s="47">
        <f>MROUND(IF(AND(J236 = "", L236 = ""), I236 * recipe06DayScale, IF(ISNA(CONVERT(O236, "kg", L236)), CONVERT(P236 * recipe06DayScale, "l", L236), CONVERT(O236 * recipe06DayScale, "kg", L236))), roundTo)</f>
        <v>2.25</v>
      </c>
      <c r="R236" s="47">
        <f>recipe06TotScale * IF(L236 = "", Q236 * M236, IF(ISNA(CONVERT(Q236, L236, "kg")), CONVERT(Q236, L236, "l") * IF(N236 &lt;&gt; 0, M236 / N236, 0), CONVERT(Q236, L236, "kg")))</f>
        <v>0</v>
      </c>
      <c r="S236" s="47">
        <f>recipe06TotScale * IF(R236 = 0, IF(L236 = "", Q236 * N236, IF(ISNA(CONVERT(Q236, L236, "l")), CONVERT(Q236, L236, "kg") * IF(M236 &lt;&gt; 0, N236 / M236, 0), CONVERT(Q236, L236, "l"))), 0)</f>
        <v>0</v>
      </c>
      <c r="T236" s="47">
        <f>recipe06TotScale * IF(AND(R236 = 0, S236 = 0, J236 = "", L236 = ""), Q236, 0)</f>
        <v>2.25</v>
      </c>
      <c r="V236" s="44" t="b">
        <f>INDEX(itemPrepMethods, MATCH(K236, itemNames, 0))="chop"</f>
        <v>1</v>
      </c>
      <c r="W236" s="57">
        <f>IF(V236, Q236, "")</f>
        <v>2.25</v>
      </c>
      <c r="X236" s="58" t="str">
        <f>IF(V236, IF(L236 = "", "", L236), "")</f>
        <v/>
      </c>
      <c r="Y236" s="58" t="str">
        <f>IF(V236, K236, "")</f>
        <v>blocks tofu, cut into cubes</v>
      </c>
      <c r="Z236" s="59" t="s">
        <v>272</v>
      </c>
      <c r="AA236" s="44" t="b">
        <f>INDEX(itemPrepMethods, MATCH(K236, itemNames, 0))="soak"</f>
        <v>0</v>
      </c>
      <c r="AB236" s="58" t="str">
        <f>IF(AA236, Q236, "")</f>
        <v/>
      </c>
      <c r="AC236" s="58" t="str">
        <f>IF(AA236, IF(L236 = "", "", L236), "")</f>
        <v/>
      </c>
      <c r="AD236" s="58" t="str">
        <f>IF(AA236, K236, "")</f>
        <v/>
      </c>
    </row>
    <row r="237" spans="1:30" x14ac:dyDescent="0.25">
      <c r="A237" s="111"/>
      <c r="B237" s="111"/>
      <c r="C237" s="111"/>
      <c r="D237" s="111"/>
      <c r="I237" s="47"/>
      <c r="W237" s="74"/>
      <c r="X237" s="74"/>
      <c r="Y237" s="74"/>
      <c r="Z237" s="74"/>
      <c r="AA237" s="67"/>
      <c r="AB237" s="74"/>
      <c r="AC237" s="74"/>
      <c r="AD237" s="74"/>
    </row>
    <row r="238" spans="1:30" x14ac:dyDescent="0.25">
      <c r="A238" s="111" t="s">
        <v>126</v>
      </c>
      <c r="B238" s="111"/>
      <c r="C238" s="111"/>
      <c r="D238" s="111"/>
      <c r="I238" s="47"/>
      <c r="W238" s="74"/>
      <c r="X238" s="74"/>
      <c r="Y238" s="74"/>
      <c r="Z238" s="74"/>
      <c r="AA238" s="67"/>
      <c r="AB238" s="74"/>
      <c r="AC238" s="74"/>
      <c r="AD238" s="74"/>
    </row>
    <row r="239" spans="1:30" x14ac:dyDescent="0.25">
      <c r="A239" s="40" t="s">
        <v>21</v>
      </c>
      <c r="B239" s="52">
        <f>Q239</f>
        <v>3.5</v>
      </c>
      <c r="C239" s="39" t="str">
        <f>IF(L239="","",L239)</f>
        <v/>
      </c>
      <c r="D239" s="40" t="str">
        <f>_xlfn.CONCAT(K239, U239)</f>
        <v>garlic cloves. Remove from oil once cooked</v>
      </c>
      <c r="I239" s="54">
        <v>5</v>
      </c>
      <c r="J239" s="55"/>
      <c r="K239" s="55" t="s">
        <v>8</v>
      </c>
      <c r="L239" s="56"/>
      <c r="M239" s="47">
        <f>INDEX(itemGPerQty, MATCH(K239, itemNames, 0))</f>
        <v>0</v>
      </c>
      <c r="N239" s="47">
        <f>INDEX(itemMlPerQty, MATCH(K239, itemNames, 0))</f>
        <v>0</v>
      </c>
      <c r="O239" s="47">
        <f>IF(J239 = "", I239 * M239, IF(ISNA(CONVERT(I239, J239, "kg")), CONVERT(I239, J239, "l") * IF(N239 &lt;&gt; 0, M239 / N239, 0), CONVERT(I239, J239, "kg")))</f>
        <v>0</v>
      </c>
      <c r="P239" s="47">
        <f>IF(J239 = "", I239 * N239, IF(ISNA(CONVERT(I239, J239, "l")), CONVERT(I239, J239, "kg") * IF(M239 &lt;&gt; 0, N239 / M239, 0), CONVERT(I239, J239, "l")))</f>
        <v>0</v>
      </c>
      <c r="Q239" s="47">
        <f>MROUND(IF(AND(J239 = "", L239 = ""), I239 * recipe06DayScale, IF(ISNA(CONVERT(O239, "kg", L239)), CONVERT(P239 * recipe06DayScale, "l", L239), CONVERT(O239 * recipe06DayScale, "kg", L239))), roundTo)</f>
        <v>3.5</v>
      </c>
      <c r="R239" s="47">
        <f>recipe06TotScale * IF(L239 = "", Q239 * M239, IF(ISNA(CONVERT(Q239, L239, "kg")), CONVERT(Q239, L239, "l") * IF(N239 &lt;&gt; 0, M239 / N239, 0), CONVERT(Q239, L239, "kg")))</f>
        <v>0</v>
      </c>
      <c r="S239" s="47">
        <f>recipe06TotScale * IF(R239 = 0, IF(L239 = "", Q239 * N239, IF(ISNA(CONVERT(Q239, L239, "l")), CONVERT(Q239, L239, "kg") * IF(M239 &lt;&gt; 0, N239 / M239, 0), CONVERT(Q239, L239, "l"))), 0)</f>
        <v>0</v>
      </c>
      <c r="T239" s="47">
        <f>recipe06TotScale * IF(AND(R239 = 0, S239 = 0, J239 = "", L239 = ""), Q239, 0)</f>
        <v>3.5</v>
      </c>
      <c r="U239" s="44" t="s">
        <v>243</v>
      </c>
      <c r="V239" s="44" t="b">
        <f>INDEX(itemPrepMethods, MATCH(K239, itemNames, 0))="chop"</f>
        <v>0</v>
      </c>
      <c r="W239" s="57" t="str">
        <f>IF(V239, Q239, "")</f>
        <v/>
      </c>
      <c r="X239" s="58" t="str">
        <f>IF(V239, IF(L239 = "", "", L239), "")</f>
        <v/>
      </c>
      <c r="Y239" s="58" t="str">
        <f>IF(V239, K239, "")</f>
        <v/>
      </c>
      <c r="Z239" s="59"/>
      <c r="AA239" s="44" t="b">
        <f>INDEX(itemPrepMethods, MATCH(K239, itemNames, 0))="soak"</f>
        <v>0</v>
      </c>
      <c r="AB239" s="58" t="str">
        <f>IF(AA239, Q239, "")</f>
        <v/>
      </c>
      <c r="AC239" s="58" t="str">
        <f>IF(AA239, IF(L239 = "", "", L239), "")</f>
        <v/>
      </c>
      <c r="AD239" s="58" t="str">
        <f>IF(AA239, K239, "")</f>
        <v/>
      </c>
    </row>
    <row r="240" spans="1:30" x14ac:dyDescent="0.25">
      <c r="A240" s="40" t="s">
        <v>21</v>
      </c>
      <c r="B240" s="52">
        <f t="shared" ref="B240:B241" si="213">Q240</f>
        <v>2</v>
      </c>
      <c r="C240" s="39" t="str">
        <f>IF(L240="","",L240)</f>
        <v/>
      </c>
      <c r="D240" s="40" t="str">
        <f>_xlfn.CONCAT(K240, U240)</f>
        <v>chopped onions</v>
      </c>
      <c r="I240" s="54">
        <v>2.75</v>
      </c>
      <c r="J240" s="55"/>
      <c r="K240" s="55" t="s">
        <v>6</v>
      </c>
      <c r="L240" s="56"/>
      <c r="M240" s="47">
        <f>INDEX(itemGPerQty, MATCH(K240, itemNames, 0))</f>
        <v>0.185</v>
      </c>
      <c r="N240" s="47">
        <f>INDEX(itemMlPerQty, MATCH(K240, itemNames, 0))</f>
        <v>0.3</v>
      </c>
      <c r="O240" s="47">
        <f t="shared" ref="O240:O241" si="214">IF(J240 = "", I240 * M240, IF(ISNA(CONVERT(I240, J240, "kg")), CONVERT(I240, J240, "l") * IF(N240 &lt;&gt; 0, M240 / N240, 0), CONVERT(I240, J240, "kg")))</f>
        <v>0.50875000000000004</v>
      </c>
      <c r="P240" s="47">
        <f t="shared" ref="P240:P241" si="215">IF(J240 = "", I240 * N240, IF(ISNA(CONVERT(I240, J240, "l")), CONVERT(I240, J240, "kg") * IF(M240 &lt;&gt; 0, N240 / M240, 0), CONVERT(I240, J240, "l")))</f>
        <v>0.82499999999999996</v>
      </c>
      <c r="Q240" s="47">
        <f>MROUND(IF(AND(J240 = "", L240 = ""), I240 * recipe06DayScale, IF(ISNA(CONVERT(O240, "kg", L240)), CONVERT(P240 * recipe06DayScale, "l", L240), CONVERT(O240 * recipe06DayScale, "kg", L240))), roundTo)</f>
        <v>2</v>
      </c>
      <c r="R240" s="47">
        <f>recipe06TotScale * IF(L240 = "", Q240 * M240, IF(ISNA(CONVERT(Q240, L240, "kg")), CONVERT(Q240, L240, "l") * IF(N240 &lt;&gt; 0, M240 / N240, 0), CONVERT(Q240, L240, "kg")))</f>
        <v>0.37</v>
      </c>
      <c r="S240" s="47">
        <f>recipe06TotScale * IF(R240 = 0, IF(L240 = "", Q240 * N240, IF(ISNA(CONVERT(Q240, L240, "l")), CONVERT(Q240, L240, "kg") * IF(M240 &lt;&gt; 0, N240 / M240, 0), CONVERT(Q240, L240, "l"))), 0)</f>
        <v>0</v>
      </c>
      <c r="T240" s="47">
        <f>recipe06TotScale * IF(AND(R240 = 0, S240 = 0, J240 = "", L240 = ""), Q240, 0)</f>
        <v>0</v>
      </c>
      <c r="V240" s="44" t="b">
        <f>INDEX(itemPrepMethods, MATCH(K240, itemNames, 0))="chop"</f>
        <v>1</v>
      </c>
      <c r="W240" s="57">
        <f>IF(V240, Q240, "")</f>
        <v>2</v>
      </c>
      <c r="X240" s="58" t="str">
        <f>IF(V240, IF(L240 = "", "", L240), "")</f>
        <v/>
      </c>
      <c r="Y240" s="58" t="str">
        <f>IF(V240, K240, "")</f>
        <v>chopped onions</v>
      </c>
      <c r="Z240" s="59"/>
      <c r="AA240" s="44" t="b">
        <f>INDEX(itemPrepMethods, MATCH(K240, itemNames, 0))="soak"</f>
        <v>0</v>
      </c>
      <c r="AB240" s="58" t="str">
        <f>IF(AA240, Q240, "")</f>
        <v/>
      </c>
      <c r="AC240" s="58" t="str">
        <f>IF(AA240, IF(L240 = "", "", L240), "")</f>
        <v/>
      </c>
      <c r="AD240" s="58" t="str">
        <f>IF(AA240, K240, "")</f>
        <v/>
      </c>
    </row>
    <row r="241" spans="1:30" x14ac:dyDescent="0.25">
      <c r="A241" s="40" t="s">
        <v>21</v>
      </c>
      <c r="B241" s="52">
        <f t="shared" si="213"/>
        <v>0.25</v>
      </c>
      <c r="C241" s="39" t="str">
        <f>IF(L241="","",L241)</f>
        <v>cup</v>
      </c>
      <c r="D241" s="40" t="str">
        <f>_xlfn.CONCAT(K241, U241)</f>
        <v>minced fresh ginger</v>
      </c>
      <c r="I241" s="54">
        <v>0.5</v>
      </c>
      <c r="J241" s="55" t="s">
        <v>16</v>
      </c>
      <c r="K241" s="55" t="s">
        <v>231</v>
      </c>
      <c r="L241" s="56" t="s">
        <v>16</v>
      </c>
      <c r="M241" s="47">
        <f>INDEX(itemGPerQty, MATCH(K241, itemNames, 0))</f>
        <v>0</v>
      </c>
      <c r="N241" s="47">
        <f>INDEX(itemMlPerQty, MATCH(K241, itemNames, 0))</f>
        <v>0</v>
      </c>
      <c r="O241" s="47">
        <f t="shared" si="214"/>
        <v>0</v>
      </c>
      <c r="P241" s="47">
        <f t="shared" si="215"/>
        <v>0.11829411825</v>
      </c>
      <c r="Q241" s="47">
        <f>MROUND(IF(AND(J241 = "", L241 = ""), I241 * recipe06DayScale, IF(ISNA(CONVERT(O241, "kg", L241)), CONVERT(P241 * recipe06DayScale, "l", L241), CONVERT(O241 * recipe06DayScale, "kg", L241))), roundTo)</f>
        <v>0.25</v>
      </c>
      <c r="R241" s="47">
        <f>recipe06TotScale * IF(L241 = "", Q241 * M241, IF(ISNA(CONVERT(Q241, L241, "kg")), CONVERT(Q241, L241, "l") * IF(N241 &lt;&gt; 0, M241 / N241, 0), CONVERT(Q241, L241, "kg")))</f>
        <v>0</v>
      </c>
      <c r="S241" s="47">
        <f>recipe06TotScale * IF(R241 = 0, IF(L241 = "", Q241 * N241, IF(ISNA(CONVERT(Q241, L241, "l")), CONVERT(Q241, L241, "kg") * IF(M241 &lt;&gt; 0, N241 / M241, 0), CONVERT(Q241, L241, "l"))), 0)</f>
        <v>5.9147059124999998E-2</v>
      </c>
      <c r="T241" s="47">
        <f>recipe06TotScale * IF(AND(R241 = 0, S241 = 0, J241 = "", L241 = ""), Q241, 0)</f>
        <v>0</v>
      </c>
      <c r="V241" s="44" t="b">
        <f>INDEX(itemPrepMethods, MATCH(K241, itemNames, 0))="chop"</f>
        <v>1</v>
      </c>
      <c r="W241" s="57">
        <f>IF(V241, Q241, "")</f>
        <v>0.25</v>
      </c>
      <c r="X241" s="58" t="str">
        <f>IF(V241, IF(L241 = "", "", L241), "")</f>
        <v>cup</v>
      </c>
      <c r="Y241" s="58" t="str">
        <f>IF(V241, K241, "")</f>
        <v>minced fresh ginger</v>
      </c>
      <c r="Z241" s="59"/>
      <c r="AA241" s="44" t="b">
        <f>INDEX(itemPrepMethods, MATCH(K241, itemNames, 0))="soak"</f>
        <v>0</v>
      </c>
      <c r="AB241" s="58" t="str">
        <f>IF(AA241, Q241, "")</f>
        <v/>
      </c>
      <c r="AC241" s="58" t="str">
        <f>IF(AA241, IF(L241 = "", "", L241), "")</f>
        <v/>
      </c>
      <c r="AD241" s="58" t="str">
        <f>IF(AA241, K241, "")</f>
        <v/>
      </c>
    </row>
    <row r="242" spans="1:30" x14ac:dyDescent="0.25">
      <c r="A242" s="111"/>
      <c r="B242" s="111"/>
      <c r="C242" s="111"/>
      <c r="D242" s="111"/>
      <c r="I242" s="47"/>
      <c r="W242" s="74"/>
      <c r="X242" s="74"/>
      <c r="Y242" s="74"/>
      <c r="Z242" s="74"/>
      <c r="AA242" s="67"/>
      <c r="AB242" s="74"/>
      <c r="AC242" s="74"/>
      <c r="AD242" s="74"/>
    </row>
    <row r="243" spans="1:30" x14ac:dyDescent="0.25">
      <c r="A243" s="111" t="s">
        <v>127</v>
      </c>
      <c r="B243" s="111"/>
      <c r="C243" s="111"/>
      <c r="D243" s="111"/>
      <c r="I243" s="47"/>
      <c r="W243" s="74"/>
      <c r="X243" s="74"/>
      <c r="Y243" s="74"/>
      <c r="Z243" s="74"/>
      <c r="AA243" s="67"/>
      <c r="AB243" s="74"/>
      <c r="AC243" s="74"/>
      <c r="AD243" s="74"/>
    </row>
    <row r="244" spans="1:30" x14ac:dyDescent="0.25">
      <c r="A244" s="40" t="s">
        <v>21</v>
      </c>
      <c r="B244" s="52">
        <f t="shared" ref="B244:B247" si="216">Q244</f>
        <v>2.25</v>
      </c>
      <c r="C244" s="39" t="str">
        <f>IF(L244="","",L244)</f>
        <v/>
      </c>
      <c r="D244" s="40" t="str">
        <f t="shared" ref="D244:D249" si="217">_xlfn.CONCAT(K244, U244)</f>
        <v>chopped broccoli</v>
      </c>
      <c r="I244" s="54">
        <v>3</v>
      </c>
      <c r="J244" s="55"/>
      <c r="K244" s="55" t="s">
        <v>120</v>
      </c>
      <c r="L244" s="56"/>
      <c r="M244" s="47">
        <f>INDEX(itemGPerQty, MATCH(K244, itemNames, 0))</f>
        <v>0.313</v>
      </c>
      <c r="N244" s="47">
        <f>INDEX(itemMlPerQty, MATCH(K244, itemNames, 0))</f>
        <v>0</v>
      </c>
      <c r="O244" s="47">
        <f t="shared" ref="O244:O247" si="218">IF(J244 = "", I244 * M244, IF(ISNA(CONVERT(I244, J244, "kg")), CONVERT(I244, J244, "l") * IF(N244 &lt;&gt; 0, M244 / N244, 0), CONVERT(I244, J244, "kg")))</f>
        <v>0.93900000000000006</v>
      </c>
      <c r="P244" s="47">
        <f t="shared" ref="P244:P247" si="219">IF(J244 = "", I244 * N244, IF(ISNA(CONVERT(I244, J244, "l")), CONVERT(I244, J244, "kg") * IF(M244 &lt;&gt; 0, N244 / M244, 0), CONVERT(I244, J244, "l")))</f>
        <v>0</v>
      </c>
      <c r="Q244" s="47">
        <f>MROUND(IF(AND(J244 = "", L244 = ""), I244 * recipe06DayScale, IF(ISNA(CONVERT(O244, "kg", L244)), CONVERT(P244 * recipe06DayScale, "l", L244), CONVERT(O244 * recipe06DayScale, "kg", L244))), roundTo)</f>
        <v>2.25</v>
      </c>
      <c r="R244" s="47">
        <f>recipe06TotScale * IF(L244 = "", Q244 * M244, IF(ISNA(CONVERT(Q244, L244, "kg")), CONVERT(Q244, L244, "l") * IF(N244 &lt;&gt; 0, M244 / N244, 0), CONVERT(Q244, L244, "kg")))</f>
        <v>0.70425000000000004</v>
      </c>
      <c r="S244" s="47">
        <f>recipe06TotScale * IF(R244 = 0, IF(L244 = "", Q244 * N244, IF(ISNA(CONVERT(Q244, L244, "l")), CONVERT(Q244, L244, "kg") * IF(M244 &lt;&gt; 0, N244 / M244, 0), CONVERT(Q244, L244, "l"))), 0)</f>
        <v>0</v>
      </c>
      <c r="T244" s="47">
        <f>recipe06TotScale * IF(AND(R244 = 0, S244 = 0, J244 = "", L244 = ""), Q244, 0)</f>
        <v>0</v>
      </c>
      <c r="V244" s="44" t="b">
        <f>INDEX(itemPrepMethods, MATCH(K244, itemNames, 0))="chop"</f>
        <v>1</v>
      </c>
      <c r="W244" s="57">
        <f>IF(V244, Q244, "")</f>
        <v>2.25</v>
      </c>
      <c r="X244" s="58" t="str">
        <f>IF(V244, IF(L244 = "", "", L244), "")</f>
        <v/>
      </c>
      <c r="Y244" s="58" t="str">
        <f>IF(V244, K244, "")</f>
        <v>chopped broccoli</v>
      </c>
      <c r="Z244" s="59"/>
      <c r="AA244" s="44" t="b">
        <f>INDEX(itemPrepMethods, MATCH(K244, itemNames, 0))="soak"</f>
        <v>0</v>
      </c>
      <c r="AB244" s="58" t="str">
        <f>IF(AA244, Q244, "")</f>
        <v/>
      </c>
      <c r="AC244" s="58" t="str">
        <f>IF(AA244, IF(L244 = "", "", L244), "")</f>
        <v/>
      </c>
      <c r="AD244" s="58" t="str">
        <f>IF(AA244, K244, "")</f>
        <v/>
      </c>
    </row>
    <row r="245" spans="1:30" x14ac:dyDescent="0.25">
      <c r="A245" s="40" t="s">
        <v>21</v>
      </c>
      <c r="B245" s="52">
        <f t="shared" si="216"/>
        <v>1.5</v>
      </c>
      <c r="C245" s="39" t="str">
        <f>IF(L245="","",L245)</f>
        <v/>
      </c>
      <c r="D245" s="40" t="str">
        <f t="shared" si="217"/>
        <v>chopped cauliflowers</v>
      </c>
      <c r="I245" s="54">
        <v>2</v>
      </c>
      <c r="J245" s="55"/>
      <c r="K245" s="55" t="s">
        <v>167</v>
      </c>
      <c r="L245" s="56"/>
      <c r="M245" s="47">
        <f>INDEX(itemGPerQty, MATCH(K245, itemNames, 0))</f>
        <v>0</v>
      </c>
      <c r="N245" s="47">
        <f>INDEX(itemMlPerQty, MATCH(K245, itemNames, 0))</f>
        <v>0</v>
      </c>
      <c r="O245" s="47">
        <f t="shared" si="218"/>
        <v>0</v>
      </c>
      <c r="P245" s="47">
        <f t="shared" si="219"/>
        <v>0</v>
      </c>
      <c r="Q245" s="47">
        <f>MROUND(IF(AND(J245 = "", L245 = ""), I245 * recipe06DayScale, IF(ISNA(CONVERT(O245, "kg", L245)), CONVERT(P245 * recipe06DayScale, "l", L245), CONVERT(O245 * recipe06DayScale, "kg", L245))), roundTo)</f>
        <v>1.5</v>
      </c>
      <c r="R245" s="47">
        <f>recipe06TotScale * IF(L245 = "", Q245 * M245, IF(ISNA(CONVERT(Q245, L245, "kg")), CONVERT(Q245, L245, "l") * IF(N245 &lt;&gt; 0, M245 / N245, 0), CONVERT(Q245, L245, "kg")))</f>
        <v>0</v>
      </c>
      <c r="S245" s="47">
        <f>recipe06TotScale * IF(R245 = 0, IF(L245 = "", Q245 * N245, IF(ISNA(CONVERT(Q245, L245, "l")), CONVERT(Q245, L245, "kg") * IF(M245 &lt;&gt; 0, N245 / M245, 0), CONVERT(Q245, L245, "l"))), 0)</f>
        <v>0</v>
      </c>
      <c r="T245" s="47">
        <f>recipe06TotScale * IF(AND(R245 = 0, S245 = 0, J245 = "", L245 = ""), Q245, 0)</f>
        <v>1.5</v>
      </c>
      <c r="V245" s="44" t="b">
        <f>INDEX(itemPrepMethods, MATCH(K245, itemNames, 0))="chop"</f>
        <v>1</v>
      </c>
      <c r="W245" s="57">
        <f>IF(V245, Q245, "")</f>
        <v>1.5</v>
      </c>
      <c r="X245" s="58" t="str">
        <f>IF(V245, IF(L245 = "", "", L245), "")</f>
        <v/>
      </c>
      <c r="Y245" s="58" t="str">
        <f>IF(V245, K245, "")</f>
        <v>chopped cauliflowers</v>
      </c>
      <c r="Z245" s="59"/>
      <c r="AA245" s="44" t="b">
        <f>INDEX(itemPrepMethods, MATCH(K245, itemNames, 0))="soak"</f>
        <v>0</v>
      </c>
      <c r="AB245" s="58" t="str">
        <f>IF(AA245, Q245, "")</f>
        <v/>
      </c>
      <c r="AC245" s="58" t="str">
        <f>IF(AA245, IF(L245 = "", "", L245), "")</f>
        <v/>
      </c>
      <c r="AD245" s="58" t="str">
        <f>IF(AA245, K245, "")</f>
        <v/>
      </c>
    </row>
    <row r="246" spans="1:30" x14ac:dyDescent="0.25">
      <c r="A246" s="40" t="s">
        <v>21</v>
      </c>
      <c r="B246" s="52">
        <f t="shared" si="216"/>
        <v>1</v>
      </c>
      <c r="C246" s="39" t="str">
        <f>IF(L246="","",L246)</f>
        <v>cup</v>
      </c>
      <c r="D246" s="40" t="str">
        <f t="shared" si="217"/>
        <v>peanuts</v>
      </c>
      <c r="I246" s="54">
        <v>1.5</v>
      </c>
      <c r="J246" s="55" t="s">
        <v>16</v>
      </c>
      <c r="K246" s="55" t="s">
        <v>121</v>
      </c>
      <c r="L246" s="56" t="s">
        <v>16</v>
      </c>
      <c r="M246" s="47">
        <f>INDEX(itemGPerQty, MATCH(K246, itemNames, 0))</f>
        <v>0</v>
      </c>
      <c r="N246" s="47">
        <f>INDEX(itemMlPerQty, MATCH(K246, itemNames, 0))</f>
        <v>0</v>
      </c>
      <c r="O246" s="47">
        <f t="shared" si="218"/>
        <v>0</v>
      </c>
      <c r="P246" s="47">
        <f t="shared" si="219"/>
        <v>0.35488235474999996</v>
      </c>
      <c r="Q246" s="47">
        <f>MROUND(IF(AND(J246 = "", L246 = ""), I246 * recipe06DayScale, IF(ISNA(CONVERT(O246, "kg", L246)), CONVERT(P246 * recipe06DayScale, "l", L246), CONVERT(O246 * recipe06DayScale, "kg", L246))), roundTo)</f>
        <v>1</v>
      </c>
      <c r="R246" s="47">
        <f>recipe06TotScale * IF(L246 = "", Q246 * M246, IF(ISNA(CONVERT(Q246, L246, "kg")), CONVERT(Q246, L246, "l") * IF(N246 &lt;&gt; 0, M246 / N246, 0), CONVERT(Q246, L246, "kg")))</f>
        <v>0</v>
      </c>
      <c r="S246" s="47">
        <f>recipe06TotScale * IF(R246 = 0, IF(L246 = "", Q246 * N246, IF(ISNA(CONVERT(Q246, L246, "l")), CONVERT(Q246, L246, "kg") * IF(M246 &lt;&gt; 0, N246 / M246, 0), CONVERT(Q246, L246, "l"))), 0)</f>
        <v>0.23658823649999999</v>
      </c>
      <c r="T246" s="47">
        <f>recipe06TotScale * IF(AND(R246 = 0, S246 = 0, J246 = "", L246 = ""), Q246, 0)</f>
        <v>0</v>
      </c>
      <c r="V246" s="44" t="b">
        <f>INDEX(itemPrepMethods, MATCH(K246, itemNames, 0))="chop"</f>
        <v>0</v>
      </c>
      <c r="W246" s="57" t="str">
        <f>IF(V246, Q246, "")</f>
        <v/>
      </c>
      <c r="X246" s="58" t="str">
        <f>IF(V246, IF(L246 = "", "", L246), "")</f>
        <v/>
      </c>
      <c r="Y246" s="58" t="str">
        <f>IF(V246, K246, "")</f>
        <v/>
      </c>
      <c r="Z246" s="59"/>
      <c r="AA246" s="44" t="b">
        <f>INDEX(itemPrepMethods, MATCH(K246, itemNames, 0))="soak"</f>
        <v>0</v>
      </c>
      <c r="AB246" s="58" t="str">
        <f>IF(AA246, Q246, "")</f>
        <v/>
      </c>
      <c r="AC246" s="58" t="str">
        <f>IF(AA246, IF(L246 = "", "", L246), "")</f>
        <v/>
      </c>
      <c r="AD246" s="58" t="str">
        <f>IF(AA246, K246, "")</f>
        <v/>
      </c>
    </row>
    <row r="247" spans="1:30" x14ac:dyDescent="0.25">
      <c r="A247" s="40" t="s">
        <v>21</v>
      </c>
      <c r="B247" s="52">
        <f t="shared" si="216"/>
        <v>2.25</v>
      </c>
      <c r="C247" s="39" t="str">
        <f>IF(L247="","",L247)</f>
        <v>cup</v>
      </c>
      <c r="D247" s="40" t="str">
        <f t="shared" si="217"/>
        <v>tins coconut milk</v>
      </c>
      <c r="I247" s="54">
        <v>3</v>
      </c>
      <c r="J247" s="55" t="s">
        <v>16</v>
      </c>
      <c r="K247" s="55" t="s">
        <v>122</v>
      </c>
      <c r="L247" s="56" t="s">
        <v>16</v>
      </c>
      <c r="M247" s="47">
        <f>INDEX(itemGPerQty, MATCH(K247, itemNames, 0))</f>
        <v>0</v>
      </c>
      <c r="N247" s="47">
        <f>INDEX(itemMlPerQty, MATCH(K247, itemNames, 0))</f>
        <v>0</v>
      </c>
      <c r="O247" s="47">
        <f t="shared" si="218"/>
        <v>0</v>
      </c>
      <c r="P247" s="47">
        <f t="shared" si="219"/>
        <v>0.70976470949999992</v>
      </c>
      <c r="Q247" s="47">
        <f>MROUND(IF(AND(J247 = "", L247 = ""), I247 * recipe06DayScale, IF(ISNA(CONVERT(O247, "kg", L247)), CONVERT(P247 * recipe06DayScale, "l", L247), CONVERT(O247 * recipe06DayScale, "kg", L247))), roundTo)</f>
        <v>2.25</v>
      </c>
      <c r="R247" s="47">
        <f>recipe06TotScale * IF(L247 = "", Q247 * M247, IF(ISNA(CONVERT(Q247, L247, "kg")), CONVERT(Q247, L247, "l") * IF(N247 &lt;&gt; 0, M247 / N247, 0), CONVERT(Q247, L247, "kg")))</f>
        <v>0</v>
      </c>
      <c r="S247" s="47">
        <f>recipe06TotScale * IF(R247 = 0, IF(L247 = "", Q247 * N247, IF(ISNA(CONVERT(Q247, L247, "l")), CONVERT(Q247, L247, "kg") * IF(M247 &lt;&gt; 0, N247 / M247, 0), CONVERT(Q247, L247, "l"))), 0)</f>
        <v>0.53232353212499994</v>
      </c>
      <c r="T247" s="47">
        <f>recipe06TotScale * IF(AND(R247 = 0, S247 = 0, J247 = "", L247 = ""), Q247, 0)</f>
        <v>0</v>
      </c>
      <c r="V247" s="44" t="b">
        <f>INDEX(itemPrepMethods, MATCH(K247, itemNames, 0))="chop"</f>
        <v>0</v>
      </c>
      <c r="W247" s="57" t="str">
        <f>IF(V247, Q247, "")</f>
        <v/>
      </c>
      <c r="X247" s="58" t="str">
        <f>IF(V247, IF(L247 = "", "", L247), "")</f>
        <v/>
      </c>
      <c r="Y247" s="58" t="str">
        <f>IF(V247, K247, "")</f>
        <v/>
      </c>
      <c r="Z247" s="59"/>
      <c r="AA247" s="44" t="b">
        <f>INDEX(itemPrepMethods, MATCH(K247, itemNames, 0))="soak"</f>
        <v>0</v>
      </c>
      <c r="AB247" s="58" t="str">
        <f>IF(AA247, Q247, "")</f>
        <v/>
      </c>
      <c r="AC247" s="58" t="str">
        <f>IF(AA247, IF(L247 = "", "", L247), "")</f>
        <v/>
      </c>
      <c r="AD247" s="58" t="str">
        <f>IF(AA247, K247, "")</f>
        <v/>
      </c>
    </row>
    <row r="248" spans="1:30" x14ac:dyDescent="0.25">
      <c r="A248" s="40" t="s">
        <v>21</v>
      </c>
      <c r="D248" s="40" t="str">
        <f t="shared" si="217"/>
        <v>grilled tofu</v>
      </c>
      <c r="I248" s="47"/>
      <c r="U248" s="44" t="s">
        <v>128</v>
      </c>
    </row>
    <row r="249" spans="1:30" x14ac:dyDescent="0.25">
      <c r="A249" s="40" t="s">
        <v>21</v>
      </c>
      <c r="D249" s="40" t="str">
        <f t="shared" si="217"/>
        <v>peanut sauce</v>
      </c>
      <c r="I249" s="47"/>
      <c r="U249" s="44" t="s">
        <v>129</v>
      </c>
    </row>
    <row r="250" spans="1:30" ht="15.75" x14ac:dyDescent="0.25">
      <c r="A250" s="110" t="s">
        <v>32</v>
      </c>
      <c r="B250" s="110"/>
      <c r="C250" s="110"/>
      <c r="D250" s="110"/>
      <c r="E250" s="43" t="s">
        <v>138</v>
      </c>
      <c r="F250" s="104" t="s">
        <v>81</v>
      </c>
      <c r="G250" s="104"/>
      <c r="H250" s="47"/>
    </row>
    <row r="251" spans="1:30" ht="24" x14ac:dyDescent="0.2">
      <c r="A251" s="110" t="s">
        <v>40</v>
      </c>
      <c r="B251" s="110"/>
      <c r="C251" s="110"/>
      <c r="D251" s="110"/>
      <c r="E251" s="42" t="s">
        <v>56</v>
      </c>
      <c r="F251" s="90">
        <v>15</v>
      </c>
      <c r="G251" s="47"/>
      <c r="H251" s="47"/>
      <c r="I251" s="70" t="s">
        <v>448</v>
      </c>
      <c r="J251" s="71" t="s">
        <v>449</v>
      </c>
      <c r="K251" s="71" t="s">
        <v>17</v>
      </c>
      <c r="L251" s="72" t="s">
        <v>452</v>
      </c>
      <c r="M251" s="70" t="s">
        <v>148</v>
      </c>
      <c r="N251" s="70" t="s">
        <v>149</v>
      </c>
      <c r="O251" s="70" t="s">
        <v>450</v>
      </c>
      <c r="P251" s="70" t="s">
        <v>451</v>
      </c>
      <c r="Q251" s="71" t="s">
        <v>364</v>
      </c>
      <c r="R251" s="70" t="s">
        <v>365</v>
      </c>
      <c r="S251" s="70" t="s">
        <v>366</v>
      </c>
      <c r="T251" s="70" t="s">
        <v>367</v>
      </c>
      <c r="U251" s="71" t="s">
        <v>22</v>
      </c>
      <c r="V251" s="71" t="s">
        <v>212</v>
      </c>
      <c r="W251" s="73" t="s">
        <v>364</v>
      </c>
      <c r="X251" s="71" t="s">
        <v>210</v>
      </c>
      <c r="Y251" s="71" t="s">
        <v>211</v>
      </c>
      <c r="Z251" s="71" t="s">
        <v>313</v>
      </c>
      <c r="AA251" s="71" t="s">
        <v>213</v>
      </c>
      <c r="AB251" s="73" t="s">
        <v>364</v>
      </c>
      <c r="AC251" s="71" t="s">
        <v>214</v>
      </c>
      <c r="AD251" s="71" t="s">
        <v>215</v>
      </c>
    </row>
    <row r="252" spans="1:30" ht="15.75" thickBot="1" x14ac:dyDescent="0.3">
      <c r="A252" s="111"/>
      <c r="B252" s="111"/>
      <c r="C252" s="111"/>
      <c r="D252" s="111"/>
      <c r="E252" s="66" t="s">
        <v>359</v>
      </c>
      <c r="F252" s="90">
        <f>tuDiCount</f>
        <v>10</v>
      </c>
      <c r="G252" s="47"/>
      <c r="H252" s="53"/>
    </row>
    <row r="253" spans="1:30" ht="15.75" thickBot="1" x14ac:dyDescent="0.3">
      <c r="A253" s="111" t="s">
        <v>274</v>
      </c>
      <c r="B253" s="111"/>
      <c r="C253" s="111"/>
      <c r="D253" s="111"/>
      <c r="E253" s="66" t="s">
        <v>362</v>
      </c>
      <c r="F253" s="50">
        <f>F252/F251</f>
        <v>0.66666666666666663</v>
      </c>
      <c r="G253" s="51" t="s">
        <v>384</v>
      </c>
      <c r="I253" s="47"/>
      <c r="W253" s="57"/>
      <c r="X253" s="58"/>
      <c r="Y253" s="58"/>
      <c r="Z253" s="59"/>
      <c r="AB253" s="58"/>
      <c r="AC253" s="58"/>
      <c r="AD253" s="58"/>
    </row>
    <row r="254" spans="1:30" x14ac:dyDescent="0.25">
      <c r="A254" s="40" t="s">
        <v>21</v>
      </c>
      <c r="B254" s="52">
        <f t="shared" ref="B254:B271" si="220">Q254</f>
        <v>3.25</v>
      </c>
      <c r="C254" s="39" t="str">
        <f t="shared" ref="C254:C271" si="221">IF(L254="","",L254)</f>
        <v>tbs</v>
      </c>
      <c r="D254" s="40" t="str">
        <f>_xlfn.CONCAT(K254, U254)</f>
        <v>minced fresh ginger</v>
      </c>
      <c r="E254" s="67"/>
      <c r="F254" s="67"/>
      <c r="G254" s="67"/>
      <c r="I254" s="54">
        <v>5</v>
      </c>
      <c r="J254" s="55" t="s">
        <v>15</v>
      </c>
      <c r="K254" s="55" t="s">
        <v>231</v>
      </c>
      <c r="L254" s="56" t="s">
        <v>15</v>
      </c>
      <c r="M254" s="47">
        <f t="shared" ref="M254:M271" si="222">INDEX(itemGPerQty, MATCH(K254, itemNames, 0))</f>
        <v>0</v>
      </c>
      <c r="N254" s="47">
        <f t="shared" ref="N254:N271" si="223">INDEX(itemMlPerQty, MATCH(K254, itemNames, 0))</f>
        <v>0</v>
      </c>
      <c r="O254" s="47">
        <f t="shared" ref="O254:O271" si="224">IF(J254 = "", I254 * M254, IF(ISNA(CONVERT(I254, J254, "kg")), CONVERT(I254, J254, "l") * IF(N254 &lt;&gt; 0, M254 / N254, 0), CONVERT(I254, J254, "kg")))</f>
        <v>0</v>
      </c>
      <c r="P254" s="47">
        <f t="shared" ref="P254:P271" si="225">IF(J254 = "", I254 * N254, IF(ISNA(CONVERT(I254, J254, "l")), CONVERT(I254, J254, "kg") * IF(M254 &lt;&gt; 0, N254 / M254, 0), CONVERT(I254, J254, "l")))</f>
        <v>7.3933823906250001E-2</v>
      </c>
      <c r="Q254" s="47">
        <f>MROUND(IF(AND(J254 = "", L254 = ""), I254 * recipe07DayScale, IF(ISNA(CONVERT(O254, "kg", L254)), CONVERT(P254 * recipe07DayScale, "l", L254), CONVERT(O254 * recipe07DayScale, "kg", L254))), roundTo)</f>
        <v>3.25</v>
      </c>
      <c r="R254" s="47">
        <f>recipe07TotScale * IF(L254 = "", Q254 * M254, IF(ISNA(CONVERT(Q254, L254, "kg")), CONVERT(Q254, L254, "l") * IF(N254 &lt;&gt; 0, M254 / N254, 0), CONVERT(Q254, L254, "kg")))</f>
        <v>0</v>
      </c>
      <c r="S254" s="47">
        <f>recipe07TotScale * IF(R254 = 0, IF(L254 = "", Q254 * N254, IF(ISNA(CONVERT(Q254, L254, "l")), CONVERT(Q254, L254, "kg") * IF(M254 &lt;&gt; 0, N254 / M254, 0), CONVERT(Q254, L254, "l"))), 0)</f>
        <v>4.8056985539062499E-2</v>
      </c>
      <c r="T254" s="47">
        <f>recipe07TotScale * IF(AND(R254 = 0, S254 = 0, J254 = "", L254 = ""), Q254, 0)</f>
        <v>0</v>
      </c>
      <c r="V254" s="44" t="b">
        <f>INDEX(itemPrepMethods, MATCH(K254, itemNames, 0))="chop"</f>
        <v>1</v>
      </c>
      <c r="W254" s="57">
        <f>IF(V254, Q254, "")</f>
        <v>3.25</v>
      </c>
      <c r="X254" s="58" t="str">
        <f>IF(V254, IF(L254 = "", "", L254), "")</f>
        <v>tbs</v>
      </c>
      <c r="Y254" s="58" t="str">
        <f>IF(V254, K254, "")</f>
        <v>minced fresh ginger</v>
      </c>
      <c r="Z254" s="59"/>
      <c r="AA254" s="44" t="b">
        <f>INDEX(itemPrepMethods, MATCH(K254, itemNames, 0))="soak"</f>
        <v>0</v>
      </c>
      <c r="AB254" s="58" t="str">
        <f>IF(AA254, Q254, "")</f>
        <v/>
      </c>
      <c r="AC254" s="58" t="str">
        <f>IF(AA254, IF(L254 = "", "", L254), "")</f>
        <v/>
      </c>
      <c r="AD254" s="58" t="str">
        <f>IF(AA254, K254, "")</f>
        <v/>
      </c>
    </row>
    <row r="255" spans="1:30" ht="15.75" thickBot="1" x14ac:dyDescent="0.3">
      <c r="A255" s="40" t="s">
        <v>21</v>
      </c>
      <c r="B255" s="52">
        <f t="shared" si="220"/>
        <v>6.75</v>
      </c>
      <c r="C255" s="39" t="str">
        <f t="shared" si="221"/>
        <v/>
      </c>
      <c r="D255" s="40" t="str">
        <f>_xlfn.CONCAT(K255, U255)</f>
        <v>thinly sliced carrots</v>
      </c>
      <c r="E255" s="66" t="s">
        <v>338</v>
      </c>
      <c r="F255" s="90">
        <f>tuDiCount</f>
        <v>10</v>
      </c>
      <c r="G255" s="67"/>
      <c r="I255" s="54">
        <v>10</v>
      </c>
      <c r="J255" s="55"/>
      <c r="K255" s="55" t="s">
        <v>61</v>
      </c>
      <c r="L255" s="56"/>
      <c r="M255" s="47">
        <f t="shared" si="222"/>
        <v>0</v>
      </c>
      <c r="N255" s="47">
        <f t="shared" si="223"/>
        <v>0</v>
      </c>
      <c r="O255" s="47">
        <f t="shared" si="224"/>
        <v>0</v>
      </c>
      <c r="P255" s="47">
        <f t="shared" si="225"/>
        <v>0</v>
      </c>
      <c r="Q255" s="47">
        <f>MROUND(IF(AND(J255 = "", L255 = ""), I255 * recipe07DayScale, IF(ISNA(CONVERT(O255, "kg", L255)), CONVERT(P255 * recipe07DayScale, "l", L255), CONVERT(O255 * recipe07DayScale, "kg", L255))), roundTo)</f>
        <v>6.75</v>
      </c>
      <c r="R255" s="47">
        <f>recipe07TotScale * IF(L255 = "", Q255 * M255, IF(ISNA(CONVERT(Q255, L255, "kg")), CONVERT(Q255, L255, "l") * IF(N255 &lt;&gt; 0, M255 / N255, 0), CONVERT(Q255, L255, "kg")))</f>
        <v>0</v>
      </c>
      <c r="S255" s="47">
        <f>recipe07TotScale * IF(R255 = 0, IF(L255 = "", Q255 * N255, IF(ISNA(CONVERT(Q255, L255, "l")), CONVERT(Q255, L255, "kg") * IF(M255 &lt;&gt; 0, N255 / M255, 0), CONVERT(Q255, L255, "l"))), 0)</f>
        <v>0</v>
      </c>
      <c r="T255" s="47">
        <f>recipe07TotScale * IF(AND(R255 = 0, S255 = 0, J255 = "", L255 = ""), Q255, 0)</f>
        <v>6.75</v>
      </c>
      <c r="V255" s="44" t="b">
        <f>INDEX(itemPrepMethods, MATCH(K255, itemNames, 0))="chop"</f>
        <v>1</v>
      </c>
      <c r="W255" s="57">
        <f>IF(V255, Q255, "")</f>
        <v>6.75</v>
      </c>
      <c r="X255" s="58" t="str">
        <f>IF(V255, IF(L255 = "", "", L255), "")</f>
        <v/>
      </c>
      <c r="Y255" s="58" t="str">
        <f>IF(V255, K255, "")</f>
        <v>thinly sliced carrots</v>
      </c>
      <c r="Z255" s="59"/>
      <c r="AA255" s="44" t="b">
        <f>INDEX(itemPrepMethods, MATCH(K255, itemNames, 0))="soak"</f>
        <v>0</v>
      </c>
      <c r="AB255" s="58" t="str">
        <f>IF(AA255, Q255, "")</f>
        <v/>
      </c>
      <c r="AC255" s="58" t="str">
        <f>IF(AA255, IF(L255 = "", "", L255), "")</f>
        <v/>
      </c>
      <c r="AD255" s="58" t="str">
        <f>IF(AA255, K255, "")</f>
        <v/>
      </c>
    </row>
    <row r="256" spans="1:30" ht="15.75" thickBot="1" x14ac:dyDescent="0.3">
      <c r="A256" s="40" t="s">
        <v>21</v>
      </c>
      <c r="B256" s="52">
        <f t="shared" si="220"/>
        <v>3.25</v>
      </c>
      <c r="C256" s="39" t="str">
        <f t="shared" si="221"/>
        <v/>
      </c>
      <c r="D256" s="40" t="str">
        <f>_xlfn.CONCAT(K256, U256)</f>
        <v>thinly sliced celery stalks</v>
      </c>
      <c r="E256" s="66" t="s">
        <v>363</v>
      </c>
      <c r="F256" s="50">
        <f>F255/F252</f>
        <v>1</v>
      </c>
      <c r="G256" s="51" t="s">
        <v>385</v>
      </c>
      <c r="I256" s="54">
        <v>5</v>
      </c>
      <c r="J256" s="55"/>
      <c r="K256" s="55" t="s">
        <v>62</v>
      </c>
      <c r="L256" s="56"/>
      <c r="M256" s="47">
        <f t="shared" si="222"/>
        <v>0</v>
      </c>
      <c r="N256" s="47">
        <f t="shared" si="223"/>
        <v>0</v>
      </c>
      <c r="O256" s="47">
        <f t="shared" si="224"/>
        <v>0</v>
      </c>
      <c r="P256" s="47">
        <f t="shared" si="225"/>
        <v>0</v>
      </c>
      <c r="Q256" s="47">
        <f>MROUND(IF(AND(J256 = "", L256 = ""), I256 * recipe07DayScale, IF(ISNA(CONVERT(O256, "kg", L256)), CONVERT(P256 * recipe07DayScale, "l", L256), CONVERT(O256 * recipe07DayScale, "kg", L256))), roundTo)</f>
        <v>3.25</v>
      </c>
      <c r="R256" s="47">
        <f>recipe07TotScale * IF(L256 = "", Q256 * M256, IF(ISNA(CONVERT(Q256, L256, "kg")), CONVERT(Q256, L256, "l") * IF(N256 &lt;&gt; 0, M256 / N256, 0), CONVERT(Q256, L256, "kg")))</f>
        <v>0</v>
      </c>
      <c r="S256" s="47">
        <f>recipe07TotScale * IF(R256 = 0, IF(L256 = "", Q256 * N256, IF(ISNA(CONVERT(Q256, L256, "l")), CONVERT(Q256, L256, "kg") * IF(M256 &lt;&gt; 0, N256 / M256, 0), CONVERT(Q256, L256, "l"))), 0)</f>
        <v>0</v>
      </c>
      <c r="T256" s="47">
        <f>recipe07TotScale * IF(AND(R256 = 0, S256 = 0, J256 = "", L256 = ""), Q256, 0)</f>
        <v>3.25</v>
      </c>
      <c r="V256" s="44" t="b">
        <f>INDEX(itemPrepMethods, MATCH(K256, itemNames, 0))="chop"</f>
        <v>1</v>
      </c>
      <c r="W256" s="57">
        <f>IF(V256, Q256, "")</f>
        <v>3.25</v>
      </c>
      <c r="X256" s="58" t="str">
        <f>IF(V256, IF(L256 = "", "", L256), "")</f>
        <v/>
      </c>
      <c r="Y256" s="58" t="str">
        <f>IF(V256, K256, "")</f>
        <v>thinly sliced celery stalks</v>
      </c>
      <c r="Z256" s="59"/>
      <c r="AA256" s="44" t="b">
        <f>INDEX(itemPrepMethods, MATCH(K256, itemNames, 0))="soak"</f>
        <v>0</v>
      </c>
      <c r="AB256" s="58" t="str">
        <f>IF(AA256, Q256, "")</f>
        <v/>
      </c>
      <c r="AC256" s="58" t="str">
        <f>IF(AA256, IF(L256 = "", "", L256), "")</f>
        <v/>
      </c>
      <c r="AD256" s="58" t="str">
        <f>IF(AA256, K256, "")</f>
        <v/>
      </c>
    </row>
    <row r="257" spans="1:30" x14ac:dyDescent="0.25">
      <c r="A257" s="40" t="s">
        <v>21</v>
      </c>
      <c r="B257" s="52">
        <f t="shared" si="220"/>
        <v>13.25</v>
      </c>
      <c r="C257" s="39" t="str">
        <f t="shared" si="221"/>
        <v/>
      </c>
      <c r="D257" s="40" t="str">
        <f>_xlfn.CONCAT(K257, U257)</f>
        <v>thinly sliced white cabbage leaves</v>
      </c>
      <c r="I257" s="54">
        <v>20</v>
      </c>
      <c r="J257" s="55"/>
      <c r="K257" s="55" t="s">
        <v>103</v>
      </c>
      <c r="L257" s="56"/>
      <c r="M257" s="47">
        <f t="shared" si="222"/>
        <v>0</v>
      </c>
      <c r="N257" s="47">
        <f t="shared" si="223"/>
        <v>0</v>
      </c>
      <c r="O257" s="47">
        <f t="shared" si="224"/>
        <v>0</v>
      </c>
      <c r="P257" s="47">
        <f t="shared" si="225"/>
        <v>0</v>
      </c>
      <c r="Q257" s="47">
        <f>MROUND(IF(AND(J257 = "", L257 = ""), I257 * recipe07DayScale, IF(ISNA(CONVERT(O257, "kg", L257)), CONVERT(P257 * recipe07DayScale, "l", L257), CONVERT(O257 * recipe07DayScale, "kg", L257))), roundTo)</f>
        <v>13.25</v>
      </c>
      <c r="R257" s="47">
        <f>recipe07TotScale * IF(L257 = "", Q257 * M257, IF(ISNA(CONVERT(Q257, L257, "kg")), CONVERT(Q257, L257, "l") * IF(N257 &lt;&gt; 0, M257 / N257, 0), CONVERT(Q257, L257, "kg")))</f>
        <v>0</v>
      </c>
      <c r="S257" s="47">
        <f>recipe07TotScale * IF(R257 = 0, IF(L257 = "", Q257 * N257, IF(ISNA(CONVERT(Q257, L257, "l")), CONVERT(Q257, L257, "kg") * IF(M257 &lt;&gt; 0, N257 / M257, 0), CONVERT(Q257, L257, "l"))), 0)</f>
        <v>0</v>
      </c>
      <c r="T257" s="47">
        <f>recipe07TotScale * IF(AND(R257 = 0, S257 = 0, J257 = "", L257 = ""), Q257, 0)</f>
        <v>13.25</v>
      </c>
      <c r="V257" s="44" t="b">
        <f>INDEX(itemPrepMethods, MATCH(K257, itemNames, 0))="chop"</f>
        <v>1</v>
      </c>
      <c r="W257" s="57">
        <f>IF(V257, Q257, "")</f>
        <v>13.25</v>
      </c>
      <c r="X257" s="58" t="str">
        <f>IF(V257, IF(L257 = "", "", L257), "")</f>
        <v/>
      </c>
      <c r="Y257" s="58" t="str">
        <f>IF(V257, K257, "")</f>
        <v>thinly sliced white cabbage leaves</v>
      </c>
      <c r="Z257" s="59"/>
      <c r="AA257" s="44" t="b">
        <f>INDEX(itemPrepMethods, MATCH(K257, itemNames, 0))="soak"</f>
        <v>0</v>
      </c>
      <c r="AB257" s="58" t="str">
        <f>IF(AA257, Q257, "")</f>
        <v/>
      </c>
      <c r="AC257" s="58" t="str">
        <f>IF(AA257, IF(L257 = "", "", L257), "")</f>
        <v/>
      </c>
      <c r="AD257" s="58" t="str">
        <f>IF(AA257, K257, "")</f>
        <v/>
      </c>
    </row>
    <row r="258" spans="1:30" x14ac:dyDescent="0.25">
      <c r="A258" s="111"/>
      <c r="B258" s="111"/>
      <c r="C258" s="111"/>
      <c r="D258" s="111"/>
      <c r="I258" s="47"/>
      <c r="W258" s="74"/>
      <c r="X258" s="74"/>
      <c r="Y258" s="74"/>
      <c r="Z258" s="74"/>
      <c r="AB258" s="74"/>
      <c r="AC258" s="74"/>
      <c r="AD258" s="74"/>
    </row>
    <row r="259" spans="1:30" x14ac:dyDescent="0.25">
      <c r="A259" s="111" t="s">
        <v>275</v>
      </c>
      <c r="B259" s="111"/>
      <c r="C259" s="111"/>
      <c r="D259" s="111"/>
      <c r="I259" s="47"/>
      <c r="W259" s="74"/>
      <c r="X259" s="74"/>
      <c r="Y259" s="74"/>
      <c r="Z259" s="74"/>
      <c r="AB259" s="74"/>
      <c r="AC259" s="74"/>
      <c r="AD259" s="74"/>
    </row>
    <row r="260" spans="1:30" x14ac:dyDescent="0.25">
      <c r="A260" s="40" t="s">
        <v>21</v>
      </c>
      <c r="B260" s="52">
        <f t="shared" si="220"/>
        <v>10</v>
      </c>
      <c r="C260" s="39" t="str">
        <f t="shared" si="221"/>
        <v>cup</v>
      </c>
      <c r="D260" s="40" t="str">
        <f>_xlfn.CONCAT(K260, U260)</f>
        <v>vegetable stock</v>
      </c>
      <c r="I260" s="54">
        <v>3.55</v>
      </c>
      <c r="J260" s="55" t="s">
        <v>57</v>
      </c>
      <c r="K260" s="55" t="s">
        <v>58</v>
      </c>
      <c r="L260" s="56" t="s">
        <v>16</v>
      </c>
      <c r="M260" s="47">
        <f t="shared" si="222"/>
        <v>0</v>
      </c>
      <c r="N260" s="47">
        <f t="shared" si="223"/>
        <v>0</v>
      </c>
      <c r="O260" s="47">
        <f t="shared" si="224"/>
        <v>0</v>
      </c>
      <c r="P260" s="47">
        <f t="shared" si="225"/>
        <v>3.55</v>
      </c>
      <c r="Q260" s="47">
        <f>MROUND(IF(AND(J260 = "", L260 = ""), I260 * recipe07DayScale, IF(ISNA(CONVERT(O260, "kg", L260)), CONVERT(P260 * recipe07DayScale, "l", L260), CONVERT(O260 * recipe07DayScale, "kg", L260))), roundTo)</f>
        <v>10</v>
      </c>
      <c r="R260" s="47">
        <f>recipe07TotScale * IF(L260 = "", Q260 * M260, IF(ISNA(CONVERT(Q260, L260, "kg")), CONVERT(Q260, L260, "l") * IF(N260 &lt;&gt; 0, M260 / N260, 0), CONVERT(Q260, L260, "kg")))</f>
        <v>0</v>
      </c>
      <c r="S260" s="47">
        <f>recipe07TotScale * IF(R260 = 0, IF(L260 = "", Q260 * N260, IF(ISNA(CONVERT(Q260, L260, "l")), CONVERT(Q260, L260, "kg") * IF(M260 &lt;&gt; 0, N260 / M260, 0), CONVERT(Q260, L260, "l"))), 0)</f>
        <v>2.365882365</v>
      </c>
      <c r="T260" s="47">
        <f>recipe07TotScale * IF(AND(R260 = 0, S260 = 0, J260 = "", L260 = ""), Q260, 0)</f>
        <v>0</v>
      </c>
      <c r="V260" s="44" t="b">
        <f>INDEX(itemPrepMethods, MATCH(K260, itemNames, 0))="chop"</f>
        <v>0</v>
      </c>
      <c r="W260" s="57" t="str">
        <f>IF(V260, Q260, "")</f>
        <v/>
      </c>
      <c r="X260" s="58" t="str">
        <f>IF(V260, IF(L260 = "", "", L260), "")</f>
        <v/>
      </c>
      <c r="Y260" s="58" t="str">
        <f>IF(V260, K260, "")</f>
        <v/>
      </c>
      <c r="Z260" s="59"/>
      <c r="AA260" s="44" t="b">
        <f>INDEX(itemPrepMethods, MATCH(K260, itemNames, 0))="soak"</f>
        <v>0</v>
      </c>
      <c r="AB260" s="58" t="str">
        <f>IF(AA260, Q260, "")</f>
        <v/>
      </c>
      <c r="AC260" s="58" t="str">
        <f>IF(AA260, IF(L260 = "", "", L260), "")</f>
        <v/>
      </c>
      <c r="AD260" s="58" t="str">
        <f>IF(AA260, K260, "")</f>
        <v/>
      </c>
    </row>
    <row r="261" spans="1:30" x14ac:dyDescent="0.25">
      <c r="A261" s="111"/>
      <c r="B261" s="111"/>
      <c r="C261" s="111"/>
      <c r="D261" s="111"/>
      <c r="I261" s="47"/>
      <c r="W261" s="74"/>
      <c r="X261" s="74"/>
      <c r="Y261" s="74"/>
      <c r="Z261" s="74"/>
      <c r="AB261" s="74"/>
      <c r="AC261" s="74"/>
      <c r="AD261" s="74"/>
    </row>
    <row r="262" spans="1:30" x14ac:dyDescent="0.25">
      <c r="A262" s="111" t="s">
        <v>276</v>
      </c>
      <c r="B262" s="111"/>
      <c r="C262" s="111"/>
      <c r="D262" s="111"/>
      <c r="I262" s="47"/>
      <c r="W262" s="74"/>
      <c r="X262" s="74"/>
      <c r="Y262" s="74"/>
      <c r="Z262" s="74"/>
      <c r="AB262" s="74"/>
      <c r="AC262" s="74"/>
      <c r="AD262" s="74"/>
    </row>
    <row r="263" spans="1:30" x14ac:dyDescent="0.25">
      <c r="A263" s="111"/>
      <c r="B263" s="111"/>
      <c r="C263" s="111"/>
      <c r="D263" s="111"/>
      <c r="I263" s="47"/>
      <c r="W263" s="74"/>
      <c r="X263" s="74"/>
      <c r="Y263" s="74"/>
      <c r="Z263" s="74"/>
      <c r="AB263" s="74"/>
      <c r="AC263" s="74"/>
      <c r="AD263" s="74"/>
    </row>
    <row r="264" spans="1:30" x14ac:dyDescent="0.25">
      <c r="A264" s="111" t="s">
        <v>277</v>
      </c>
      <c r="B264" s="111"/>
      <c r="C264" s="111"/>
      <c r="D264" s="111"/>
      <c r="I264" s="47"/>
      <c r="W264" s="74"/>
      <c r="X264" s="74"/>
      <c r="Y264" s="74"/>
      <c r="Z264" s="74"/>
      <c r="AB264" s="74"/>
      <c r="AC264" s="74"/>
      <c r="AD264" s="74"/>
    </row>
    <row r="265" spans="1:30" x14ac:dyDescent="0.25">
      <c r="A265" s="40" t="s">
        <v>21</v>
      </c>
      <c r="B265" s="52">
        <f t="shared" si="220"/>
        <v>0.75</v>
      </c>
      <c r="C265" s="39" t="str">
        <f t="shared" si="221"/>
        <v>kg</v>
      </c>
      <c r="D265" s="40" t="str">
        <f>_xlfn.CONCAT(K265, U265)</f>
        <v>blocks tofu, cut into small cubes</v>
      </c>
      <c r="I265" s="54">
        <v>1</v>
      </c>
      <c r="J265" s="55" t="s">
        <v>12</v>
      </c>
      <c r="K265" s="55" t="s">
        <v>271</v>
      </c>
      <c r="L265" s="56" t="s">
        <v>12</v>
      </c>
      <c r="M265" s="47">
        <f t="shared" si="222"/>
        <v>0</v>
      </c>
      <c r="N265" s="47">
        <f t="shared" si="223"/>
        <v>0</v>
      </c>
      <c r="O265" s="47">
        <f t="shared" si="224"/>
        <v>1</v>
      </c>
      <c r="P265" s="47">
        <f t="shared" si="225"/>
        <v>0</v>
      </c>
      <c r="Q265" s="47">
        <f>MROUND(IF(AND(J265 = "", L265 = ""), I265 * recipe07DayScale, IF(ISNA(CONVERT(O265, "kg", L265)), CONVERT(P265 * recipe07DayScale, "l", L265), CONVERT(O265 * recipe07DayScale, "kg", L265))), roundTo)</f>
        <v>0.75</v>
      </c>
      <c r="R265" s="47">
        <f>recipe07TotScale * IF(L265 = "", Q265 * M265, IF(ISNA(CONVERT(Q265, L265, "kg")), CONVERT(Q265, L265, "l") * IF(N265 &lt;&gt; 0, M265 / N265, 0), CONVERT(Q265, L265, "kg")))</f>
        <v>0.75</v>
      </c>
      <c r="S265" s="47">
        <f>recipe07TotScale * IF(R265 = 0, IF(L265 = "", Q265 * N265, IF(ISNA(CONVERT(Q265, L265, "l")), CONVERT(Q265, L265, "kg") * IF(M265 &lt;&gt; 0, N265 / M265, 0), CONVERT(Q265, L265, "l"))), 0)</f>
        <v>0</v>
      </c>
      <c r="T265" s="47">
        <f>recipe07TotScale * IF(AND(R265 = 0, S265 = 0, J265 = "", L265 = ""), Q265, 0)</f>
        <v>0</v>
      </c>
      <c r="V265" s="44" t="b">
        <f>INDEX(itemPrepMethods, MATCH(K265, itemNames, 0))="chop"</f>
        <v>1</v>
      </c>
      <c r="W265" s="57">
        <f>IF(V265, Q265, "")</f>
        <v>0.75</v>
      </c>
      <c r="X265" s="58" t="str">
        <f>IF(V265, IF(L265 = "", "", L265), "")</f>
        <v>kg</v>
      </c>
      <c r="Y265" s="58" t="str">
        <f>IF(V265, K265, "")</f>
        <v>blocks tofu, cut into small cubes</v>
      </c>
      <c r="Z265" s="59"/>
      <c r="AA265" s="44" t="b">
        <f>INDEX(itemPrepMethods, MATCH(K265, itemNames, 0))="soak"</f>
        <v>0</v>
      </c>
      <c r="AB265" s="58" t="str">
        <f>IF(AA265, Q265, "")</f>
        <v/>
      </c>
      <c r="AC265" s="58" t="str">
        <f>IF(AA265, IF(L265 = "", "", L265), "")</f>
        <v/>
      </c>
      <c r="AD265" s="58" t="str">
        <f>IF(AA265, K265, "")</f>
        <v/>
      </c>
    </row>
    <row r="266" spans="1:30" x14ac:dyDescent="0.25">
      <c r="B266" s="52"/>
      <c r="I266" s="54"/>
      <c r="J266" s="55"/>
      <c r="K266" s="55"/>
      <c r="L266" s="56"/>
      <c r="W266" s="74"/>
      <c r="X266" s="74"/>
      <c r="Y266" s="74"/>
      <c r="Z266" s="74"/>
      <c r="AB266" s="74"/>
      <c r="AC266" s="74"/>
      <c r="AD266" s="74"/>
    </row>
    <row r="267" spans="1:30" x14ac:dyDescent="0.25">
      <c r="A267" s="111" t="s">
        <v>278</v>
      </c>
      <c r="B267" s="111"/>
      <c r="C267" s="111"/>
      <c r="D267" s="111"/>
      <c r="I267" s="54"/>
      <c r="J267" s="55"/>
      <c r="K267" s="55"/>
      <c r="L267" s="56"/>
      <c r="W267" s="74"/>
      <c r="X267" s="74"/>
      <c r="Y267" s="74"/>
      <c r="Z267" s="74"/>
      <c r="AB267" s="74"/>
      <c r="AC267" s="74"/>
      <c r="AD267" s="74"/>
    </row>
    <row r="268" spans="1:30" x14ac:dyDescent="0.25">
      <c r="A268" s="40" t="s">
        <v>21</v>
      </c>
      <c r="B268" s="61">
        <f t="shared" si="220"/>
        <v>46.75</v>
      </c>
      <c r="C268" s="91" t="str">
        <f t="shared" si="221"/>
        <v>g</v>
      </c>
      <c r="D268" s="103" t="str">
        <f>_xlfn.CONCAT(K268, U268)</f>
        <v>wakame, then drain and set aside</v>
      </c>
      <c r="I268" s="54">
        <v>70</v>
      </c>
      <c r="J268" s="55" t="s">
        <v>0</v>
      </c>
      <c r="K268" s="55" t="s">
        <v>59</v>
      </c>
      <c r="L268" s="56" t="s">
        <v>0</v>
      </c>
      <c r="M268" s="47">
        <f t="shared" si="222"/>
        <v>0</v>
      </c>
      <c r="N268" s="47">
        <f t="shared" si="223"/>
        <v>0</v>
      </c>
      <c r="O268" s="47">
        <f t="shared" si="224"/>
        <v>7.0000000000000007E-2</v>
      </c>
      <c r="P268" s="47">
        <f t="shared" si="225"/>
        <v>0</v>
      </c>
      <c r="Q268" s="47">
        <f>MROUND(IF(AND(J268 = "", L268 = ""), I268 * recipe07DayScale, IF(ISNA(CONVERT(O268, "kg", L268)), CONVERT(P268 * recipe07DayScale, "l", L268), CONVERT(O268 * recipe07DayScale, "kg", L268))), roundTo)</f>
        <v>46.75</v>
      </c>
      <c r="R268" s="47">
        <f>recipe07TotScale * IF(L268 = "", Q268 * M268, IF(ISNA(CONVERT(Q268, L268, "kg")), CONVERT(Q268, L268, "l") * IF(N268 &lt;&gt; 0, M268 / N268, 0), CONVERT(Q268, L268, "kg")))</f>
        <v>4.675E-2</v>
      </c>
      <c r="S268" s="47">
        <f>recipe07TotScale * IF(R268 = 0, IF(L268 = "", Q268 * N268, IF(ISNA(CONVERT(Q268, L268, "l")), CONVERT(Q268, L268, "kg") * IF(M268 &lt;&gt; 0, N268 / M268, 0), CONVERT(Q268, L268, "l"))), 0)</f>
        <v>0</v>
      </c>
      <c r="T268" s="47">
        <f>recipe07TotScale * IF(AND(R268 = 0, S268 = 0, J268 = "", L268 = ""), Q268, 0)</f>
        <v>0</v>
      </c>
      <c r="U268" s="44" t="s">
        <v>279</v>
      </c>
      <c r="V268" s="44" t="b">
        <f>INDEX(itemPrepMethods, MATCH(K268, itemNames, 0))="chop"</f>
        <v>0</v>
      </c>
      <c r="W268" s="57" t="str">
        <f>IF(V268, Q268, "")</f>
        <v/>
      </c>
      <c r="X268" s="58" t="str">
        <f>IF(V268, IF(L268 = "", "", L268), "")</f>
        <v/>
      </c>
      <c r="Y268" s="58" t="str">
        <f>IF(V268, K268, "")</f>
        <v/>
      </c>
      <c r="Z268" s="59"/>
      <c r="AA268" s="44" t="b">
        <f>INDEX(itemPrepMethods, MATCH(K268, itemNames, 0))="soak"</f>
        <v>0</v>
      </c>
      <c r="AB268" s="58" t="str">
        <f>IF(AA268, Q268, "")</f>
        <v/>
      </c>
      <c r="AC268" s="58" t="str">
        <f>IF(AA268, IF(L268 = "", "", L268), "")</f>
        <v/>
      </c>
      <c r="AD268" s="58" t="str">
        <f>IF(AA268, K268, "")</f>
        <v/>
      </c>
    </row>
    <row r="269" spans="1:30" x14ac:dyDescent="0.25">
      <c r="A269" s="111"/>
      <c r="B269" s="111"/>
      <c r="C269" s="111"/>
      <c r="D269" s="111"/>
      <c r="I269" s="47"/>
      <c r="W269" s="74"/>
      <c r="X269" s="74"/>
      <c r="Y269" s="74"/>
      <c r="Z269" s="74"/>
      <c r="AB269" s="74"/>
      <c r="AC269" s="74"/>
      <c r="AD269" s="74"/>
    </row>
    <row r="270" spans="1:30" x14ac:dyDescent="0.25">
      <c r="A270" s="111" t="s">
        <v>280</v>
      </c>
      <c r="B270" s="111"/>
      <c r="C270" s="111"/>
      <c r="D270" s="111"/>
      <c r="I270" s="47"/>
      <c r="W270" s="74"/>
      <c r="X270" s="74"/>
      <c r="Y270" s="74"/>
      <c r="Z270" s="74"/>
      <c r="AB270" s="74"/>
      <c r="AC270" s="74"/>
      <c r="AD270" s="74"/>
    </row>
    <row r="271" spans="1:30" x14ac:dyDescent="0.25">
      <c r="A271" s="40" t="s">
        <v>21</v>
      </c>
      <c r="B271" s="52">
        <f t="shared" si="220"/>
        <v>3.25</v>
      </c>
      <c r="C271" s="39" t="str">
        <f t="shared" si="221"/>
        <v>tbs</v>
      </c>
      <c r="D271" s="40" t="str">
        <f>_xlfn.CONCAT(K271, U271)</f>
        <v>miso</v>
      </c>
      <c r="I271" s="54">
        <v>5</v>
      </c>
      <c r="J271" s="55" t="s">
        <v>15</v>
      </c>
      <c r="K271" s="55" t="s">
        <v>60</v>
      </c>
      <c r="L271" s="56" t="s">
        <v>15</v>
      </c>
      <c r="M271" s="47">
        <f t="shared" si="222"/>
        <v>0</v>
      </c>
      <c r="N271" s="47">
        <f t="shared" si="223"/>
        <v>0</v>
      </c>
      <c r="O271" s="47">
        <f t="shared" si="224"/>
        <v>0</v>
      </c>
      <c r="P271" s="47">
        <f t="shared" si="225"/>
        <v>7.3933823906250001E-2</v>
      </c>
      <c r="Q271" s="47">
        <f>MROUND(IF(AND(J271 = "", L271 = ""), I271 * recipe07DayScale, IF(ISNA(CONVERT(O271, "kg", L271)), CONVERT(P271 * recipe07DayScale, "l", L271), CONVERT(O271 * recipe07DayScale, "kg", L271))), roundTo)</f>
        <v>3.25</v>
      </c>
      <c r="R271" s="47">
        <f>recipe07TotScale * IF(L271 = "", Q271 * M271, IF(ISNA(CONVERT(Q271, L271, "kg")), CONVERT(Q271, L271, "l") * IF(N271 &lt;&gt; 0, M271 / N271, 0), CONVERT(Q271, L271, "kg")))</f>
        <v>0</v>
      </c>
      <c r="S271" s="47">
        <f>recipe07TotScale * IF(R271 = 0, IF(L271 = "", Q271 * N271, IF(ISNA(CONVERT(Q271, L271, "l")), CONVERT(Q271, L271, "kg") * IF(M271 &lt;&gt; 0, N271 / M271, 0), CONVERT(Q271, L271, "l"))), 0)</f>
        <v>4.8056985539062499E-2</v>
      </c>
      <c r="T271" s="47">
        <f>recipe07TotScale * IF(AND(R271 = 0, S271 = 0, J271 = "", L271 = ""), Q271, 0)</f>
        <v>0</v>
      </c>
      <c r="V271" s="44" t="b">
        <f>INDEX(itemPrepMethods, MATCH(K271, itemNames, 0))="chop"</f>
        <v>0</v>
      </c>
      <c r="W271" s="57" t="str">
        <f>IF(V271, Q271, "")</f>
        <v/>
      </c>
      <c r="X271" s="58" t="str">
        <f>IF(V271, IF(L271 = "", "", L271), "")</f>
        <v/>
      </c>
      <c r="Y271" s="58" t="str">
        <f>IF(V271, K271, "")</f>
        <v/>
      </c>
      <c r="Z271" s="59"/>
      <c r="AA271" s="44" t="b">
        <f>INDEX(itemPrepMethods, MATCH(K271, itemNames, 0))="soak"</f>
        <v>0</v>
      </c>
      <c r="AB271" s="58" t="str">
        <f>IF(AA271, Q271, "")</f>
        <v/>
      </c>
      <c r="AC271" s="58" t="str">
        <f>IF(AA271, IF(L271 = "", "", L271), "")</f>
        <v/>
      </c>
      <c r="AD271" s="58" t="str">
        <f>IF(AA271, K271, "")</f>
        <v/>
      </c>
    </row>
    <row r="272" spans="1:30" x14ac:dyDescent="0.25">
      <c r="A272" s="111"/>
      <c r="B272" s="111"/>
      <c r="C272" s="111"/>
      <c r="D272" s="111"/>
      <c r="I272" s="47"/>
      <c r="W272" s="67"/>
      <c r="X272" s="67"/>
      <c r="Y272" s="67"/>
      <c r="Z272" s="67"/>
      <c r="AA272" s="67"/>
      <c r="AB272" s="67"/>
      <c r="AC272" s="67"/>
      <c r="AD272" s="67"/>
    </row>
    <row r="273" spans="1:30" x14ac:dyDescent="0.25">
      <c r="A273" s="111" t="s">
        <v>283</v>
      </c>
      <c r="B273" s="111"/>
      <c r="C273" s="111"/>
      <c r="D273" s="111"/>
      <c r="I273" s="47"/>
      <c r="W273" s="67"/>
      <c r="X273" s="67"/>
      <c r="Y273" s="67"/>
      <c r="Z273" s="67"/>
      <c r="AA273" s="67"/>
      <c r="AB273" s="67"/>
      <c r="AC273" s="67"/>
      <c r="AD273" s="67"/>
    </row>
    <row r="274" spans="1:30" x14ac:dyDescent="0.25">
      <c r="A274" s="40" t="s">
        <v>21</v>
      </c>
      <c r="D274" s="40" t="str">
        <f>_xlfn.CONCAT(K274, U274)</f>
        <v>miso broth</v>
      </c>
      <c r="I274" s="47"/>
      <c r="U274" s="46" t="s">
        <v>281</v>
      </c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:30" x14ac:dyDescent="0.25">
      <c r="A275" s="40" t="s">
        <v>21</v>
      </c>
      <c r="D275" s="40" t="str">
        <f>_xlfn.CONCAT(K275, U275)</f>
        <v>soaked wakame</v>
      </c>
      <c r="I275" s="47"/>
      <c r="U275" s="46" t="s">
        <v>282</v>
      </c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:30" ht="15.75" x14ac:dyDescent="0.25">
      <c r="A276" s="110" t="s">
        <v>33</v>
      </c>
      <c r="B276" s="110"/>
      <c r="C276" s="110"/>
      <c r="D276" s="110"/>
      <c r="E276" s="42" t="s">
        <v>143</v>
      </c>
      <c r="F276" s="106"/>
      <c r="G276" s="106"/>
      <c r="H276" s="47"/>
    </row>
    <row r="277" spans="1:30" ht="24" x14ac:dyDescent="0.2">
      <c r="A277" s="110" t="s">
        <v>285</v>
      </c>
      <c r="B277" s="110"/>
      <c r="C277" s="110"/>
      <c r="D277" s="110"/>
      <c r="E277" s="42" t="s">
        <v>56</v>
      </c>
      <c r="F277" s="90">
        <v>10</v>
      </c>
      <c r="G277" s="47"/>
      <c r="H277" s="47"/>
      <c r="I277" s="70" t="s">
        <v>448</v>
      </c>
      <c r="J277" s="71" t="s">
        <v>449</v>
      </c>
      <c r="K277" s="71" t="s">
        <v>17</v>
      </c>
      <c r="L277" s="72" t="s">
        <v>452</v>
      </c>
      <c r="M277" s="70" t="s">
        <v>148</v>
      </c>
      <c r="N277" s="70" t="s">
        <v>149</v>
      </c>
      <c r="O277" s="70" t="s">
        <v>450</v>
      </c>
      <c r="P277" s="70" t="s">
        <v>451</v>
      </c>
      <c r="Q277" s="71" t="s">
        <v>364</v>
      </c>
      <c r="R277" s="70" t="s">
        <v>365</v>
      </c>
      <c r="S277" s="70" t="s">
        <v>366</v>
      </c>
      <c r="T277" s="70" t="s">
        <v>367</v>
      </c>
      <c r="U277" s="71" t="s">
        <v>22</v>
      </c>
      <c r="V277" s="71" t="s">
        <v>212</v>
      </c>
      <c r="W277" s="73" t="s">
        <v>364</v>
      </c>
      <c r="X277" s="71" t="s">
        <v>210</v>
      </c>
      <c r="Y277" s="71" t="s">
        <v>211</v>
      </c>
      <c r="Z277" s="71" t="s">
        <v>313</v>
      </c>
      <c r="AA277" s="71" t="s">
        <v>213</v>
      </c>
      <c r="AB277" s="73" t="s">
        <v>364</v>
      </c>
      <c r="AC277" s="71" t="s">
        <v>214</v>
      </c>
      <c r="AD277" s="71" t="s">
        <v>215</v>
      </c>
    </row>
    <row r="278" spans="1:30" ht="15.75" thickBot="1" x14ac:dyDescent="0.3">
      <c r="A278" s="111"/>
      <c r="B278" s="111"/>
      <c r="C278" s="111"/>
      <c r="D278" s="111"/>
      <c r="E278" s="66" t="s">
        <v>359</v>
      </c>
      <c r="F278" s="90">
        <f>weLuCount</f>
        <v>10</v>
      </c>
      <c r="G278" s="47"/>
      <c r="H278" s="47"/>
    </row>
    <row r="279" spans="1:30" ht="15.75" thickBot="1" x14ac:dyDescent="0.3">
      <c r="A279" s="113" t="s">
        <v>286</v>
      </c>
      <c r="B279" s="113"/>
      <c r="C279" s="113"/>
      <c r="D279" s="113"/>
      <c r="E279" s="66" t="s">
        <v>362</v>
      </c>
      <c r="F279" s="50">
        <f>F278/F277</f>
        <v>1</v>
      </c>
      <c r="G279" s="51" t="s">
        <v>386</v>
      </c>
      <c r="H279" s="47"/>
    </row>
    <row r="280" spans="1:30" x14ac:dyDescent="0.25">
      <c r="A280" s="111"/>
      <c r="B280" s="111"/>
      <c r="C280" s="111"/>
      <c r="D280" s="111"/>
      <c r="E280" s="67"/>
      <c r="F280" s="67"/>
      <c r="G280" s="67"/>
      <c r="I280" s="47"/>
      <c r="W280" s="67"/>
      <c r="X280" s="67"/>
      <c r="Y280" s="67"/>
      <c r="Z280" s="67"/>
      <c r="AA280" s="67"/>
      <c r="AB280" s="67"/>
      <c r="AC280" s="67"/>
      <c r="AD280" s="67"/>
    </row>
    <row r="281" spans="1:30" ht="15.75" thickBot="1" x14ac:dyDescent="0.3">
      <c r="A281" s="111" t="s">
        <v>305</v>
      </c>
      <c r="B281" s="111"/>
      <c r="C281" s="111"/>
      <c r="D281" s="111"/>
      <c r="E281" s="66" t="s">
        <v>338</v>
      </c>
      <c r="F281" s="90">
        <f>weLuCount</f>
        <v>10</v>
      </c>
      <c r="G281" s="67"/>
      <c r="H281" s="47"/>
      <c r="W281" s="67"/>
      <c r="X281" s="67"/>
      <c r="Y281" s="67"/>
      <c r="Z281" s="67"/>
      <c r="AA281" s="67"/>
      <c r="AB281" s="67"/>
      <c r="AC281" s="67"/>
      <c r="AD281" s="67"/>
    </row>
    <row r="282" spans="1:30" ht="15.75" thickBot="1" x14ac:dyDescent="0.3">
      <c r="A282" s="40" t="s">
        <v>21</v>
      </c>
      <c r="B282" s="52">
        <f t="shared" ref="B282" si="226">Q282</f>
        <v>2</v>
      </c>
      <c r="C282" s="39" t="str">
        <f t="shared" ref="C282" si="227">IF(L282="","",L282)</f>
        <v>cup</v>
      </c>
      <c r="D282" s="40" t="str">
        <f>_xlfn.CONCAT(K282, U282)</f>
        <v>dried brown lentils</v>
      </c>
      <c r="E282" s="66" t="s">
        <v>363</v>
      </c>
      <c r="F282" s="50">
        <f>F281/F278</f>
        <v>1</v>
      </c>
      <c r="G282" s="51" t="s">
        <v>387</v>
      </c>
      <c r="I282" s="54">
        <v>2</v>
      </c>
      <c r="J282" s="55" t="s">
        <v>16</v>
      </c>
      <c r="K282" s="55" t="s">
        <v>287</v>
      </c>
      <c r="L282" s="56" t="s">
        <v>16</v>
      </c>
      <c r="M282" s="47">
        <f t="shared" ref="M282" si="228">INDEX(itemGPerQty, MATCH(K282, itemNames, 0))</f>
        <v>0</v>
      </c>
      <c r="N282" s="47">
        <f t="shared" ref="N282" si="229">INDEX(itemMlPerQty, MATCH(K282, itemNames, 0))</f>
        <v>0</v>
      </c>
      <c r="O282" s="47">
        <f t="shared" ref="O282" si="230">IF(J282 = "", I282 * M282, IF(ISNA(CONVERT(I282, J282, "kg")), CONVERT(I282, J282, "l") * IF(N282 &lt;&gt; 0, M282 / N282, 0), CONVERT(I282, J282, "kg")))</f>
        <v>0</v>
      </c>
      <c r="P282" s="47">
        <f t="shared" ref="P282" si="231">IF(J282 = "", I282 * N282, IF(ISNA(CONVERT(I282, J282, "l")), CONVERT(I282, J282, "kg") * IF(M282 &lt;&gt; 0, N282 / M282, 0), CONVERT(I282, J282, "l")))</f>
        <v>0.47317647299999999</v>
      </c>
      <c r="Q282" s="47">
        <f>MROUND(IF(AND(J282 = "", L282 = ""), I282 * recipe12DayScale, IF(ISNA(CONVERT(O282, "kg", L282)), CONVERT(P282 * recipe12DayScale, "l", L282), CONVERT(O282 * recipe12DayScale, "kg", L282))), roundTo)</f>
        <v>2</v>
      </c>
      <c r="R282" s="47">
        <f>recipe12TotScale * IF(L282 = "", Q282 * M282, IF(ISNA(CONVERT(Q282, L282, "kg")), CONVERT(Q282, L282, "l") * IF(N282 &lt;&gt; 0, M282 / N282, 0), CONVERT(Q282, L282, "kg")))</f>
        <v>0</v>
      </c>
      <c r="S282" s="47">
        <f>recipe12TotScale * IF(R282 = 0, IF(L282 = "", Q282 * N282, IF(ISNA(CONVERT(Q282, L282, "l")), CONVERT(Q282, L282, "kg") * IF(M282 &lt;&gt; 0, N282 / M282, 0), CONVERT(Q282, L282, "l"))), 0)</f>
        <v>0.47317647299999999</v>
      </c>
      <c r="T282" s="47">
        <f>recipe12TotScale * IF(AND(R282 = 0, S282 = 0, J282 = "", L282 = ""), Q282, 0)</f>
        <v>0</v>
      </c>
      <c r="V282" s="44" t="b">
        <f>INDEX(itemPrepMethods, MATCH(K282, itemNames, 0))="chop"</f>
        <v>0</v>
      </c>
      <c r="W282" s="57" t="str">
        <f>IF(V282, Q282, "")</f>
        <v/>
      </c>
      <c r="X282" s="58" t="str">
        <f>IF(V282, IF(L282 = "", "", L282), "")</f>
        <v/>
      </c>
      <c r="Y282" s="58" t="str">
        <f>IF(V282, K282, "")</f>
        <v/>
      </c>
      <c r="Z282" s="59"/>
      <c r="AA282" s="44" t="b">
        <f>INDEX(itemPrepMethods, MATCH(K282, itemNames, 0))="soak"</f>
        <v>0</v>
      </c>
      <c r="AB282" s="58" t="str">
        <f>IF(AA282, Q282, "")</f>
        <v/>
      </c>
      <c r="AC282" s="58" t="str">
        <f>IF(AA282, IF(L282 = "", "", L282), "")</f>
        <v/>
      </c>
      <c r="AD282" s="58" t="str">
        <f>IF(AA282, K282, "")</f>
        <v/>
      </c>
    </row>
    <row r="283" spans="1:30" x14ac:dyDescent="0.25">
      <c r="A283" s="40" t="s">
        <v>21</v>
      </c>
      <c r="B283" s="52">
        <f t="shared" ref="B283" si="232">Q283</f>
        <v>8</v>
      </c>
      <c r="C283" s="39" t="str">
        <f t="shared" ref="C283" si="233">IF(L283="","",L283)</f>
        <v/>
      </c>
      <c r="D283" s="40" t="str">
        <f>_xlfn.CONCAT(K283, U283)</f>
        <v>chopped potatoes</v>
      </c>
      <c r="I283" s="54">
        <v>8</v>
      </c>
      <c r="J283" s="55"/>
      <c r="K283" s="55" t="s">
        <v>4</v>
      </c>
      <c r="L283" s="56"/>
      <c r="M283" s="47">
        <f t="shared" ref="M283" si="234">INDEX(itemGPerQty, MATCH(K283, itemNames, 0))</f>
        <v>0.22500000000000001</v>
      </c>
      <c r="N283" s="47">
        <f t="shared" ref="N283" si="235">INDEX(itemMlPerQty, MATCH(K283, itemNames, 0))</f>
        <v>0.33750000000000002</v>
      </c>
      <c r="O283" s="47">
        <f t="shared" ref="O283" si="236">IF(J283 = "", I283 * M283, IF(ISNA(CONVERT(I283, J283, "kg")), CONVERT(I283, J283, "l") * IF(N283 &lt;&gt; 0, M283 / N283, 0), CONVERT(I283, J283, "kg")))</f>
        <v>1.8</v>
      </c>
      <c r="P283" s="47">
        <f t="shared" ref="P283" si="237">IF(J283 = "", I283 * N283, IF(ISNA(CONVERT(I283, J283, "l")), CONVERT(I283, J283, "kg") * IF(M283 &lt;&gt; 0, N283 / M283, 0), CONVERT(I283, J283, "l")))</f>
        <v>2.7</v>
      </c>
      <c r="Q283" s="47">
        <f>MROUND(IF(AND(J283 = "", L283 = ""), I283 * recipe12DayScale, IF(ISNA(CONVERT(O283, "kg", L283)), CONVERT(P283 * recipe12DayScale, "l", L283), CONVERT(O283 * recipe12DayScale, "kg", L283))), roundTo)</f>
        <v>8</v>
      </c>
      <c r="R283" s="47">
        <f>recipe12TotScale * IF(L283 = "", Q283 * M283, IF(ISNA(CONVERT(Q283, L283, "kg")), CONVERT(Q283, L283, "l") * IF(N283 &lt;&gt; 0, M283 / N283, 0), CONVERT(Q283, L283, "kg")))</f>
        <v>1.8</v>
      </c>
      <c r="S283" s="47">
        <f>recipe12TotScale * IF(R283 = 0, IF(L283 = "", Q283 * N283, IF(ISNA(CONVERT(Q283, L283, "l")), CONVERT(Q283, L283, "kg") * IF(M283 &lt;&gt; 0, N283 / M283, 0), CONVERT(Q283, L283, "l"))), 0)</f>
        <v>0</v>
      </c>
      <c r="T283" s="47">
        <f>recipe12TotScale * IF(AND(R283 = 0, S283 = 0, J283 = "", L283 = ""), Q283, 0)</f>
        <v>0</v>
      </c>
      <c r="V283" s="44" t="b">
        <f>INDEX(itemPrepMethods, MATCH(K283, itemNames, 0))="chop"</f>
        <v>1</v>
      </c>
      <c r="W283" s="57">
        <f>IF(V283, Q283, "")</f>
        <v>8</v>
      </c>
      <c r="X283" s="58" t="str">
        <f>IF(V283, IF(L283 = "", "", L283), "")</f>
        <v/>
      </c>
      <c r="Y283" s="58" t="str">
        <f>IF(V283, K283, "")</f>
        <v>chopped potatoes</v>
      </c>
      <c r="Z283" s="59"/>
      <c r="AA283" s="44" t="b">
        <f>INDEX(itemPrepMethods, MATCH(K283, itemNames, 0))="soak"</f>
        <v>0</v>
      </c>
      <c r="AB283" s="58" t="str">
        <f>IF(AA283, Q283, "")</f>
        <v/>
      </c>
      <c r="AC283" s="58" t="str">
        <f>IF(AA283, IF(L283 = "", "", L283), "")</f>
        <v/>
      </c>
      <c r="AD283" s="58" t="str">
        <f>IF(AA283, K283, "")</f>
        <v/>
      </c>
    </row>
    <row r="284" spans="1:30" x14ac:dyDescent="0.25">
      <c r="A284" s="111"/>
      <c r="B284" s="111"/>
      <c r="C284" s="111"/>
      <c r="D284" s="111"/>
      <c r="I284" s="47"/>
      <c r="W284" s="74"/>
      <c r="X284" s="75"/>
      <c r="Y284" s="75"/>
      <c r="Z284" s="76"/>
      <c r="AA284" s="67"/>
      <c r="AB284" s="74"/>
      <c r="AC284" s="74"/>
      <c r="AD284" s="74"/>
    </row>
    <row r="285" spans="1:30" x14ac:dyDescent="0.25">
      <c r="A285" s="111" t="s">
        <v>288</v>
      </c>
      <c r="B285" s="111"/>
      <c r="C285" s="111"/>
      <c r="D285" s="111"/>
      <c r="E285" s="43"/>
      <c r="F285" s="60"/>
      <c r="G285" s="60"/>
      <c r="H285" s="47"/>
      <c r="W285" s="74"/>
      <c r="X285" s="75"/>
      <c r="Y285" s="75"/>
      <c r="Z285" s="76"/>
      <c r="AA285" s="67"/>
      <c r="AB285" s="74"/>
      <c r="AC285" s="74"/>
      <c r="AD285" s="74"/>
    </row>
    <row r="286" spans="1:30" x14ac:dyDescent="0.25">
      <c r="A286" s="40" t="s">
        <v>21</v>
      </c>
      <c r="B286" s="52">
        <f t="shared" ref="B286:B287" si="238">Q286</f>
        <v>4</v>
      </c>
      <c r="C286" s="39" t="str">
        <f t="shared" ref="C286:C287" si="239">IF(L286="","",L286)</f>
        <v/>
      </c>
      <c r="D286" s="40" t="str">
        <f>_xlfn.CONCAT(K286, U286)</f>
        <v>diced carrots</v>
      </c>
      <c r="I286" s="54">
        <v>4</v>
      </c>
      <c r="J286" s="55"/>
      <c r="K286" s="55" t="s">
        <v>101</v>
      </c>
      <c r="L286" s="56"/>
      <c r="M286" s="47">
        <f t="shared" ref="M286:M287" si="240">INDEX(itemGPerQty, MATCH(K286, itemNames, 0))</f>
        <v>0</v>
      </c>
      <c r="N286" s="47">
        <f t="shared" ref="N286:N287" si="241">INDEX(itemMlPerQty, MATCH(K286, itemNames, 0))</f>
        <v>0</v>
      </c>
      <c r="O286" s="47">
        <f t="shared" ref="O286:O287" si="242">IF(J286 = "", I286 * M286, IF(ISNA(CONVERT(I286, J286, "kg")), CONVERT(I286, J286, "l") * IF(N286 &lt;&gt; 0, M286 / N286, 0), CONVERT(I286, J286, "kg")))</f>
        <v>0</v>
      </c>
      <c r="P286" s="47">
        <f t="shared" ref="P286:P287" si="243">IF(J286 = "", I286 * N286, IF(ISNA(CONVERT(I286, J286, "l")), CONVERT(I286, J286, "kg") * IF(M286 &lt;&gt; 0, N286 / M286, 0), CONVERT(I286, J286, "l")))</f>
        <v>0</v>
      </c>
      <c r="Q286" s="47">
        <f>MROUND(IF(AND(J286 = "", L286 = ""), I286 * recipe12DayScale, IF(ISNA(CONVERT(O286, "kg", L286)), CONVERT(P286 * recipe12DayScale, "l", L286), CONVERT(O286 * recipe12DayScale, "kg", L286))), roundTo)</f>
        <v>4</v>
      </c>
      <c r="R286" s="47">
        <f>recipe12TotScale * IF(L286 = "", Q286 * M286, IF(ISNA(CONVERT(Q286, L286, "kg")), CONVERT(Q286, L286, "l") * IF(N286 &lt;&gt; 0, M286 / N286, 0), CONVERT(Q286, L286, "kg")))</f>
        <v>0</v>
      </c>
      <c r="S286" s="47">
        <f>recipe12TotScale * IF(R286 = 0, IF(L286 = "", Q286 * N286, IF(ISNA(CONVERT(Q286, L286, "l")), CONVERT(Q286, L286, "kg") * IF(M286 &lt;&gt; 0, N286 / M286, 0), CONVERT(Q286, L286, "l"))), 0)</f>
        <v>0</v>
      </c>
      <c r="T286" s="47">
        <f>recipe12TotScale * IF(AND(R286 = 0, S286 = 0, J286 = "", L286 = ""), Q286, 0)</f>
        <v>4</v>
      </c>
      <c r="V286" s="44" t="b">
        <f>INDEX(itemPrepMethods, MATCH(K286, itemNames, 0))="chop"</f>
        <v>1</v>
      </c>
      <c r="W286" s="57">
        <f>IF(V286, Q286, "")</f>
        <v>4</v>
      </c>
      <c r="X286" s="58" t="str">
        <f>IF(V286, IF(L286 = "", "", L286), "")</f>
        <v/>
      </c>
      <c r="Y286" s="58" t="str">
        <f>IF(V286, K286, "")</f>
        <v>diced carrots</v>
      </c>
      <c r="Z286" s="59"/>
      <c r="AA286" s="44" t="b">
        <f>INDEX(itemPrepMethods, MATCH(K286, itemNames, 0))="soak"</f>
        <v>0</v>
      </c>
      <c r="AB286" s="58" t="str">
        <f>IF(AA286, Q286, "")</f>
        <v/>
      </c>
      <c r="AC286" s="58" t="str">
        <f>IF(AA286, IF(L286 = "", "", L286), "")</f>
        <v/>
      </c>
      <c r="AD286" s="58" t="str">
        <f>IF(AA286, K286, "")</f>
        <v/>
      </c>
    </row>
    <row r="287" spans="1:30" x14ac:dyDescent="0.25">
      <c r="A287" s="40" t="s">
        <v>21</v>
      </c>
      <c r="B287" s="52">
        <f t="shared" si="238"/>
        <v>4</v>
      </c>
      <c r="C287" s="39" t="str">
        <f t="shared" si="239"/>
        <v/>
      </c>
      <c r="D287" s="40" t="str">
        <f>_xlfn.CONCAT(K287, U287)</f>
        <v>diced celery stalks</v>
      </c>
      <c r="I287" s="54">
        <v>4</v>
      </c>
      <c r="J287" s="55"/>
      <c r="K287" s="55" t="s">
        <v>102</v>
      </c>
      <c r="L287" s="56"/>
      <c r="M287" s="47">
        <f t="shared" si="240"/>
        <v>0</v>
      </c>
      <c r="N287" s="47">
        <f t="shared" si="241"/>
        <v>0</v>
      </c>
      <c r="O287" s="47">
        <f t="shared" si="242"/>
        <v>0</v>
      </c>
      <c r="P287" s="47">
        <f t="shared" si="243"/>
        <v>0</v>
      </c>
      <c r="Q287" s="47">
        <f>MROUND(IF(AND(J287 = "", L287 = ""), I287 * recipe12DayScale, IF(ISNA(CONVERT(O287, "kg", L287)), CONVERT(P287 * recipe12DayScale, "l", L287), CONVERT(O287 * recipe12DayScale, "kg", L287))), roundTo)</f>
        <v>4</v>
      </c>
      <c r="R287" s="47">
        <f>recipe12TotScale * IF(L287 = "", Q287 * M287, IF(ISNA(CONVERT(Q287, L287, "kg")), CONVERT(Q287, L287, "l") * IF(N287 &lt;&gt; 0, M287 / N287, 0), CONVERT(Q287, L287, "kg")))</f>
        <v>0</v>
      </c>
      <c r="S287" s="47">
        <f>recipe12TotScale * IF(R287 = 0, IF(L287 = "", Q287 * N287, IF(ISNA(CONVERT(Q287, L287, "l")), CONVERT(Q287, L287, "kg") * IF(M287 &lt;&gt; 0, N287 / M287, 0), CONVERT(Q287, L287, "l"))), 0)</f>
        <v>0</v>
      </c>
      <c r="T287" s="47">
        <f>recipe12TotScale * IF(AND(R287 = 0, S287 = 0, J287 = "", L287 = ""), Q287, 0)</f>
        <v>4</v>
      </c>
      <c r="V287" s="44" t="b">
        <f>INDEX(itemPrepMethods, MATCH(K287, itemNames, 0))="chop"</f>
        <v>1</v>
      </c>
      <c r="W287" s="57">
        <f>IF(V287, Q287, "")</f>
        <v>4</v>
      </c>
      <c r="X287" s="58" t="str">
        <f>IF(V287, IF(L287 = "", "", L287), "")</f>
        <v/>
      </c>
      <c r="Y287" s="58" t="str">
        <f>IF(V287, K287, "")</f>
        <v>diced celery stalks</v>
      </c>
      <c r="Z287" s="59"/>
      <c r="AA287" s="44" t="b">
        <f>INDEX(itemPrepMethods, MATCH(K287, itemNames, 0))="soak"</f>
        <v>0</v>
      </c>
      <c r="AB287" s="58" t="str">
        <f>IF(AA287, Q287, "")</f>
        <v/>
      </c>
      <c r="AC287" s="58" t="str">
        <f>IF(AA287, IF(L287 = "", "", L287), "")</f>
        <v/>
      </c>
      <c r="AD287" s="58" t="str">
        <f>IF(AA287, K287, "")</f>
        <v/>
      </c>
    </row>
    <row r="288" spans="1:30" x14ac:dyDescent="0.25">
      <c r="A288" s="40" t="s">
        <v>21</v>
      </c>
      <c r="B288" s="52">
        <f t="shared" ref="B288" si="244">Q288</f>
        <v>1</v>
      </c>
      <c r="C288" s="39" t="str">
        <f t="shared" ref="C288" si="245">IF(L288="","",L288)</f>
        <v>tbs</v>
      </c>
      <c r="D288" s="40" t="str">
        <f>_xlfn.CONCAT(K288, U288)</f>
        <v>dried sage</v>
      </c>
      <c r="I288" s="54">
        <v>1</v>
      </c>
      <c r="J288" s="55" t="s">
        <v>15</v>
      </c>
      <c r="K288" s="55" t="s">
        <v>289</v>
      </c>
      <c r="L288" s="56" t="s">
        <v>15</v>
      </c>
      <c r="M288" s="47">
        <f t="shared" ref="M288" si="246">INDEX(itemGPerQty, MATCH(K288, itemNames, 0))</f>
        <v>0</v>
      </c>
      <c r="N288" s="47">
        <f t="shared" ref="N288" si="247">INDEX(itemMlPerQty, MATCH(K288, itemNames, 0))</f>
        <v>0</v>
      </c>
      <c r="O288" s="47">
        <f t="shared" ref="O288" si="248">IF(J288 = "", I288 * M288, IF(ISNA(CONVERT(I288, J288, "kg")), CONVERT(I288, J288, "l") * IF(N288 &lt;&gt; 0, M288 / N288, 0), CONVERT(I288, J288, "kg")))</f>
        <v>0</v>
      </c>
      <c r="P288" s="47">
        <f t="shared" ref="P288" si="249">IF(J288 = "", I288 * N288, IF(ISNA(CONVERT(I288, J288, "l")), CONVERT(I288, J288, "kg") * IF(M288 &lt;&gt; 0, N288 / M288, 0), CONVERT(I288, J288, "l")))</f>
        <v>1.478676478125E-2</v>
      </c>
      <c r="Q288" s="47">
        <f>MROUND(IF(AND(J288 = "", L288 = ""), I288 * recipe12DayScale, IF(ISNA(CONVERT(O288, "kg", L288)), CONVERT(P288 * recipe12DayScale, "l", L288), CONVERT(O288 * recipe12DayScale, "kg", L288))), roundTo)</f>
        <v>1</v>
      </c>
      <c r="R288" s="47">
        <f>recipe12TotScale * IF(L288 = "", Q288 * M288, IF(ISNA(CONVERT(Q288, L288, "kg")), CONVERT(Q288, L288, "l") * IF(N288 &lt;&gt; 0, M288 / N288, 0), CONVERT(Q288, L288, "kg")))</f>
        <v>0</v>
      </c>
      <c r="S288" s="47">
        <f>recipe12TotScale * IF(R288 = 0, IF(L288 = "", Q288 * N288, IF(ISNA(CONVERT(Q288, L288, "l")), CONVERT(Q288, L288, "kg") * IF(M288 &lt;&gt; 0, N288 / M288, 0), CONVERT(Q288, L288, "l"))), 0)</f>
        <v>1.478676478125E-2</v>
      </c>
      <c r="T288" s="47">
        <f>recipe12TotScale * IF(AND(R288 = 0, S288 = 0, J288 = "", L288 = ""), Q288, 0)</f>
        <v>0</v>
      </c>
      <c r="V288" s="44" t="b">
        <f>INDEX(itemPrepMethods, MATCH(K288, itemNames, 0))="chop"</f>
        <v>0</v>
      </c>
      <c r="W288" s="57" t="str">
        <f>IF(V288, Q288, "")</f>
        <v/>
      </c>
      <c r="X288" s="58" t="str">
        <f>IF(V288, IF(L288 = "", "", L288), "")</f>
        <v/>
      </c>
      <c r="Y288" s="58" t="str">
        <f>IF(V288, K288, "")</f>
        <v/>
      </c>
      <c r="Z288" s="59"/>
      <c r="AA288" s="44" t="b">
        <f>INDEX(itemPrepMethods, MATCH(K288, itemNames, 0))="soak"</f>
        <v>0</v>
      </c>
      <c r="AB288" s="58" t="str">
        <f>IF(AA288, Q288, "")</f>
        <v/>
      </c>
      <c r="AC288" s="58" t="str">
        <f>IF(AA288, IF(L288 = "", "", L288), "")</f>
        <v/>
      </c>
      <c r="AD288" s="58" t="str">
        <f>IF(AA288, K288, "")</f>
        <v/>
      </c>
    </row>
    <row r="289" spans="1:30" x14ac:dyDescent="0.25">
      <c r="A289" s="111"/>
      <c r="B289" s="111"/>
      <c r="C289" s="111"/>
      <c r="D289" s="111"/>
      <c r="I289" s="47"/>
      <c r="W289" s="74"/>
      <c r="X289" s="75"/>
      <c r="Y289" s="75"/>
      <c r="Z289" s="76"/>
      <c r="AA289" s="67"/>
      <c r="AB289" s="74"/>
      <c r="AC289" s="74"/>
      <c r="AD289" s="74"/>
    </row>
    <row r="290" spans="1:30" x14ac:dyDescent="0.25">
      <c r="A290" s="111" t="s">
        <v>294</v>
      </c>
      <c r="B290" s="111"/>
      <c r="C290" s="111"/>
      <c r="D290" s="111"/>
      <c r="E290" s="43"/>
      <c r="F290" s="60"/>
      <c r="G290" s="60"/>
      <c r="H290" s="47"/>
      <c r="W290" s="74"/>
      <c r="X290" s="75"/>
      <c r="Y290" s="75"/>
      <c r="Z290" s="76"/>
      <c r="AA290" s="67"/>
      <c r="AB290" s="74"/>
      <c r="AC290" s="74"/>
      <c r="AD290" s="74"/>
    </row>
    <row r="291" spans="1:30" x14ac:dyDescent="0.25">
      <c r="A291" s="40" t="s">
        <v>21</v>
      </c>
      <c r="B291" s="52">
        <f t="shared" ref="B291" si="250">Q291</f>
        <v>4</v>
      </c>
      <c r="C291" s="39" t="str">
        <f t="shared" ref="C291" si="251">IF(L291="","",L291)</f>
        <v>cup</v>
      </c>
      <c r="D291" s="65" t="str">
        <f>_xlfn.CONCAT(K291, U291)</f>
        <v>tins pasta sauce</v>
      </c>
      <c r="I291" s="54">
        <v>4</v>
      </c>
      <c r="J291" s="55" t="s">
        <v>16</v>
      </c>
      <c r="K291" s="55" t="s">
        <v>290</v>
      </c>
      <c r="L291" s="56" t="s">
        <v>16</v>
      </c>
      <c r="M291" s="47">
        <f t="shared" ref="M291" si="252">INDEX(itemGPerQty, MATCH(K291, itemNames, 0))</f>
        <v>0</v>
      </c>
      <c r="N291" s="47">
        <f t="shared" ref="N291" si="253">INDEX(itemMlPerQty, MATCH(K291, itemNames, 0))</f>
        <v>0</v>
      </c>
      <c r="O291" s="47">
        <f t="shared" ref="O291" si="254">IF(J291 = "", I291 * M291, IF(ISNA(CONVERT(I291, J291, "kg")), CONVERT(I291, J291, "l") * IF(N291 &lt;&gt; 0, M291 / N291, 0), CONVERT(I291, J291, "kg")))</f>
        <v>0</v>
      </c>
      <c r="P291" s="47">
        <f t="shared" ref="P291" si="255">IF(J291 = "", I291 * N291, IF(ISNA(CONVERT(I291, J291, "l")), CONVERT(I291, J291, "kg") * IF(M291 &lt;&gt; 0, N291 / M291, 0), CONVERT(I291, J291, "l")))</f>
        <v>0.94635294599999997</v>
      </c>
      <c r="Q291" s="47">
        <f>MROUND(IF(AND(J291 = "", L291 = ""), I291 * recipe12DayScale, IF(ISNA(CONVERT(O291, "kg", L291)), CONVERT(P291 * recipe12DayScale, "l", L291), CONVERT(O291 * recipe12DayScale, "kg", L291))), roundTo)</f>
        <v>4</v>
      </c>
      <c r="R291" s="47">
        <f>recipe12TotScale * IF(L291 = "", Q291 * M291, IF(ISNA(CONVERT(Q291, L291, "kg")), CONVERT(Q291, L291, "l") * IF(N291 &lt;&gt; 0, M291 / N291, 0), CONVERT(Q291, L291, "kg")))</f>
        <v>0</v>
      </c>
      <c r="S291" s="47">
        <f>recipe12TotScale * IF(R291 = 0, IF(L291 = "", Q291 * N291, IF(ISNA(CONVERT(Q291, L291, "l")), CONVERT(Q291, L291, "kg") * IF(M291 &lt;&gt; 0, N291 / M291, 0), CONVERT(Q291, L291, "l"))), 0)</f>
        <v>0.94635294599999997</v>
      </c>
      <c r="T291" s="47">
        <f>recipe12TotScale * IF(AND(R291 = 0, S291 = 0, J291 = "", L291 = ""), Q291, 0)</f>
        <v>0</v>
      </c>
      <c r="V291" s="44" t="b">
        <f>INDEX(itemPrepMethods, MATCH(K291, itemNames, 0))="chop"</f>
        <v>0</v>
      </c>
      <c r="W291" s="57" t="str">
        <f>IF(V291, Q291, "")</f>
        <v/>
      </c>
      <c r="X291" s="58" t="str">
        <f>IF(V291, IF(L291 = "", "", L291), "")</f>
        <v/>
      </c>
      <c r="Y291" s="58" t="str">
        <f>IF(V291, K291, "")</f>
        <v/>
      </c>
      <c r="Z291" s="59"/>
      <c r="AA291" s="44" t="b">
        <f>INDEX(itemPrepMethods, MATCH(K291, itemNames, 0))="soak"</f>
        <v>0</v>
      </c>
      <c r="AB291" s="58" t="str">
        <f>IF(AA291, Q291, "")</f>
        <v/>
      </c>
      <c r="AC291" s="58" t="str">
        <f>IF(AA291, IF(L291 = "", "", L291), "")</f>
        <v/>
      </c>
      <c r="AD291" s="58" t="str">
        <f>IF(AA291, K291, "")</f>
        <v/>
      </c>
    </row>
    <row r="292" spans="1:30" x14ac:dyDescent="0.25">
      <c r="A292" s="111"/>
      <c r="B292" s="111"/>
      <c r="C292" s="111"/>
      <c r="D292" s="111"/>
      <c r="I292" s="47"/>
      <c r="W292" s="74"/>
      <c r="X292" s="75"/>
      <c r="Y292" s="75"/>
      <c r="Z292" s="76"/>
      <c r="AA292" s="67"/>
      <c r="AB292" s="74"/>
      <c r="AC292" s="74"/>
      <c r="AD292" s="74"/>
    </row>
    <row r="293" spans="1:30" x14ac:dyDescent="0.25">
      <c r="A293" s="111" t="s">
        <v>291</v>
      </c>
      <c r="B293" s="111"/>
      <c r="C293" s="111"/>
      <c r="D293" s="111"/>
      <c r="E293" s="43"/>
      <c r="F293" s="60"/>
      <c r="G293" s="60"/>
      <c r="H293" s="47"/>
      <c r="W293" s="74"/>
      <c r="X293" s="75"/>
      <c r="Y293" s="75"/>
      <c r="Z293" s="76"/>
      <c r="AA293" s="67"/>
      <c r="AB293" s="74"/>
      <c r="AC293" s="74"/>
      <c r="AD293" s="74"/>
    </row>
    <row r="294" spans="1:30" x14ac:dyDescent="0.25">
      <c r="A294" s="111"/>
      <c r="B294" s="111"/>
      <c r="C294" s="111"/>
      <c r="D294" s="111"/>
      <c r="I294" s="47"/>
      <c r="W294" s="74"/>
      <c r="X294" s="75"/>
      <c r="Y294" s="75"/>
      <c r="Z294" s="76"/>
      <c r="AA294" s="67"/>
      <c r="AB294" s="74"/>
      <c r="AC294" s="74"/>
      <c r="AD294" s="74"/>
    </row>
    <row r="295" spans="1:30" x14ac:dyDescent="0.25">
      <c r="A295" s="113" t="s">
        <v>292</v>
      </c>
      <c r="B295" s="113"/>
      <c r="C295" s="113"/>
      <c r="D295" s="113"/>
      <c r="E295" s="43"/>
      <c r="F295" s="60"/>
      <c r="G295" s="60"/>
      <c r="H295" s="47"/>
      <c r="W295" s="74"/>
      <c r="X295" s="75"/>
      <c r="Y295" s="75"/>
      <c r="Z295" s="76"/>
      <c r="AA295" s="67"/>
      <c r="AB295" s="74"/>
      <c r="AC295" s="74"/>
      <c r="AD295" s="74"/>
    </row>
    <row r="296" spans="1:30" x14ac:dyDescent="0.25">
      <c r="A296" s="111"/>
      <c r="B296" s="111"/>
      <c r="C296" s="111"/>
      <c r="D296" s="111"/>
      <c r="I296" s="47"/>
      <c r="W296" s="74"/>
      <c r="X296" s="75"/>
      <c r="Y296" s="75"/>
      <c r="Z296" s="76"/>
      <c r="AA296" s="67"/>
      <c r="AB296" s="74"/>
      <c r="AC296" s="74"/>
      <c r="AD296" s="74"/>
    </row>
    <row r="297" spans="1:30" x14ac:dyDescent="0.25">
      <c r="A297" s="111" t="s">
        <v>293</v>
      </c>
      <c r="B297" s="111"/>
      <c r="C297" s="111"/>
      <c r="D297" s="111"/>
      <c r="E297" s="43"/>
      <c r="F297" s="60"/>
      <c r="G297" s="60"/>
      <c r="H297" s="47"/>
      <c r="W297" s="74"/>
      <c r="X297" s="75"/>
      <c r="Y297" s="75"/>
      <c r="Z297" s="76"/>
      <c r="AA297" s="67"/>
      <c r="AB297" s="74"/>
      <c r="AC297" s="74"/>
      <c r="AD297" s="74"/>
    </row>
    <row r="298" spans="1:30" x14ac:dyDescent="0.25">
      <c r="A298" s="111"/>
      <c r="B298" s="111"/>
      <c r="C298" s="111"/>
      <c r="D298" s="111"/>
      <c r="I298" s="47"/>
      <c r="W298" s="74"/>
      <c r="X298" s="75"/>
      <c r="Y298" s="75"/>
      <c r="Z298" s="76"/>
      <c r="AA298" s="67"/>
      <c r="AB298" s="74"/>
      <c r="AC298" s="74"/>
      <c r="AD298" s="74"/>
    </row>
    <row r="299" spans="1:30" x14ac:dyDescent="0.25">
      <c r="A299" s="111" t="s">
        <v>107</v>
      </c>
      <c r="B299" s="111"/>
      <c r="C299" s="111"/>
      <c r="D299" s="111"/>
      <c r="E299" s="43"/>
      <c r="F299" s="60"/>
      <c r="G299" s="60"/>
      <c r="H299" s="47"/>
      <c r="W299" s="74"/>
      <c r="X299" s="75"/>
      <c r="Y299" s="75"/>
      <c r="Z299" s="76"/>
      <c r="AA299" s="67"/>
      <c r="AB299" s="74"/>
      <c r="AC299" s="74"/>
      <c r="AD299" s="74"/>
    </row>
    <row r="300" spans="1:30" x14ac:dyDescent="0.25">
      <c r="A300" s="40" t="s">
        <v>21</v>
      </c>
      <c r="B300" s="52">
        <f t="shared" ref="B300" si="256">Q300</f>
        <v>2</v>
      </c>
      <c r="C300" s="39" t="str">
        <f t="shared" ref="C300" si="257">IF(L300="","",L300)</f>
        <v>tbs</v>
      </c>
      <c r="D300" s="65" t="str">
        <f>_xlfn.CONCAT(K300, U300)</f>
        <v>sweet chili sauce</v>
      </c>
      <c r="I300" s="54">
        <v>2</v>
      </c>
      <c r="J300" s="55" t="s">
        <v>15</v>
      </c>
      <c r="K300" s="55" t="s">
        <v>295</v>
      </c>
      <c r="L300" s="56" t="s">
        <v>15</v>
      </c>
      <c r="M300" s="47">
        <f t="shared" ref="M300" si="258">INDEX(itemGPerQty, MATCH(K300, itemNames, 0))</f>
        <v>0</v>
      </c>
      <c r="N300" s="47">
        <f t="shared" ref="N300" si="259">INDEX(itemMlPerQty, MATCH(K300, itemNames, 0))</f>
        <v>0</v>
      </c>
      <c r="O300" s="47">
        <f t="shared" ref="O300" si="260">IF(J300 = "", I300 * M300, IF(ISNA(CONVERT(I300, J300, "kg")), CONVERT(I300, J300, "l") * IF(N300 &lt;&gt; 0, M300 / N300, 0), CONVERT(I300, J300, "kg")))</f>
        <v>0</v>
      </c>
      <c r="P300" s="47">
        <f t="shared" ref="P300" si="261">IF(J300 = "", I300 * N300, IF(ISNA(CONVERT(I300, J300, "l")), CONVERT(I300, J300, "kg") * IF(M300 &lt;&gt; 0, N300 / M300, 0), CONVERT(I300, J300, "l")))</f>
        <v>2.9573529562499999E-2</v>
      </c>
      <c r="Q300" s="47">
        <f>MROUND(IF(AND(J300 = "", L300 = ""), I300 * recipe12DayScale, IF(ISNA(CONVERT(O300, "kg", L300)), CONVERT(P300 * recipe12DayScale, "l", L300), CONVERT(O300 * recipe12DayScale, "kg", L300))), roundTo)</f>
        <v>2</v>
      </c>
      <c r="R300" s="47">
        <f>recipe12TotScale * IF(L300 = "", Q300 * M300, IF(ISNA(CONVERT(Q300, L300, "kg")), CONVERT(Q300, L300, "l") * IF(N300 &lt;&gt; 0, M300 / N300, 0), CONVERT(Q300, L300, "kg")))</f>
        <v>0</v>
      </c>
      <c r="S300" s="47">
        <f>recipe12TotScale * IF(R300 = 0, IF(L300 = "", Q300 * N300, IF(ISNA(CONVERT(Q300, L300, "l")), CONVERT(Q300, L300, "kg") * IF(M300 &lt;&gt; 0, N300 / M300, 0), CONVERT(Q300, L300, "l"))), 0)</f>
        <v>2.9573529562499999E-2</v>
      </c>
      <c r="T300" s="47">
        <f>recipe12TotScale * IF(AND(R300 = 0, S300 = 0, J300 = "", L300 = ""), Q300, 0)</f>
        <v>0</v>
      </c>
      <c r="V300" s="44" t="b">
        <f>INDEX(itemPrepMethods, MATCH(K300, itemNames, 0))="chop"</f>
        <v>0</v>
      </c>
      <c r="W300" s="57" t="str">
        <f>IF(V300, Q300, "")</f>
        <v/>
      </c>
      <c r="X300" s="58" t="str">
        <f>IF(V300, IF(L300 = "", "", L300), "")</f>
        <v/>
      </c>
      <c r="Y300" s="58" t="str">
        <f>IF(V300, K300, "")</f>
        <v/>
      </c>
      <c r="Z300" s="59"/>
      <c r="AA300" s="44" t="b">
        <f>INDEX(itemPrepMethods, MATCH(K300, itemNames, 0))="soak"</f>
        <v>0</v>
      </c>
      <c r="AB300" s="58" t="str">
        <f>IF(AA300, Q300, "")</f>
        <v/>
      </c>
      <c r="AC300" s="58" t="str">
        <f>IF(AA300, IF(L300 = "", "", L300), "")</f>
        <v/>
      </c>
      <c r="AD300" s="58" t="str">
        <f>IF(AA300, K300, "")</f>
        <v/>
      </c>
    </row>
    <row r="301" spans="1:30" x14ac:dyDescent="0.25">
      <c r="A301" s="40" t="s">
        <v>21</v>
      </c>
      <c r="B301" s="52">
        <f t="shared" ref="B301:B302" si="262">Q301</f>
        <v>2</v>
      </c>
      <c r="C301" s="39" t="str">
        <f t="shared" ref="C301:C302" si="263">IF(L301="","",L301)</f>
        <v>tsp</v>
      </c>
      <c r="D301" s="40" t="str">
        <f>_xlfn.CONCAT(K301, U301)</f>
        <v>dijon mustard</v>
      </c>
      <c r="I301" s="54">
        <v>2</v>
      </c>
      <c r="J301" s="55" t="s">
        <v>13</v>
      </c>
      <c r="K301" s="55" t="s">
        <v>75</v>
      </c>
      <c r="L301" s="56" t="s">
        <v>13</v>
      </c>
      <c r="M301" s="47">
        <f t="shared" ref="M301:M302" si="264">INDEX(itemGPerQty, MATCH(K301, itemNames, 0))</f>
        <v>0</v>
      </c>
      <c r="N301" s="47">
        <f t="shared" ref="N301:N302" si="265">INDEX(itemMlPerQty, MATCH(K301, itemNames, 0))</f>
        <v>0</v>
      </c>
      <c r="O301" s="47">
        <f t="shared" ref="O301:O302" si="266">IF(J301 = "", I301 * M301, IF(ISNA(CONVERT(I301, J301, "kg")), CONVERT(I301, J301, "l") * IF(N301 &lt;&gt; 0, M301 / N301, 0), CONVERT(I301, J301, "kg")))</f>
        <v>0</v>
      </c>
      <c r="P301" s="47">
        <f t="shared" ref="P301:P302" si="267">IF(J301 = "", I301 * N301, IF(ISNA(CONVERT(I301, J301, "l")), CONVERT(I301, J301, "kg") * IF(M301 &lt;&gt; 0, N301 / M301, 0), CONVERT(I301, J301, "l")))</f>
        <v>9.8578431874999997E-3</v>
      </c>
      <c r="Q301" s="47">
        <f>MROUND(IF(AND(J301 = "", L301 = ""), I301 * recipe12DayScale, IF(ISNA(CONVERT(O301, "kg", L301)), CONVERT(P301 * recipe12DayScale, "l", L301), CONVERT(O301 * recipe12DayScale, "kg", L301))), roundTo)</f>
        <v>2</v>
      </c>
      <c r="R301" s="47">
        <f>recipe12TotScale * IF(L301 = "", Q301 * M301, IF(ISNA(CONVERT(Q301, L301, "kg")), CONVERT(Q301, L301, "l") * IF(N301 &lt;&gt; 0, M301 / N301, 0), CONVERT(Q301, L301, "kg")))</f>
        <v>0</v>
      </c>
      <c r="S301" s="47">
        <f>recipe12TotScale * IF(R301 = 0, IF(L301 = "", Q301 * N301, IF(ISNA(CONVERT(Q301, L301, "l")), CONVERT(Q301, L301, "kg") * IF(M301 &lt;&gt; 0, N301 / M301, 0), CONVERT(Q301, L301, "l"))), 0)</f>
        <v>9.8578431874999997E-3</v>
      </c>
      <c r="T301" s="47">
        <f>recipe12TotScale * IF(AND(R301 = 0, S301 = 0, J301 = "", L301 = ""), Q301, 0)</f>
        <v>0</v>
      </c>
      <c r="V301" s="44" t="b">
        <f>INDEX(itemPrepMethods, MATCH(K301, itemNames, 0))="chop"</f>
        <v>0</v>
      </c>
      <c r="W301" s="57" t="str">
        <f>IF(V301, Q301, "")</f>
        <v/>
      </c>
      <c r="X301" s="58" t="str">
        <f>IF(V301, IF(L301 = "", "", L301), "")</f>
        <v/>
      </c>
      <c r="Y301" s="58" t="str">
        <f>IF(V301, K301, "")</f>
        <v/>
      </c>
      <c r="Z301" s="59"/>
      <c r="AA301" s="44" t="b">
        <f>INDEX(itemPrepMethods, MATCH(K301, itemNames, 0))="soak"</f>
        <v>0</v>
      </c>
      <c r="AB301" s="58" t="str">
        <f>IF(AA301, Q301, "")</f>
        <v/>
      </c>
      <c r="AC301" s="58" t="str">
        <f>IF(AA301, IF(L301 = "", "", L301), "")</f>
        <v/>
      </c>
      <c r="AD301" s="58" t="str">
        <f>IF(AA301, K301, "")</f>
        <v/>
      </c>
    </row>
    <row r="302" spans="1:30" x14ac:dyDescent="0.25">
      <c r="A302" s="40" t="s">
        <v>21</v>
      </c>
      <c r="B302" s="52">
        <f t="shared" si="262"/>
        <v>2</v>
      </c>
      <c r="C302" s="39" t="str">
        <f t="shared" si="263"/>
        <v>tsp</v>
      </c>
      <c r="D302" s="40" t="str">
        <f>_xlfn.CONCAT(K302, U302)</f>
        <v>ground turmeric</v>
      </c>
      <c r="I302" s="54">
        <v>2</v>
      </c>
      <c r="J302" s="55" t="s">
        <v>13</v>
      </c>
      <c r="K302" s="55" t="s">
        <v>316</v>
      </c>
      <c r="L302" s="56" t="s">
        <v>13</v>
      </c>
      <c r="M302" s="47">
        <f t="shared" si="264"/>
        <v>1.4E-2</v>
      </c>
      <c r="N302" s="47">
        <f t="shared" si="265"/>
        <v>2.2180100000000001E-2</v>
      </c>
      <c r="O302" s="47">
        <f t="shared" si="266"/>
        <v>6.2222354554307691E-3</v>
      </c>
      <c r="P302" s="47">
        <f t="shared" si="267"/>
        <v>9.8578431874999997E-3</v>
      </c>
      <c r="Q302" s="47">
        <f>MROUND(IF(AND(J302 = "", L302 = ""), I302 * recipe12DayScale, IF(ISNA(CONVERT(O302, "kg", L302)), CONVERT(P302 * recipe12DayScale, "l", L302), CONVERT(O302 * recipe12DayScale, "kg", L302))), roundTo)</f>
        <v>2</v>
      </c>
      <c r="R302" s="47">
        <f>recipe12TotScale * IF(L302 = "", Q302 * M302, IF(ISNA(CONVERT(Q302, L302, "kg")), CONVERT(Q302, L302, "l") * IF(N302 &lt;&gt; 0, M302 / N302, 0), CONVERT(Q302, L302, "kg")))</f>
        <v>6.2222354554307691E-3</v>
      </c>
      <c r="S302" s="47">
        <f>recipe12TotScale * IF(R302 = 0, IF(L302 = "", Q302 * N302, IF(ISNA(CONVERT(Q302, L302, "l")), CONVERT(Q302, L302, "kg") * IF(M302 &lt;&gt; 0, N302 / M302, 0), CONVERT(Q302, L302, "l"))), 0)</f>
        <v>0</v>
      </c>
      <c r="T302" s="47">
        <f>recipe12TotScale * IF(AND(R302 = 0, S302 = 0, J302 = "", L302 = ""), Q302, 0)</f>
        <v>0</v>
      </c>
      <c r="V302" s="44" t="b">
        <f>INDEX(itemPrepMethods, MATCH(K302, itemNames, 0))="chop"</f>
        <v>0</v>
      </c>
      <c r="W302" s="57" t="str">
        <f>IF(V302, Q302, "")</f>
        <v/>
      </c>
      <c r="X302" s="58" t="str">
        <f>IF(V302, IF(L302 = "", "", L302), "")</f>
        <v/>
      </c>
      <c r="Y302" s="58" t="str">
        <f>IF(V302, K302, "")</f>
        <v/>
      </c>
      <c r="Z302" s="59"/>
      <c r="AA302" s="44" t="b">
        <f>INDEX(itemPrepMethods, MATCH(K302, itemNames, 0))="soak"</f>
        <v>0</v>
      </c>
      <c r="AB302" s="58" t="str">
        <f>IF(AA302, Q302, "")</f>
        <v/>
      </c>
      <c r="AC302" s="58" t="str">
        <f>IF(AA302, IF(L302 = "", "", L302), "")</f>
        <v/>
      </c>
      <c r="AD302" s="58" t="str">
        <f>IF(AA302, K302, "")</f>
        <v/>
      </c>
    </row>
    <row r="303" spans="1:30" x14ac:dyDescent="0.25">
      <c r="A303" s="40" t="s">
        <v>21</v>
      </c>
      <c r="B303" s="52">
        <f t="shared" ref="B303" si="268">Q303</f>
        <v>2</v>
      </c>
      <c r="C303" s="39" t="str">
        <f t="shared" ref="C303" si="269">IF(L303="","",L303)</f>
        <v>tsp</v>
      </c>
      <c r="D303" s="40" t="str">
        <f>_xlfn.CONCAT(K303, U303)</f>
        <v>salt</v>
      </c>
      <c r="I303" s="54">
        <v>2</v>
      </c>
      <c r="J303" s="55" t="s">
        <v>13</v>
      </c>
      <c r="K303" s="55" t="s">
        <v>11</v>
      </c>
      <c r="L303" s="56" t="s">
        <v>13</v>
      </c>
      <c r="M303" s="47">
        <f t="shared" ref="M303" si="270">INDEX(itemGPerQty, MATCH(K303, itemNames, 0))</f>
        <v>2.5000000000000001E-2</v>
      </c>
      <c r="N303" s="47">
        <f t="shared" ref="N303" si="271">INDEX(itemMlPerQty, MATCH(K303, itemNames, 0))</f>
        <v>2.2180100000000001E-2</v>
      </c>
      <c r="O303" s="47">
        <f t="shared" ref="O303" si="272">IF(J303 = "", I303 * M303, IF(ISNA(CONVERT(I303, J303, "kg")), CONVERT(I303, J303, "l") * IF(N303 &lt;&gt; 0, M303 / N303, 0), CONVERT(I303, J303, "kg")))</f>
        <v>1.111113474184066E-2</v>
      </c>
      <c r="P303" s="47">
        <f t="shared" ref="P303" si="273">IF(J303 = "", I303 * N303, IF(ISNA(CONVERT(I303, J303, "l")), CONVERT(I303, J303, "kg") * IF(M303 &lt;&gt; 0, N303 / M303, 0), CONVERT(I303, J303, "l")))</f>
        <v>9.8578431874999997E-3</v>
      </c>
      <c r="Q303" s="47">
        <f>MROUND(IF(AND(J303 = "", L303 = ""), I303 * recipe12DayScale, IF(ISNA(CONVERT(O303, "kg", L303)), CONVERT(P303 * recipe12DayScale, "l", L303), CONVERT(O303 * recipe12DayScale, "kg", L303))), roundTo)</f>
        <v>2</v>
      </c>
      <c r="R303" s="47">
        <f>recipe12TotScale * IF(L303 = "", Q303 * M303, IF(ISNA(CONVERT(Q303, L303, "kg")), CONVERT(Q303, L303, "l") * IF(N303 &lt;&gt; 0, M303 / N303, 0), CONVERT(Q303, L303, "kg")))</f>
        <v>1.111113474184066E-2</v>
      </c>
      <c r="S303" s="47">
        <f>recipe12TotScale * IF(R303 = 0, IF(L303 = "", Q303 * N303, IF(ISNA(CONVERT(Q303, L303, "l")), CONVERT(Q303, L303, "kg") * IF(M303 &lt;&gt; 0, N303 / M303, 0), CONVERT(Q303, L303, "l"))), 0)</f>
        <v>0</v>
      </c>
      <c r="T303" s="47">
        <f>recipe12TotScale * IF(AND(R303 = 0, S303 = 0, J303 = "", L303 = ""), Q303, 0)</f>
        <v>0</v>
      </c>
      <c r="V303" s="44" t="b">
        <f>INDEX(itemPrepMethods, MATCH(K303, itemNames, 0))="chop"</f>
        <v>0</v>
      </c>
      <c r="W303" s="57" t="str">
        <f>IF(V303, Q303, "")</f>
        <v/>
      </c>
      <c r="X303" s="58" t="str">
        <f>IF(V303, IF(L303 = "", "", L303), "")</f>
        <v/>
      </c>
      <c r="Y303" s="58" t="str">
        <f>IF(V303, K303, "")</f>
        <v/>
      </c>
      <c r="Z303" s="59"/>
      <c r="AA303" s="44" t="b">
        <f>INDEX(itemPrepMethods, MATCH(K303, itemNames, 0))="soak"</f>
        <v>0</v>
      </c>
      <c r="AB303" s="58" t="str">
        <f>IF(AA303, Q303, "")</f>
        <v/>
      </c>
      <c r="AC303" s="58" t="str">
        <f>IF(AA303, IF(L303 = "", "", L303), "")</f>
        <v/>
      </c>
      <c r="AD303" s="58" t="str">
        <f>IF(AA303, K303, "")</f>
        <v/>
      </c>
    </row>
    <row r="304" spans="1:30" x14ac:dyDescent="0.25">
      <c r="A304" s="40" t="s">
        <v>21</v>
      </c>
      <c r="B304" s="52">
        <f t="shared" ref="B304" si="274">Q304</f>
        <v>2</v>
      </c>
      <c r="C304" s="39" t="str">
        <f t="shared" ref="C304" si="275">IF(L304="","",L304)</f>
        <v>cup</v>
      </c>
      <c r="D304" s="40" t="str">
        <f>_xlfn.CONCAT(K304, U304)</f>
        <v>soymilk</v>
      </c>
      <c r="I304" s="54">
        <v>2</v>
      </c>
      <c r="J304" s="55" t="s">
        <v>16</v>
      </c>
      <c r="K304" s="55" t="s">
        <v>296</v>
      </c>
      <c r="L304" s="56" t="s">
        <v>16</v>
      </c>
      <c r="M304" s="47">
        <f t="shared" ref="M304" si="276">INDEX(itemGPerQty, MATCH(K304, itemNames, 0))</f>
        <v>0</v>
      </c>
      <c r="N304" s="47">
        <f t="shared" ref="N304" si="277">INDEX(itemMlPerQty, MATCH(K304, itemNames, 0))</f>
        <v>0</v>
      </c>
      <c r="O304" s="47">
        <f t="shared" ref="O304" si="278">IF(J304 = "", I304 * M304, IF(ISNA(CONVERT(I304, J304, "kg")), CONVERT(I304, J304, "l") * IF(N304 &lt;&gt; 0, M304 / N304, 0), CONVERT(I304, J304, "kg")))</f>
        <v>0</v>
      </c>
      <c r="P304" s="47">
        <f t="shared" ref="P304" si="279">IF(J304 = "", I304 * N304, IF(ISNA(CONVERT(I304, J304, "l")), CONVERT(I304, J304, "kg") * IF(M304 &lt;&gt; 0, N304 / M304, 0), CONVERT(I304, J304, "l")))</f>
        <v>0.47317647299999999</v>
      </c>
      <c r="Q304" s="47">
        <f>MROUND(IF(AND(J304 = "", L304 = ""), I304 * recipe12DayScale, IF(ISNA(CONVERT(O304, "kg", L304)), CONVERT(P304 * recipe12DayScale, "l", L304), CONVERT(O304 * recipe12DayScale, "kg", L304))), roundTo)</f>
        <v>2</v>
      </c>
      <c r="R304" s="47">
        <f>recipe12TotScale * IF(L304 = "", Q304 * M304, IF(ISNA(CONVERT(Q304, L304, "kg")), CONVERT(Q304, L304, "l") * IF(N304 &lt;&gt; 0, M304 / N304, 0), CONVERT(Q304, L304, "kg")))</f>
        <v>0</v>
      </c>
      <c r="S304" s="47">
        <f>recipe12TotScale * IF(R304 = 0, IF(L304 = "", Q304 * N304, IF(ISNA(CONVERT(Q304, L304, "l")), CONVERT(Q304, L304, "kg") * IF(M304 &lt;&gt; 0, N304 / M304, 0), CONVERT(Q304, L304, "l"))), 0)</f>
        <v>0.47317647299999999</v>
      </c>
      <c r="T304" s="47">
        <f>recipe12TotScale * IF(AND(R304 = 0, S304 = 0, J304 = "", L304 = ""), Q304, 0)</f>
        <v>0</v>
      </c>
      <c r="V304" s="44" t="b">
        <f>INDEX(itemPrepMethods, MATCH(K304, itemNames, 0))="chop"</f>
        <v>0</v>
      </c>
      <c r="W304" s="57" t="str">
        <f>IF(V304, Q304, "")</f>
        <v/>
      </c>
      <c r="X304" s="58" t="str">
        <f>IF(V304, IF(L304 = "", "", L304), "")</f>
        <v/>
      </c>
      <c r="Y304" s="58" t="str">
        <f>IF(V304, K304, "")</f>
        <v/>
      </c>
      <c r="Z304" s="59"/>
      <c r="AA304" s="44" t="b">
        <f>INDEX(itemPrepMethods, MATCH(K304, itemNames, 0))="soak"</f>
        <v>0</v>
      </c>
      <c r="AB304" s="58" t="str">
        <f>IF(AA304, Q304, "")</f>
        <v/>
      </c>
      <c r="AC304" s="58" t="str">
        <f>IF(AA304, IF(L304 = "", "", L304), "")</f>
        <v/>
      </c>
      <c r="AD304" s="58" t="str">
        <f>IF(AA304, K304, "")</f>
        <v/>
      </c>
    </row>
    <row r="305" spans="1:30" x14ac:dyDescent="0.25">
      <c r="A305" s="111"/>
      <c r="B305" s="111"/>
      <c r="C305" s="111"/>
      <c r="D305" s="111"/>
      <c r="I305" s="47"/>
      <c r="W305" s="67"/>
      <c r="X305" s="67"/>
      <c r="Y305" s="67"/>
      <c r="Z305" s="67"/>
      <c r="AA305" s="67"/>
      <c r="AB305" s="67"/>
      <c r="AC305" s="67"/>
      <c r="AD305" s="67"/>
    </row>
    <row r="306" spans="1:30" x14ac:dyDescent="0.25">
      <c r="A306" s="111" t="s">
        <v>297</v>
      </c>
      <c r="B306" s="111"/>
      <c r="C306" s="111"/>
      <c r="D306" s="111"/>
      <c r="E306" s="43"/>
      <c r="F306" s="60"/>
      <c r="G306" s="60"/>
      <c r="H306" s="47"/>
      <c r="W306" s="67"/>
      <c r="X306" s="67"/>
      <c r="Y306" s="67"/>
      <c r="Z306" s="67"/>
      <c r="AA306" s="67"/>
      <c r="AB306" s="67"/>
      <c r="AC306" s="67"/>
      <c r="AD306" s="67"/>
    </row>
    <row r="307" spans="1:30" x14ac:dyDescent="0.25">
      <c r="A307" s="111"/>
      <c r="B307" s="111"/>
      <c r="C307" s="111"/>
      <c r="D307" s="111"/>
      <c r="I307" s="47"/>
      <c r="W307" s="67"/>
      <c r="X307" s="67"/>
      <c r="Y307" s="67"/>
      <c r="Z307" s="67"/>
      <c r="AA307" s="67"/>
      <c r="AB307" s="67"/>
      <c r="AC307" s="67"/>
      <c r="AD307" s="67"/>
    </row>
    <row r="308" spans="1:30" x14ac:dyDescent="0.25">
      <c r="A308" s="111" t="s">
        <v>298</v>
      </c>
      <c r="B308" s="111"/>
      <c r="C308" s="111"/>
      <c r="D308" s="111"/>
      <c r="E308" s="43"/>
      <c r="F308" s="60"/>
      <c r="G308" s="60"/>
      <c r="H308" s="47"/>
    </row>
    <row r="309" spans="1:30" ht="15.75" x14ac:dyDescent="0.25">
      <c r="A309" s="110" t="s">
        <v>34</v>
      </c>
      <c r="B309" s="110"/>
      <c r="C309" s="110"/>
      <c r="D309" s="110"/>
      <c r="E309" s="43" t="s">
        <v>140</v>
      </c>
      <c r="F309" s="104" t="s">
        <v>153</v>
      </c>
      <c r="G309" s="104"/>
    </row>
    <row r="310" spans="1:30" ht="24" x14ac:dyDescent="0.2">
      <c r="A310" s="110" t="s">
        <v>41</v>
      </c>
      <c r="B310" s="110"/>
      <c r="C310" s="110"/>
      <c r="D310" s="110"/>
      <c r="E310" s="42" t="s">
        <v>56</v>
      </c>
      <c r="F310" s="90">
        <v>15</v>
      </c>
      <c r="G310" s="47"/>
      <c r="I310" s="70" t="s">
        <v>448</v>
      </c>
      <c r="J310" s="71" t="s">
        <v>449</v>
      </c>
      <c r="K310" s="71" t="s">
        <v>17</v>
      </c>
      <c r="L310" s="72" t="s">
        <v>452</v>
      </c>
      <c r="M310" s="70" t="s">
        <v>148</v>
      </c>
      <c r="N310" s="70" t="s">
        <v>149</v>
      </c>
      <c r="O310" s="70" t="s">
        <v>450</v>
      </c>
      <c r="P310" s="70" t="s">
        <v>451</v>
      </c>
      <c r="Q310" s="71" t="s">
        <v>364</v>
      </c>
      <c r="R310" s="70" t="s">
        <v>365</v>
      </c>
      <c r="S310" s="70" t="s">
        <v>366</v>
      </c>
      <c r="T310" s="70" t="s">
        <v>367</v>
      </c>
      <c r="U310" s="71" t="s">
        <v>22</v>
      </c>
      <c r="V310" s="71" t="s">
        <v>212</v>
      </c>
      <c r="W310" s="73" t="s">
        <v>364</v>
      </c>
      <c r="X310" s="71" t="s">
        <v>210</v>
      </c>
      <c r="Y310" s="71" t="s">
        <v>211</v>
      </c>
      <c r="Z310" s="71" t="s">
        <v>313</v>
      </c>
      <c r="AA310" s="71" t="s">
        <v>213</v>
      </c>
      <c r="AB310" s="73" t="s">
        <v>364</v>
      </c>
      <c r="AC310" s="71" t="s">
        <v>214</v>
      </c>
      <c r="AD310" s="71" t="s">
        <v>215</v>
      </c>
    </row>
    <row r="311" spans="1:30" ht="16.5" thickBot="1" x14ac:dyDescent="0.3">
      <c r="A311" s="112"/>
      <c r="B311" s="112"/>
      <c r="C311" s="112"/>
      <c r="D311" s="112"/>
      <c r="E311" s="66" t="s">
        <v>359</v>
      </c>
      <c r="F311" s="90">
        <f>weDiCount</f>
        <v>10</v>
      </c>
      <c r="G311" s="47"/>
      <c r="I311" s="63"/>
      <c r="J311" s="42"/>
      <c r="K311" s="42"/>
      <c r="L311" s="64"/>
      <c r="M311" s="63"/>
      <c r="N311" s="63"/>
      <c r="O311" s="63"/>
      <c r="P311" s="63"/>
      <c r="Q311" s="42"/>
      <c r="R311" s="63"/>
      <c r="S311" s="63"/>
      <c r="T311" s="63"/>
      <c r="U311" s="42"/>
    </row>
    <row r="312" spans="1:30" ht="15.75" thickBot="1" x14ac:dyDescent="0.3">
      <c r="A312" s="111" t="s">
        <v>168</v>
      </c>
      <c r="B312" s="111"/>
      <c r="C312" s="111"/>
      <c r="D312" s="111"/>
      <c r="E312" s="66" t="s">
        <v>362</v>
      </c>
      <c r="F312" s="50">
        <f>F311/F310</f>
        <v>0.66666666666666663</v>
      </c>
      <c r="G312" s="51" t="s">
        <v>388</v>
      </c>
      <c r="I312" s="47"/>
    </row>
    <row r="313" spans="1:30" x14ac:dyDescent="0.25">
      <c r="A313" s="111"/>
      <c r="B313" s="111"/>
      <c r="C313" s="111"/>
      <c r="D313" s="111"/>
      <c r="E313" s="67"/>
      <c r="F313" s="67"/>
      <c r="G313" s="67"/>
      <c r="I313" s="47"/>
    </row>
    <row r="314" spans="1:30" ht="15.75" thickBot="1" x14ac:dyDescent="0.3">
      <c r="A314" s="111" t="s">
        <v>299</v>
      </c>
      <c r="B314" s="111"/>
      <c r="C314" s="111"/>
      <c r="D314" s="111"/>
      <c r="E314" s="66" t="s">
        <v>338</v>
      </c>
      <c r="F314" s="90">
        <f>weDiCount</f>
        <v>10</v>
      </c>
      <c r="G314" s="67"/>
      <c r="I314" s="47"/>
    </row>
    <row r="315" spans="1:30" ht="15.75" thickBot="1" x14ac:dyDescent="0.3">
      <c r="A315" s="40" t="s">
        <v>21</v>
      </c>
      <c r="B315" s="52">
        <f>Q315</f>
        <v>6</v>
      </c>
      <c r="C315" s="39" t="str">
        <f>IF(L315="","",L315)</f>
        <v/>
      </c>
      <c r="D315" s="40" t="str">
        <f>_xlfn.CONCAT(K315, U315)</f>
        <v>garlic cloves. Remove from oil once cooked</v>
      </c>
      <c r="E315" s="66" t="s">
        <v>363</v>
      </c>
      <c r="F315" s="50">
        <f>F314/F311</f>
        <v>1</v>
      </c>
      <c r="G315" s="51" t="s">
        <v>389</v>
      </c>
      <c r="I315" s="62">
        <v>9</v>
      </c>
      <c r="J315" s="55"/>
      <c r="K315" s="55" t="s">
        <v>8</v>
      </c>
      <c r="L315" s="56"/>
      <c r="M315" s="47">
        <f>INDEX(itemGPerQty, MATCH(K315, itemNames, 0))</f>
        <v>0</v>
      </c>
      <c r="N315" s="47">
        <f>INDEX(itemMlPerQty, MATCH(K315, itemNames, 0))</f>
        <v>0</v>
      </c>
      <c r="O315" s="47">
        <f>IF(J315 = "", I315 * M315, IF(ISNA(CONVERT(I315, J315, "kg")), CONVERT(I315, J315, "l") * IF(N315 &lt;&gt; 0, M315 / N315, 0), CONVERT(I315, J315, "kg")))</f>
        <v>0</v>
      </c>
      <c r="P315" s="47">
        <f>IF(J315 = "", I315 * N315, IF(ISNA(CONVERT(I315, J315, "l")), CONVERT(I315, J315, "kg") * IF(M315 &lt;&gt; 0, N315 / M315, 0), CONVERT(I315, J315, "l")))</f>
        <v>0</v>
      </c>
      <c r="Q315" s="47">
        <f>MROUND(IF(AND(J315 = "", L315 = ""), I315 * recipe09DayScale, IF(ISNA(CONVERT(O315, "kg", L315)), CONVERT(P315 * recipe09DayScale, "l", L315), CONVERT(O315 * recipe09DayScale, "kg", L315))), roundTo)</f>
        <v>6</v>
      </c>
      <c r="R315" s="47">
        <f>recipe09TotScale * IF(L315 = "", Q315 * M315, IF(ISNA(CONVERT(Q315, L315, "kg")), CONVERT(Q315, L315, "l") * IF(N315 &lt;&gt; 0, M315 / N315, 0), CONVERT(Q315, L315, "kg")))</f>
        <v>0</v>
      </c>
      <c r="S315" s="47">
        <f>recipe09TotScale * IF(R315 = 0, IF(L315 = "", Q315 * N315, IF(ISNA(CONVERT(Q315, L315, "l")), CONVERT(Q315, L315, "kg") * IF(M315 &lt;&gt; 0, N315 / M315, 0), CONVERT(Q315, L315, "l"))), 0)</f>
        <v>0</v>
      </c>
      <c r="T315" s="47">
        <f>recipe09TotScale * IF(AND(R315 = 0, S315 = 0, J315 = "", L315 = ""), Q315, 0)</f>
        <v>6</v>
      </c>
      <c r="U315" s="44" t="s">
        <v>243</v>
      </c>
      <c r="V315" s="44" t="b">
        <f>INDEX(itemPrepMethods, MATCH(K315, itemNames, 0))="chop"</f>
        <v>0</v>
      </c>
      <c r="W315" s="57" t="str">
        <f>IF(V315, Q315, "")</f>
        <v/>
      </c>
      <c r="X315" s="58" t="str">
        <f>IF(V315, IF(L315 = "", "", L315), "")</f>
        <v/>
      </c>
      <c r="Y315" s="58" t="str">
        <f>IF(V315, K315, "")</f>
        <v/>
      </c>
      <c r="Z315" s="59"/>
      <c r="AA315" s="44" t="b">
        <f>INDEX(itemPrepMethods, MATCH(K315, itemNames, 0))="soak"</f>
        <v>0</v>
      </c>
      <c r="AB315" s="58" t="str">
        <f>IF(AA315, Q315, "")</f>
        <v/>
      </c>
      <c r="AC315" s="58" t="str">
        <f>IF(AA315, IF(L315 = "", "", L315), "")</f>
        <v/>
      </c>
      <c r="AD315" s="58" t="str">
        <f>IF(AA315, K315, "")</f>
        <v/>
      </c>
    </row>
    <row r="316" spans="1:30" x14ac:dyDescent="0.25">
      <c r="A316" s="111"/>
      <c r="B316" s="111"/>
      <c r="C316" s="111"/>
      <c r="D316" s="111"/>
      <c r="E316" s="42"/>
      <c r="F316" s="47"/>
      <c r="G316" s="47"/>
      <c r="I316" s="47"/>
      <c r="W316" s="74"/>
      <c r="X316" s="75"/>
      <c r="Y316" s="75"/>
      <c r="Z316" s="76"/>
      <c r="AA316" s="67"/>
      <c r="AB316" s="74"/>
      <c r="AC316" s="74"/>
      <c r="AD316" s="74"/>
    </row>
    <row r="317" spans="1:30" x14ac:dyDescent="0.25">
      <c r="A317" s="111" t="s">
        <v>300</v>
      </c>
      <c r="B317" s="111"/>
      <c r="C317" s="111"/>
      <c r="D317" s="111"/>
      <c r="I317" s="47"/>
      <c r="W317" s="74"/>
      <c r="X317" s="75"/>
      <c r="Y317" s="75"/>
      <c r="Z317" s="76"/>
      <c r="AA317" s="67"/>
      <c r="AB317" s="74"/>
      <c r="AC317" s="74"/>
      <c r="AD317" s="74"/>
    </row>
    <row r="318" spans="1:30" x14ac:dyDescent="0.25">
      <c r="A318" s="40" t="s">
        <v>21</v>
      </c>
      <c r="B318" s="52">
        <f t="shared" ref="B318:B322" si="280">Q318</f>
        <v>5.25</v>
      </c>
      <c r="C318" s="39" t="str">
        <f t="shared" ref="C318:C325" si="281">IF(L318="","",L318)</f>
        <v>tbs</v>
      </c>
      <c r="D318" s="40" t="str">
        <f t="shared" ref="D318:D325" si="282">_xlfn.CONCAT(K318, U318)</f>
        <v>oil</v>
      </c>
      <c r="I318" s="62">
        <v>8</v>
      </c>
      <c r="J318" s="55" t="s">
        <v>15</v>
      </c>
      <c r="K318" s="55" t="s">
        <v>46</v>
      </c>
      <c r="L318" s="56" t="s">
        <v>15</v>
      </c>
      <c r="M318" s="47">
        <f t="shared" ref="M318:M325" si="283">INDEX(itemGPerQty, MATCH(K318, itemNames, 0))</f>
        <v>0</v>
      </c>
      <c r="N318" s="47">
        <f t="shared" ref="N318:N325" si="284">INDEX(itemMlPerQty, MATCH(K318, itemNames, 0))</f>
        <v>0</v>
      </c>
      <c r="O318" s="47">
        <f t="shared" ref="O318:O325" si="285">IF(J318 = "", I318 * M318, IF(ISNA(CONVERT(I318, J318, "kg")), CONVERT(I318, J318, "l") * IF(N318 &lt;&gt; 0, M318 / N318, 0), CONVERT(I318, J318, "kg")))</f>
        <v>0</v>
      </c>
      <c r="P318" s="47">
        <f t="shared" ref="P318:P325" si="286">IF(J318 = "", I318 * N318, IF(ISNA(CONVERT(I318, J318, "l")), CONVERT(I318, J318, "kg") * IF(M318 &lt;&gt; 0, N318 / M318, 0), CONVERT(I318, J318, "l")))</f>
        <v>0.11829411825</v>
      </c>
      <c r="Q318" s="47">
        <f t="shared" ref="Q318:Q325" si="287">MROUND(IF(AND(J318 = "", L318 = ""), I318 * recipe09DayScale, IF(ISNA(CONVERT(O318, "kg", L318)), CONVERT(P318 * recipe09DayScale, "l", L318), CONVERT(O318 * recipe09DayScale, "kg", L318))), roundTo)</f>
        <v>5.25</v>
      </c>
      <c r="R318" s="47">
        <f t="shared" ref="R318:R325" si="288">recipe09TotScale * IF(L318 = "", Q318 * M318, IF(ISNA(CONVERT(Q318, L318, "kg")), CONVERT(Q318, L318, "l") * IF(N318 &lt;&gt; 0, M318 / N318, 0), CONVERT(Q318, L318, "kg")))</f>
        <v>0</v>
      </c>
      <c r="S318" s="47">
        <f t="shared" ref="S318:S325" si="289">recipe09TotScale * IF(R318 = 0, IF(L318 = "", Q318 * N318, IF(ISNA(CONVERT(Q318, L318, "l")), CONVERT(Q318, L318, "kg") * IF(M318 &lt;&gt; 0, N318 / M318, 0), CONVERT(Q318, L318, "l"))), 0)</f>
        <v>7.7630515101562492E-2</v>
      </c>
      <c r="T318" s="47">
        <f t="shared" ref="T318:T325" si="290">recipe09TotScale * IF(AND(R318 = 0, S318 = 0, J318 = "", L318 = ""), Q318, 0)</f>
        <v>0</v>
      </c>
      <c r="V318" s="44" t="b">
        <f t="shared" ref="V318:V325" si="291">INDEX(itemPrepMethods, MATCH(K318, itemNames, 0))="chop"</f>
        <v>0</v>
      </c>
      <c r="W318" s="57" t="str">
        <f t="shared" ref="W318:W325" si="292">IF(V318, Q318, "")</f>
        <v/>
      </c>
      <c r="X318" s="58" t="str">
        <f t="shared" ref="X318:X325" si="293">IF(V318, IF(L318 = "", "", L318), "")</f>
        <v/>
      </c>
      <c r="Y318" s="58" t="str">
        <f t="shared" ref="Y318:Y325" si="294">IF(V318, K318, "")</f>
        <v/>
      </c>
      <c r="Z318" s="59"/>
      <c r="AA318" s="44" t="b">
        <f t="shared" ref="AA318:AA325" si="295">INDEX(itemPrepMethods, MATCH(K318, itemNames, 0))="soak"</f>
        <v>0</v>
      </c>
      <c r="AB318" s="58" t="str">
        <f t="shared" ref="AB318:AB325" si="296">IF(AA318, Q318, "")</f>
        <v/>
      </c>
      <c r="AC318" s="58" t="str">
        <f t="shared" ref="AC318:AC325" si="297">IF(AA318, IF(L318 = "", "", L318), "")</f>
        <v/>
      </c>
      <c r="AD318" s="58" t="str">
        <f t="shared" ref="AD318:AD325" si="298">IF(AA318, K318, "")</f>
        <v/>
      </c>
    </row>
    <row r="319" spans="1:30" x14ac:dyDescent="0.25">
      <c r="A319" s="40" t="s">
        <v>21</v>
      </c>
      <c r="B319" s="52">
        <f t="shared" si="280"/>
        <v>4</v>
      </c>
      <c r="C319" s="39" t="str">
        <f t="shared" si="281"/>
        <v>tbs</v>
      </c>
      <c r="D319" s="40" t="str">
        <f t="shared" si="282"/>
        <v>minced fresh ginger</v>
      </c>
      <c r="I319" s="62">
        <v>6</v>
      </c>
      <c r="J319" s="55" t="s">
        <v>15</v>
      </c>
      <c r="K319" s="55" t="s">
        <v>231</v>
      </c>
      <c r="L319" s="56" t="s">
        <v>15</v>
      </c>
      <c r="M319" s="47">
        <f t="shared" si="283"/>
        <v>0</v>
      </c>
      <c r="N319" s="47">
        <f t="shared" si="284"/>
        <v>0</v>
      </c>
      <c r="O319" s="47">
        <f t="shared" si="285"/>
        <v>0</v>
      </c>
      <c r="P319" s="47">
        <f t="shared" si="286"/>
        <v>8.872058868749999E-2</v>
      </c>
      <c r="Q319" s="47">
        <f t="shared" si="287"/>
        <v>4</v>
      </c>
      <c r="R319" s="47">
        <f t="shared" si="288"/>
        <v>0</v>
      </c>
      <c r="S319" s="47">
        <f t="shared" si="289"/>
        <v>5.9147059124999998E-2</v>
      </c>
      <c r="T319" s="47">
        <f t="shared" si="290"/>
        <v>0</v>
      </c>
      <c r="V319" s="44" t="b">
        <f t="shared" si="291"/>
        <v>1</v>
      </c>
      <c r="W319" s="57">
        <f t="shared" si="292"/>
        <v>4</v>
      </c>
      <c r="X319" s="58" t="str">
        <f t="shared" si="293"/>
        <v>tbs</v>
      </c>
      <c r="Y319" s="58" t="str">
        <f t="shared" si="294"/>
        <v>minced fresh ginger</v>
      </c>
      <c r="Z319" s="59"/>
      <c r="AA319" s="44" t="b">
        <f t="shared" si="295"/>
        <v>0</v>
      </c>
      <c r="AB319" s="58" t="str">
        <f t="shared" si="296"/>
        <v/>
      </c>
      <c r="AC319" s="58" t="str">
        <f t="shared" si="297"/>
        <v/>
      </c>
      <c r="AD319" s="58" t="str">
        <f t="shared" si="298"/>
        <v/>
      </c>
    </row>
    <row r="320" spans="1:30" x14ac:dyDescent="0.25">
      <c r="A320" s="40" t="s">
        <v>21</v>
      </c>
      <c r="B320" s="52">
        <f t="shared" si="280"/>
        <v>7.25</v>
      </c>
      <c r="C320" s="39" t="str">
        <f t="shared" si="281"/>
        <v/>
      </c>
      <c r="D320" s="40" t="str">
        <f t="shared" si="282"/>
        <v>chopped celery stalks</v>
      </c>
      <c r="I320" s="62">
        <v>11</v>
      </c>
      <c r="J320" s="55"/>
      <c r="K320" s="55" t="s">
        <v>155</v>
      </c>
      <c r="L320" s="56"/>
      <c r="M320" s="47">
        <f t="shared" si="283"/>
        <v>0</v>
      </c>
      <c r="N320" s="47">
        <f t="shared" si="284"/>
        <v>0</v>
      </c>
      <c r="O320" s="47">
        <f t="shared" si="285"/>
        <v>0</v>
      </c>
      <c r="P320" s="47">
        <f t="shared" si="286"/>
        <v>0</v>
      </c>
      <c r="Q320" s="47">
        <f t="shared" si="287"/>
        <v>7.25</v>
      </c>
      <c r="R320" s="47">
        <f t="shared" si="288"/>
        <v>0</v>
      </c>
      <c r="S320" s="47">
        <f t="shared" si="289"/>
        <v>0</v>
      </c>
      <c r="T320" s="47">
        <f t="shared" si="290"/>
        <v>7.25</v>
      </c>
      <c r="V320" s="44" t="b">
        <f t="shared" si="291"/>
        <v>1</v>
      </c>
      <c r="W320" s="57">
        <f t="shared" si="292"/>
        <v>7.25</v>
      </c>
      <c r="X320" s="58" t="str">
        <f t="shared" si="293"/>
        <v/>
      </c>
      <c r="Y320" s="58" t="str">
        <f t="shared" si="294"/>
        <v>chopped celery stalks</v>
      </c>
      <c r="Z320" s="59"/>
      <c r="AA320" s="44" t="b">
        <f t="shared" si="295"/>
        <v>0</v>
      </c>
      <c r="AB320" s="58" t="str">
        <f t="shared" si="296"/>
        <v/>
      </c>
      <c r="AC320" s="58" t="str">
        <f t="shared" si="297"/>
        <v/>
      </c>
      <c r="AD320" s="58" t="str">
        <f t="shared" si="298"/>
        <v/>
      </c>
    </row>
    <row r="321" spans="1:30" x14ac:dyDescent="0.25">
      <c r="A321" s="40" t="s">
        <v>21</v>
      </c>
      <c r="B321" s="52">
        <f t="shared" si="280"/>
        <v>0.75</v>
      </c>
      <c r="C321" s="39" t="str">
        <f t="shared" si="281"/>
        <v>tbs</v>
      </c>
      <c r="D321" s="40" t="str">
        <f t="shared" si="282"/>
        <v>curry powder</v>
      </c>
      <c r="I321" s="62">
        <v>1</v>
      </c>
      <c r="J321" s="55" t="s">
        <v>15</v>
      </c>
      <c r="K321" s="55" t="s">
        <v>9</v>
      </c>
      <c r="L321" s="56" t="s">
        <v>15</v>
      </c>
      <c r="M321" s="47">
        <f t="shared" si="283"/>
        <v>1.2E-2</v>
      </c>
      <c r="N321" s="47">
        <f t="shared" si="284"/>
        <v>2.2180100000000001E-2</v>
      </c>
      <c r="O321" s="47">
        <f t="shared" si="285"/>
        <v>8.0000170141252738E-3</v>
      </c>
      <c r="P321" s="47">
        <f t="shared" si="286"/>
        <v>1.478676478125E-2</v>
      </c>
      <c r="Q321" s="47">
        <f t="shared" si="287"/>
        <v>0.75</v>
      </c>
      <c r="R321" s="47">
        <f t="shared" si="288"/>
        <v>6.0000127605939558E-3</v>
      </c>
      <c r="S321" s="47">
        <f t="shared" si="289"/>
        <v>0</v>
      </c>
      <c r="T321" s="47">
        <f t="shared" si="290"/>
        <v>0</v>
      </c>
      <c r="V321" s="44" t="b">
        <f t="shared" si="291"/>
        <v>0</v>
      </c>
      <c r="W321" s="57" t="str">
        <f t="shared" si="292"/>
        <v/>
      </c>
      <c r="X321" s="58" t="str">
        <f t="shared" si="293"/>
        <v/>
      </c>
      <c r="Y321" s="58" t="str">
        <f t="shared" si="294"/>
        <v/>
      </c>
      <c r="Z321" s="59"/>
      <c r="AA321" s="44" t="b">
        <f t="shared" si="295"/>
        <v>0</v>
      </c>
      <c r="AB321" s="58" t="str">
        <f t="shared" si="296"/>
        <v/>
      </c>
      <c r="AC321" s="58" t="str">
        <f t="shared" si="297"/>
        <v/>
      </c>
      <c r="AD321" s="58" t="str">
        <f t="shared" si="298"/>
        <v/>
      </c>
    </row>
    <row r="322" spans="1:30" x14ac:dyDescent="0.25">
      <c r="A322" s="40" t="s">
        <v>21</v>
      </c>
      <c r="B322" s="52">
        <f t="shared" si="280"/>
        <v>1.25</v>
      </c>
      <c r="C322" s="39" t="str">
        <f t="shared" si="281"/>
        <v>tbs</v>
      </c>
      <c r="D322" s="40" t="str">
        <f t="shared" si="282"/>
        <v>ground cumin</v>
      </c>
      <c r="I322" s="62">
        <v>2</v>
      </c>
      <c r="J322" s="55" t="s">
        <v>15</v>
      </c>
      <c r="K322" s="55" t="s">
        <v>14</v>
      </c>
      <c r="L322" s="56" t="s">
        <v>15</v>
      </c>
      <c r="M322" s="47">
        <f t="shared" si="283"/>
        <v>1.0999999999999999E-2</v>
      </c>
      <c r="N322" s="47">
        <f t="shared" si="284"/>
        <v>2.2180100000000001E-2</v>
      </c>
      <c r="O322" s="47">
        <f t="shared" si="285"/>
        <v>1.4666697859229668E-2</v>
      </c>
      <c r="P322" s="47">
        <f t="shared" si="286"/>
        <v>2.9573529562499999E-2</v>
      </c>
      <c r="Q322" s="47">
        <f t="shared" si="287"/>
        <v>1.25</v>
      </c>
      <c r="R322" s="47">
        <f t="shared" si="288"/>
        <v>9.166686162018543E-3</v>
      </c>
      <c r="S322" s="47">
        <f t="shared" si="289"/>
        <v>0</v>
      </c>
      <c r="T322" s="47">
        <f t="shared" si="290"/>
        <v>0</v>
      </c>
      <c r="V322" s="44" t="b">
        <f t="shared" si="291"/>
        <v>0</v>
      </c>
      <c r="W322" s="57" t="str">
        <f t="shared" si="292"/>
        <v/>
      </c>
      <c r="X322" s="58" t="str">
        <f t="shared" si="293"/>
        <v/>
      </c>
      <c r="Y322" s="58" t="str">
        <f t="shared" si="294"/>
        <v/>
      </c>
      <c r="Z322" s="59"/>
      <c r="AA322" s="44" t="b">
        <f t="shared" si="295"/>
        <v>0</v>
      </c>
      <c r="AB322" s="58" t="str">
        <f t="shared" si="296"/>
        <v/>
      </c>
      <c r="AC322" s="58" t="str">
        <f t="shared" si="297"/>
        <v/>
      </c>
      <c r="AD322" s="58" t="str">
        <f t="shared" si="298"/>
        <v/>
      </c>
    </row>
    <row r="323" spans="1:30" x14ac:dyDescent="0.25">
      <c r="A323" s="40" t="s">
        <v>21</v>
      </c>
      <c r="B323" s="52">
        <f t="shared" ref="B323" si="299">Q323</f>
        <v>1.25</v>
      </c>
      <c r="C323" s="39" t="str">
        <f t="shared" si="281"/>
        <v>tbs</v>
      </c>
      <c r="D323" s="40" t="str">
        <f t="shared" si="282"/>
        <v>ground corriander</v>
      </c>
      <c r="I323" s="62">
        <v>2</v>
      </c>
      <c r="J323" s="55" t="s">
        <v>15</v>
      </c>
      <c r="K323" s="55" t="s">
        <v>156</v>
      </c>
      <c r="L323" s="56" t="s">
        <v>15</v>
      </c>
      <c r="M323" s="47">
        <f t="shared" si="283"/>
        <v>0</v>
      </c>
      <c r="N323" s="47">
        <f t="shared" si="284"/>
        <v>0</v>
      </c>
      <c r="O323" s="47">
        <f t="shared" si="285"/>
        <v>0</v>
      </c>
      <c r="P323" s="47">
        <f t="shared" si="286"/>
        <v>2.9573529562499999E-2</v>
      </c>
      <c r="Q323" s="47">
        <f t="shared" si="287"/>
        <v>1.25</v>
      </c>
      <c r="R323" s="47">
        <f t="shared" si="288"/>
        <v>0</v>
      </c>
      <c r="S323" s="47">
        <f t="shared" si="289"/>
        <v>1.84834559765625E-2</v>
      </c>
      <c r="T323" s="47">
        <f t="shared" si="290"/>
        <v>0</v>
      </c>
      <c r="V323" s="44" t="b">
        <f t="shared" si="291"/>
        <v>0</v>
      </c>
      <c r="W323" s="57" t="str">
        <f t="shared" si="292"/>
        <v/>
      </c>
      <c r="X323" s="58" t="str">
        <f t="shared" si="293"/>
        <v/>
      </c>
      <c r="Y323" s="58" t="str">
        <f t="shared" si="294"/>
        <v/>
      </c>
      <c r="Z323" s="59"/>
      <c r="AA323" s="44" t="b">
        <f t="shared" si="295"/>
        <v>0</v>
      </c>
      <c r="AB323" s="58" t="str">
        <f t="shared" si="296"/>
        <v/>
      </c>
      <c r="AC323" s="58" t="str">
        <f t="shared" si="297"/>
        <v/>
      </c>
      <c r="AD323" s="58" t="str">
        <f t="shared" si="298"/>
        <v/>
      </c>
    </row>
    <row r="324" spans="1:30" x14ac:dyDescent="0.25">
      <c r="A324" s="40" t="s">
        <v>21</v>
      </c>
      <c r="B324" s="52">
        <f t="shared" ref="B324:B325" si="300">Q324</f>
        <v>2.75</v>
      </c>
      <c r="C324" s="39" t="str">
        <f t="shared" si="281"/>
        <v>tbs</v>
      </c>
      <c r="D324" s="40" t="str">
        <f t="shared" si="282"/>
        <v>ground turmeric</v>
      </c>
      <c r="I324" s="62">
        <v>4</v>
      </c>
      <c r="J324" s="55" t="s">
        <v>15</v>
      </c>
      <c r="K324" s="55" t="s">
        <v>316</v>
      </c>
      <c r="L324" s="56" t="s">
        <v>15</v>
      </c>
      <c r="M324" s="47">
        <f t="shared" si="283"/>
        <v>1.4E-2</v>
      </c>
      <c r="N324" s="47">
        <f t="shared" si="284"/>
        <v>2.2180100000000001E-2</v>
      </c>
      <c r="O324" s="47">
        <f t="shared" si="285"/>
        <v>3.7333412732584614E-2</v>
      </c>
      <c r="P324" s="47">
        <f t="shared" si="286"/>
        <v>5.9147059124999998E-2</v>
      </c>
      <c r="Q324" s="47">
        <f t="shared" si="287"/>
        <v>2.75</v>
      </c>
      <c r="R324" s="47">
        <f t="shared" si="288"/>
        <v>2.5666721253651922E-2</v>
      </c>
      <c r="S324" s="47">
        <f t="shared" si="289"/>
        <v>0</v>
      </c>
      <c r="T324" s="47">
        <f t="shared" si="290"/>
        <v>0</v>
      </c>
      <c r="V324" s="44" t="b">
        <f t="shared" si="291"/>
        <v>0</v>
      </c>
      <c r="W324" s="57" t="str">
        <f t="shared" si="292"/>
        <v/>
      </c>
      <c r="X324" s="58" t="str">
        <f t="shared" si="293"/>
        <v/>
      </c>
      <c r="Y324" s="58" t="str">
        <f t="shared" si="294"/>
        <v/>
      </c>
      <c r="Z324" s="59"/>
      <c r="AA324" s="44" t="b">
        <f t="shared" si="295"/>
        <v>0</v>
      </c>
      <c r="AB324" s="58" t="str">
        <f t="shared" si="296"/>
        <v/>
      </c>
      <c r="AC324" s="58" t="str">
        <f t="shared" si="297"/>
        <v/>
      </c>
      <c r="AD324" s="58" t="str">
        <f t="shared" si="298"/>
        <v/>
      </c>
    </row>
    <row r="325" spans="1:30" x14ac:dyDescent="0.25">
      <c r="A325" s="40" t="s">
        <v>21</v>
      </c>
      <c r="B325" s="52">
        <f t="shared" si="300"/>
        <v>0.5</v>
      </c>
      <c r="C325" s="39" t="str">
        <f t="shared" si="281"/>
        <v>tbs</v>
      </c>
      <c r="D325" s="40" t="str">
        <f t="shared" si="282"/>
        <v>cinnamon</v>
      </c>
      <c r="I325" s="62">
        <v>0.8</v>
      </c>
      <c r="J325" s="55" t="s">
        <v>15</v>
      </c>
      <c r="K325" s="55" t="s">
        <v>106</v>
      </c>
      <c r="L325" s="56" t="s">
        <v>15</v>
      </c>
      <c r="M325" s="47">
        <f t="shared" si="283"/>
        <v>1.0999999999999999E-2</v>
      </c>
      <c r="N325" s="47">
        <f t="shared" si="284"/>
        <v>2.2180100000000001E-2</v>
      </c>
      <c r="O325" s="47">
        <f t="shared" si="285"/>
        <v>5.8666791436918679E-3</v>
      </c>
      <c r="P325" s="47">
        <f t="shared" si="286"/>
        <v>1.1829411825E-2</v>
      </c>
      <c r="Q325" s="47">
        <f t="shared" si="287"/>
        <v>0.5</v>
      </c>
      <c r="R325" s="47">
        <f t="shared" si="288"/>
        <v>3.6666744648074169E-3</v>
      </c>
      <c r="S325" s="47">
        <f t="shared" si="289"/>
        <v>0</v>
      </c>
      <c r="T325" s="47">
        <f t="shared" si="290"/>
        <v>0</v>
      </c>
      <c r="V325" s="44" t="b">
        <f t="shared" si="291"/>
        <v>0</v>
      </c>
      <c r="W325" s="57" t="str">
        <f t="shared" si="292"/>
        <v/>
      </c>
      <c r="X325" s="58" t="str">
        <f t="shared" si="293"/>
        <v/>
      </c>
      <c r="Y325" s="58" t="str">
        <f t="shared" si="294"/>
        <v/>
      </c>
      <c r="Z325" s="59"/>
      <c r="AA325" s="44" t="b">
        <f t="shared" si="295"/>
        <v>0</v>
      </c>
      <c r="AB325" s="58" t="str">
        <f t="shared" si="296"/>
        <v/>
      </c>
      <c r="AC325" s="58" t="str">
        <f t="shared" si="297"/>
        <v/>
      </c>
      <c r="AD325" s="58" t="str">
        <f t="shared" si="298"/>
        <v/>
      </c>
    </row>
    <row r="326" spans="1:30" x14ac:dyDescent="0.25">
      <c r="A326" s="111"/>
      <c r="B326" s="111"/>
      <c r="C326" s="111"/>
      <c r="D326" s="111"/>
      <c r="I326" s="63"/>
      <c r="J326" s="60"/>
      <c r="K326" s="60"/>
      <c r="L326" s="60"/>
      <c r="M326" s="60"/>
      <c r="N326" s="60"/>
      <c r="O326" s="60"/>
      <c r="P326" s="60"/>
      <c r="W326" s="74"/>
      <c r="X326" s="75"/>
      <c r="Y326" s="75"/>
      <c r="Z326" s="76"/>
      <c r="AA326" s="67"/>
      <c r="AB326" s="74"/>
      <c r="AC326" s="74"/>
      <c r="AD326" s="74"/>
    </row>
    <row r="327" spans="1:30" x14ac:dyDescent="0.25">
      <c r="A327" s="111" t="s">
        <v>157</v>
      </c>
      <c r="B327" s="111"/>
      <c r="C327" s="111"/>
      <c r="D327" s="111"/>
      <c r="I327" s="47"/>
      <c r="L327" s="44"/>
      <c r="M327" s="44"/>
      <c r="N327" s="44"/>
      <c r="W327" s="74"/>
      <c r="X327" s="75"/>
      <c r="Y327" s="75"/>
      <c r="Z327" s="76"/>
      <c r="AA327" s="67"/>
      <c r="AB327" s="74"/>
      <c r="AC327" s="74"/>
      <c r="AD327" s="74"/>
    </row>
    <row r="328" spans="1:30" x14ac:dyDescent="0.25">
      <c r="A328" s="40" t="s">
        <v>21</v>
      </c>
      <c r="B328" s="52">
        <f t="shared" ref="B328:B330" si="301">Q328</f>
        <v>6</v>
      </c>
      <c r="C328" s="39" t="str">
        <f>IF(L328="","",L328)</f>
        <v>cup</v>
      </c>
      <c r="D328" s="40" t="str">
        <f>_xlfn.CONCAT(K328, U328)</f>
        <v>vegetable stock. This soup is thick so DON'T ADD TOO MUCH</v>
      </c>
      <c r="I328" s="62">
        <v>9</v>
      </c>
      <c r="J328" s="55" t="s">
        <v>16</v>
      </c>
      <c r="K328" s="55" t="s">
        <v>58</v>
      </c>
      <c r="L328" s="56" t="s">
        <v>16</v>
      </c>
      <c r="M328" s="47">
        <f>INDEX(itemGPerQty, MATCH(K328, itemNames, 0))</f>
        <v>0</v>
      </c>
      <c r="N328" s="47">
        <f>INDEX(itemMlPerQty, MATCH(K328, itemNames, 0))</f>
        <v>0</v>
      </c>
      <c r="O328" s="47">
        <f t="shared" ref="O328:O331" si="302">IF(J328 = "", I328 * M328, IF(ISNA(CONVERT(I328, J328, "kg")), CONVERT(I328, J328, "l") * IF(N328 &lt;&gt; 0, M328 / N328, 0), CONVERT(I328, J328, "kg")))</f>
        <v>0</v>
      </c>
      <c r="P328" s="47">
        <f t="shared" ref="P328:P331" si="303">IF(J328 = "", I328 * N328, IF(ISNA(CONVERT(I328, J328, "l")), CONVERT(I328, J328, "kg") * IF(M328 &lt;&gt; 0, N328 / M328, 0), CONVERT(I328, J328, "l")))</f>
        <v>2.1292941284999998</v>
      </c>
      <c r="Q328" s="47">
        <f>MROUND(IF(AND(J328 = "", L328 = ""), I328 * recipe09DayScale, IF(ISNA(CONVERT(O328, "kg", L328)), CONVERT(P328 * recipe09DayScale, "l", L328), CONVERT(O328 * recipe09DayScale, "kg", L328))), roundTo)</f>
        <v>6</v>
      </c>
      <c r="R328" s="47">
        <f>recipe09TotScale * IF(L328 = "", Q328 * M328, IF(ISNA(CONVERT(Q328, L328, "kg")), CONVERT(Q328, L328, "l") * IF(N328 &lt;&gt; 0, M328 / N328, 0), CONVERT(Q328, L328, "kg")))</f>
        <v>0</v>
      </c>
      <c r="S328" s="47">
        <f>recipe09TotScale * IF(R328 = 0, IF(L328 = "", Q328 * N328, IF(ISNA(CONVERT(Q328, L328, "l")), CONVERT(Q328, L328, "kg") * IF(M328 &lt;&gt; 0, N328 / M328, 0), CONVERT(Q328, L328, "l"))), 0)</f>
        <v>1.4195294189999998</v>
      </c>
      <c r="T328" s="47">
        <f>recipe09TotScale * IF(AND(R328 = 0, S328 = 0, J328 = "", L328 = ""), Q328, 0)</f>
        <v>0</v>
      </c>
      <c r="U328" s="44" t="s">
        <v>301</v>
      </c>
      <c r="V328" s="44" t="b">
        <f>INDEX(itemPrepMethods, MATCH(K328, itemNames, 0))="chop"</f>
        <v>0</v>
      </c>
      <c r="W328" s="57" t="str">
        <f>IF(V328, Q328, "")</f>
        <v/>
      </c>
      <c r="X328" s="58" t="str">
        <f>IF(V328, IF(L328 = "", "", L328), "")</f>
        <v/>
      </c>
      <c r="Y328" s="58" t="str">
        <f>IF(V328, K328, "")</f>
        <v/>
      </c>
      <c r="Z328" s="59"/>
      <c r="AA328" s="44" t="b">
        <f>INDEX(itemPrepMethods, MATCH(K328, itemNames, 0))="soak"</f>
        <v>0</v>
      </c>
      <c r="AB328" s="58" t="str">
        <f>IF(AA328, Q328, "")</f>
        <v/>
      </c>
      <c r="AC328" s="58" t="str">
        <f>IF(AA328, IF(L328 = "", "", L328), "")</f>
        <v/>
      </c>
      <c r="AD328" s="58" t="str">
        <f>IF(AA328, K328, "")</f>
        <v/>
      </c>
    </row>
    <row r="329" spans="1:30" x14ac:dyDescent="0.25">
      <c r="A329" s="40" t="s">
        <v>21</v>
      </c>
      <c r="B329" s="52">
        <f t="shared" si="301"/>
        <v>5.25</v>
      </c>
      <c r="C329" s="39" t="str">
        <f>IF(L329="","",L329)</f>
        <v/>
      </c>
      <c r="D329" s="40" t="str">
        <f>_xlfn.CONCAT(K329, U329)</f>
        <v>chopped carrots</v>
      </c>
      <c r="I329" s="62">
        <v>8</v>
      </c>
      <c r="J329" s="55"/>
      <c r="K329" s="55" t="s">
        <v>5</v>
      </c>
      <c r="L329" s="56"/>
      <c r="M329" s="47">
        <f>INDEX(itemGPerQty, MATCH(K329, itemNames, 0))</f>
        <v>0.14833333333333334</v>
      </c>
      <c r="N329" s="47">
        <f>INDEX(itemMlPerQty, MATCH(K329, itemNames, 0))</f>
        <v>0.19999999999999998</v>
      </c>
      <c r="O329" s="47">
        <f t="shared" si="302"/>
        <v>1.1866666666666668</v>
      </c>
      <c r="P329" s="47">
        <f t="shared" si="303"/>
        <v>1.5999999999999999</v>
      </c>
      <c r="Q329" s="47">
        <f>MROUND(IF(AND(J329 = "", L329 = ""), I329 * recipe09DayScale, IF(ISNA(CONVERT(O329, "kg", L329)), CONVERT(P329 * recipe09DayScale, "l", L329), CONVERT(O329 * recipe09DayScale, "kg", L329))), roundTo)</f>
        <v>5.25</v>
      </c>
      <c r="R329" s="47">
        <f>recipe09TotScale * IF(L329 = "", Q329 * M329, IF(ISNA(CONVERT(Q329, L329, "kg")), CONVERT(Q329, L329, "l") * IF(N329 &lt;&gt; 0, M329 / N329, 0), CONVERT(Q329, L329, "kg")))</f>
        <v>0.77875000000000005</v>
      </c>
      <c r="S329" s="47">
        <f>recipe09TotScale * IF(R329 = 0, IF(L329 = "", Q329 * N329, IF(ISNA(CONVERT(Q329, L329, "l")), CONVERT(Q329, L329, "kg") * IF(M329 &lt;&gt; 0, N329 / M329, 0), CONVERT(Q329, L329, "l"))), 0)</f>
        <v>0</v>
      </c>
      <c r="T329" s="47">
        <f>recipe09TotScale * IF(AND(R329 = 0, S329 = 0, J329 = "", L329 = ""), Q329, 0)</f>
        <v>0</v>
      </c>
      <c r="V329" s="44" t="b">
        <f>INDEX(itemPrepMethods, MATCH(K329, itemNames, 0))="chop"</f>
        <v>1</v>
      </c>
      <c r="W329" s="57">
        <f>IF(V329, Q329, "")</f>
        <v>5.25</v>
      </c>
      <c r="X329" s="58" t="str">
        <f>IF(V329, IF(L329 = "", "", L329), "")</f>
        <v/>
      </c>
      <c r="Y329" s="58" t="str">
        <f>IF(V329, K329, "")</f>
        <v>chopped carrots</v>
      </c>
      <c r="Z329" s="59"/>
      <c r="AA329" s="44" t="b">
        <f>INDEX(itemPrepMethods, MATCH(K329, itemNames, 0))="soak"</f>
        <v>0</v>
      </c>
      <c r="AB329" s="58" t="str">
        <f>IF(AA329, Q329, "")</f>
        <v/>
      </c>
      <c r="AC329" s="58" t="str">
        <f>IF(AA329, IF(L329 = "", "", L329), "")</f>
        <v/>
      </c>
      <c r="AD329" s="58" t="str">
        <f>IF(AA329, K329, "")</f>
        <v/>
      </c>
    </row>
    <row r="330" spans="1:30" x14ac:dyDescent="0.25">
      <c r="A330" s="40" t="s">
        <v>21</v>
      </c>
      <c r="B330" s="52">
        <f t="shared" si="301"/>
        <v>3.25</v>
      </c>
      <c r="C330" s="39" t="str">
        <f>IF(L330="","",L330)</f>
        <v/>
      </c>
      <c r="D330" s="40" t="str">
        <f>_xlfn.CONCAT(K330, U330)</f>
        <v>chopped kumara</v>
      </c>
      <c r="I330" s="62">
        <v>5</v>
      </c>
      <c r="J330" s="55"/>
      <c r="K330" s="55" t="s">
        <v>158</v>
      </c>
      <c r="L330" s="56"/>
      <c r="M330" s="47">
        <f>INDEX(itemGPerQty, MATCH(K330, itemNames, 0))</f>
        <v>0.34</v>
      </c>
      <c r="N330" s="47">
        <f>INDEX(itemMlPerQty, MATCH(K330, itemNames, 0))</f>
        <v>0</v>
      </c>
      <c r="O330" s="47">
        <f t="shared" si="302"/>
        <v>1.7000000000000002</v>
      </c>
      <c r="P330" s="47">
        <f t="shared" si="303"/>
        <v>0</v>
      </c>
      <c r="Q330" s="47">
        <f>MROUND(IF(AND(J330 = "", L330 = ""), I330 * recipe09DayScale, IF(ISNA(CONVERT(O330, "kg", L330)), CONVERT(P330 * recipe09DayScale, "l", L330), CONVERT(O330 * recipe09DayScale, "kg", L330))), roundTo)</f>
        <v>3.25</v>
      </c>
      <c r="R330" s="47">
        <f>recipe09TotScale * IF(L330 = "", Q330 * M330, IF(ISNA(CONVERT(Q330, L330, "kg")), CONVERT(Q330, L330, "l") * IF(N330 &lt;&gt; 0, M330 / N330, 0), CONVERT(Q330, L330, "kg")))</f>
        <v>1.105</v>
      </c>
      <c r="S330" s="47">
        <f>recipe09TotScale * IF(R330 = 0, IF(L330 = "", Q330 * N330, IF(ISNA(CONVERT(Q330, L330, "l")), CONVERT(Q330, L330, "kg") * IF(M330 &lt;&gt; 0, N330 / M330, 0), CONVERT(Q330, L330, "l"))), 0)</f>
        <v>0</v>
      </c>
      <c r="T330" s="47">
        <f>recipe09TotScale * IF(AND(R330 = 0, S330 = 0, J330 = "", L330 = ""), Q330, 0)</f>
        <v>0</v>
      </c>
      <c r="V330" s="44" t="b">
        <f>INDEX(itemPrepMethods, MATCH(K330, itemNames, 0))="chop"</f>
        <v>1</v>
      </c>
      <c r="W330" s="57">
        <f>IF(V330, Q330, "")</f>
        <v>3.25</v>
      </c>
      <c r="X330" s="58" t="str">
        <f>IF(V330, IF(L330 = "", "", L330), "")</f>
        <v/>
      </c>
      <c r="Y330" s="58" t="str">
        <f>IF(V330, K330, "")</f>
        <v>chopped kumara</v>
      </c>
      <c r="Z330" s="59"/>
      <c r="AA330" s="44" t="b">
        <f>INDEX(itemPrepMethods, MATCH(K330, itemNames, 0))="soak"</f>
        <v>0</v>
      </c>
      <c r="AB330" s="58" t="str">
        <f>IF(AA330, Q330, "")</f>
        <v/>
      </c>
      <c r="AC330" s="58" t="str">
        <f>IF(AA330, IF(L330 = "", "", L330), "")</f>
        <v/>
      </c>
      <c r="AD330" s="58" t="str">
        <f>IF(AA330, K330, "")</f>
        <v/>
      </c>
    </row>
    <row r="331" spans="1:30" x14ac:dyDescent="0.25">
      <c r="A331" s="40" t="s">
        <v>21</v>
      </c>
      <c r="B331" s="52">
        <f t="shared" ref="B331:B336" si="304">Q331</f>
        <v>2</v>
      </c>
      <c r="C331" s="39" t="str">
        <f>IF(L331="","",L331)</f>
        <v/>
      </c>
      <c r="D331" s="40" t="str">
        <f>_xlfn.CONCAT(K331, U331)</f>
        <v>tins black beans, drained and rinsed</v>
      </c>
      <c r="I331" s="62">
        <v>3</v>
      </c>
      <c r="J331" s="55"/>
      <c r="K331" s="55" t="s">
        <v>159</v>
      </c>
      <c r="L331" s="56"/>
      <c r="M331" s="47">
        <f>INDEX(itemGPerQty, MATCH(K331, itemNames, 0))</f>
        <v>0</v>
      </c>
      <c r="N331" s="47">
        <f>INDEX(itemMlPerQty, MATCH(K331, itemNames, 0))</f>
        <v>0</v>
      </c>
      <c r="O331" s="47">
        <f t="shared" si="302"/>
        <v>0</v>
      </c>
      <c r="P331" s="47">
        <f t="shared" si="303"/>
        <v>0</v>
      </c>
      <c r="Q331" s="47">
        <f>MROUND(IF(AND(J331 = "", L331 = ""), I331 * recipe09DayScale, IF(ISNA(CONVERT(O331, "kg", L331)), CONVERT(P331 * recipe09DayScale, "l", L331), CONVERT(O331 * recipe09DayScale, "kg", L331))), roundTo)</f>
        <v>2</v>
      </c>
      <c r="R331" s="47">
        <f>recipe09TotScale * IF(L331 = "", Q331 * M331, IF(ISNA(CONVERT(Q331, L331, "kg")), CONVERT(Q331, L331, "l") * IF(N331 &lt;&gt; 0, M331 / N331, 0), CONVERT(Q331, L331, "kg")))</f>
        <v>0</v>
      </c>
      <c r="S331" s="47">
        <f>recipe09TotScale * IF(R331 = 0, IF(L331 = "", Q331 * N331, IF(ISNA(CONVERT(Q331, L331, "l")), CONVERT(Q331, L331, "kg") * IF(M331 &lt;&gt; 0, N331 / M331, 0), CONVERT(Q331, L331, "l"))), 0)</f>
        <v>0</v>
      </c>
      <c r="T331" s="47">
        <f>recipe09TotScale * IF(AND(R331 = 0, S331 = 0, J331 = "", L331 = ""), Q331, 0)</f>
        <v>2</v>
      </c>
      <c r="U331" s="44" t="s">
        <v>307</v>
      </c>
      <c r="V331" s="44" t="b">
        <f>INDEX(itemPrepMethods, MATCH(K331, itemNames, 0))="chop"</f>
        <v>0</v>
      </c>
      <c r="W331" s="57" t="str">
        <f>IF(V331, Q331, "")</f>
        <v/>
      </c>
      <c r="X331" s="58" t="str">
        <f>IF(V331, IF(L331 = "", "", L331), "")</f>
        <v/>
      </c>
      <c r="Y331" s="58" t="str">
        <f>IF(V331, K331, "")</f>
        <v/>
      </c>
      <c r="Z331" s="59"/>
      <c r="AA331" s="44" t="b">
        <f>INDEX(itemPrepMethods, MATCH(K331, itemNames, 0))="soak"</f>
        <v>0</v>
      </c>
      <c r="AB331" s="58" t="str">
        <f>IF(AA331, Q331, "")</f>
        <v/>
      </c>
      <c r="AC331" s="58" t="str">
        <f>IF(AA331, IF(L331 = "", "", L331), "")</f>
        <v/>
      </c>
      <c r="AD331" s="58" t="str">
        <f>IF(AA331, K331, "")</f>
        <v/>
      </c>
    </row>
    <row r="332" spans="1:30" x14ac:dyDescent="0.25">
      <c r="A332" s="111"/>
      <c r="B332" s="111"/>
      <c r="C332" s="111"/>
      <c r="D332" s="111"/>
      <c r="I332" s="63"/>
      <c r="J332" s="60"/>
      <c r="K332" s="60"/>
      <c r="L332" s="60"/>
      <c r="M332" s="60"/>
      <c r="N332" s="60"/>
      <c r="O332" s="60"/>
      <c r="P332" s="60"/>
      <c r="W332" s="74"/>
      <c r="X332" s="75"/>
      <c r="Y332" s="75"/>
      <c r="Z332" s="76"/>
      <c r="AA332" s="67"/>
      <c r="AB332" s="74"/>
      <c r="AC332" s="74"/>
      <c r="AD332" s="74"/>
    </row>
    <row r="333" spans="1:30" x14ac:dyDescent="0.25">
      <c r="A333" s="111" t="s">
        <v>160</v>
      </c>
      <c r="B333" s="111"/>
      <c r="C333" s="111"/>
      <c r="D333" s="111"/>
      <c r="I333" s="47"/>
      <c r="L333" s="44"/>
      <c r="M333" s="44"/>
      <c r="N333" s="44"/>
      <c r="W333" s="74"/>
      <c r="X333" s="75"/>
      <c r="Y333" s="75"/>
      <c r="Z333" s="76"/>
      <c r="AA333" s="67"/>
      <c r="AB333" s="74"/>
      <c r="AC333" s="74"/>
      <c r="AD333" s="74"/>
    </row>
    <row r="334" spans="1:30" x14ac:dyDescent="0.25">
      <c r="A334" s="111"/>
      <c r="B334" s="111"/>
      <c r="C334" s="111"/>
      <c r="D334" s="111"/>
      <c r="I334" s="63"/>
      <c r="J334" s="60"/>
      <c r="K334" s="60"/>
      <c r="L334" s="60"/>
      <c r="M334" s="60"/>
      <c r="N334" s="60"/>
      <c r="O334" s="60"/>
      <c r="P334" s="60"/>
      <c r="W334" s="74"/>
      <c r="X334" s="75"/>
      <c r="Y334" s="75"/>
      <c r="Z334" s="76"/>
      <c r="AA334" s="67"/>
      <c r="AB334" s="74"/>
      <c r="AC334" s="74"/>
      <c r="AD334" s="74"/>
    </row>
    <row r="335" spans="1:30" x14ac:dyDescent="0.25">
      <c r="A335" s="111" t="s">
        <v>161</v>
      </c>
      <c r="B335" s="111"/>
      <c r="C335" s="111"/>
      <c r="D335" s="111"/>
      <c r="I335" s="47"/>
      <c r="L335" s="44"/>
      <c r="M335" s="44"/>
      <c r="N335" s="44"/>
      <c r="W335" s="74"/>
      <c r="X335" s="75"/>
      <c r="Y335" s="75"/>
      <c r="Z335" s="76"/>
      <c r="AA335" s="67"/>
      <c r="AB335" s="74"/>
      <c r="AC335" s="74"/>
      <c r="AD335" s="74"/>
    </row>
    <row r="336" spans="1:30" x14ac:dyDescent="0.25">
      <c r="A336" s="40" t="s">
        <v>21</v>
      </c>
      <c r="B336" s="52">
        <f t="shared" si="304"/>
        <v>1</v>
      </c>
      <c r="C336" s="39" t="str">
        <f>IF(L336="","",L336)</f>
        <v/>
      </c>
      <c r="D336" s="40" t="str">
        <f>_xlfn.CONCAT(K336, U336)</f>
        <v>tins coconut cream</v>
      </c>
      <c r="I336" s="62">
        <v>1.5</v>
      </c>
      <c r="J336" s="55"/>
      <c r="K336" s="55" t="s">
        <v>111</v>
      </c>
      <c r="L336" s="56"/>
      <c r="M336" s="47">
        <f>INDEX(itemGPerQty, MATCH(K336, itemNames, 0))</f>
        <v>0</v>
      </c>
      <c r="N336" s="47">
        <f>INDEX(itemMlPerQty, MATCH(K336, itemNames, 0))</f>
        <v>0</v>
      </c>
      <c r="O336" s="47">
        <f t="shared" ref="O336:O337" si="305">IF(J336 = "", I336 * M336, IF(ISNA(CONVERT(I336, J336, "kg")), CONVERT(I336, J336, "l") * IF(N336 &lt;&gt; 0, M336 / N336, 0), CONVERT(I336, J336, "kg")))</f>
        <v>0</v>
      </c>
      <c r="P336" s="47">
        <f t="shared" ref="P336:P337" si="306">IF(J336 = "", I336 * N336, IF(ISNA(CONVERT(I336, J336, "l")), CONVERT(I336, J336, "kg") * IF(M336 &lt;&gt; 0, N336 / M336, 0), CONVERT(I336, J336, "l")))</f>
        <v>0</v>
      </c>
      <c r="Q336" s="47">
        <f>MROUND(IF(AND(J336 = "", L336 = ""), I336 * recipe09DayScale, IF(ISNA(CONVERT(O336, "kg", L336)), CONVERT(P336 * recipe09DayScale, "l", L336), CONVERT(O336 * recipe09DayScale, "kg", L336))), roundTo)</f>
        <v>1</v>
      </c>
      <c r="R336" s="47">
        <f>recipe09TotScale * IF(L336 = "", Q336 * M336, IF(ISNA(CONVERT(Q336, L336, "kg")), CONVERT(Q336, L336, "l") * IF(N336 &lt;&gt; 0, M336 / N336, 0), CONVERT(Q336, L336, "kg")))</f>
        <v>0</v>
      </c>
      <c r="S336" s="47">
        <f>recipe09TotScale * IF(R336 = 0, IF(L336 = "", Q336 * N336, IF(ISNA(CONVERT(Q336, L336, "l")), CONVERT(Q336, L336, "kg") * IF(M336 &lt;&gt; 0, N336 / M336, 0), CONVERT(Q336, L336, "l"))), 0)</f>
        <v>0</v>
      </c>
      <c r="T336" s="47">
        <f>recipe09TotScale * IF(AND(R336 = 0, S336 = 0, J336 = "", L336 = ""), Q336, 0)</f>
        <v>1</v>
      </c>
      <c r="V336" s="44" t="b">
        <f>INDEX(itemPrepMethods, MATCH(K336, itemNames, 0))="chop"</f>
        <v>0</v>
      </c>
      <c r="W336" s="57" t="str">
        <f>IF(V336, Q336, "")</f>
        <v/>
      </c>
      <c r="X336" s="58" t="str">
        <f>IF(V336, IF(L336 = "", "", L336), "")</f>
        <v/>
      </c>
      <c r="Y336" s="58" t="str">
        <f>IF(V336, K336, "")</f>
        <v/>
      </c>
      <c r="Z336" s="59"/>
      <c r="AA336" s="44" t="b">
        <f>INDEX(itemPrepMethods, MATCH(K336, itemNames, 0))="soak"</f>
        <v>0</v>
      </c>
      <c r="AB336" s="58" t="str">
        <f>IF(AA336, Q336, "")</f>
        <v/>
      </c>
      <c r="AC336" s="58" t="str">
        <f>IF(AA336, IF(L336 = "", "", L336), "")</f>
        <v/>
      </c>
      <c r="AD336" s="58" t="str">
        <f>IF(AA336, K336, "")</f>
        <v/>
      </c>
    </row>
    <row r="337" spans="1:30" x14ac:dyDescent="0.25">
      <c r="A337" s="40" t="s">
        <v>21</v>
      </c>
      <c r="B337" s="52">
        <f t="shared" ref="B337" si="307">Q337</f>
        <v>1.25</v>
      </c>
      <c r="C337" s="39" t="str">
        <f>IF(L337="","",L337)</f>
        <v/>
      </c>
      <c r="D337" s="65" t="str">
        <f>_xlfn.CONCAT(K337, U337)</f>
        <v>juiced lemons</v>
      </c>
      <c r="I337" s="62">
        <v>2</v>
      </c>
      <c r="J337" s="55"/>
      <c r="K337" s="55" t="s">
        <v>394</v>
      </c>
      <c r="L337" s="56"/>
      <c r="M337" s="47">
        <f>INDEX(itemGPerQty, MATCH(K337, itemNames, 0))</f>
        <v>0</v>
      </c>
      <c r="N337" s="47">
        <f>INDEX(itemMlPerQty, MATCH(K337, itemNames, 0))</f>
        <v>0</v>
      </c>
      <c r="O337" s="47">
        <f t="shared" si="305"/>
        <v>0</v>
      </c>
      <c r="P337" s="47">
        <f t="shared" si="306"/>
        <v>0</v>
      </c>
      <c r="Q337" s="47">
        <f>MROUND(IF(AND(J337 = "", L337 = ""), I337 * recipe09DayScale, IF(ISNA(CONVERT(O337, "kg", L337)), CONVERT(P337 * recipe09DayScale, "l", L337), CONVERT(O337 * recipe09DayScale, "kg", L337))), roundTo)</f>
        <v>1.25</v>
      </c>
      <c r="R337" s="47">
        <f>recipe09TotScale * IF(L337 = "", Q337 * M337, IF(ISNA(CONVERT(Q337, L337, "kg")), CONVERT(Q337, L337, "l") * IF(N337 &lt;&gt; 0, M337 / N337, 0), CONVERT(Q337, L337, "kg")))</f>
        <v>0</v>
      </c>
      <c r="S337" s="47">
        <f>recipe09TotScale * IF(R337 = 0, IF(L337 = "", Q337 * N337, IF(ISNA(CONVERT(Q337, L337, "l")), CONVERT(Q337, L337, "kg") * IF(M337 &lt;&gt; 0, N337 / M337, 0), CONVERT(Q337, L337, "l"))), 0)</f>
        <v>0</v>
      </c>
      <c r="T337" s="47">
        <f>recipe09TotScale * IF(AND(R337 = 0, S337 = 0, J337 = "", L337 = ""), Q337, 0)</f>
        <v>1.25</v>
      </c>
      <c r="V337" s="44" t="b">
        <f>INDEX(itemPrepMethods, MATCH(K337, itemNames, 0))="chop"</f>
        <v>0</v>
      </c>
      <c r="W337" s="57" t="str">
        <f>IF(V337, Q337, "")</f>
        <v/>
      </c>
      <c r="X337" s="58" t="str">
        <f>IF(V337, IF(L337 = "", "", L337), "")</f>
        <v/>
      </c>
      <c r="Y337" s="58" t="str">
        <f>IF(V337, K337, "")</f>
        <v/>
      </c>
      <c r="Z337" s="59"/>
      <c r="AA337" s="44" t="b">
        <f>INDEX(itemPrepMethods, MATCH(K337, itemNames, 0))="soak"</f>
        <v>0</v>
      </c>
      <c r="AB337" s="58" t="str">
        <f>IF(AA337, Q337, "")</f>
        <v/>
      </c>
      <c r="AC337" s="58" t="str">
        <f>IF(AA337, IF(L337 = "", "", L337), "")</f>
        <v/>
      </c>
      <c r="AD337" s="58" t="str">
        <f>IF(AA337, K337, "")</f>
        <v/>
      </c>
    </row>
    <row r="338" spans="1:30" x14ac:dyDescent="0.25">
      <c r="A338" s="40" t="s">
        <v>21</v>
      </c>
      <c r="B338" s="52"/>
      <c r="C338" s="39" t="str">
        <f>IF(L338="","",L338)</f>
        <v/>
      </c>
      <c r="D338" s="40" t="str">
        <f>_xlfn.CONCAT(K338, U338)</f>
        <v>water, if required</v>
      </c>
      <c r="I338" s="47"/>
      <c r="K338" s="55" t="s">
        <v>48</v>
      </c>
      <c r="L338" s="44"/>
      <c r="M338" s="44"/>
      <c r="N338" s="44"/>
      <c r="O338" s="44"/>
      <c r="P338" s="44"/>
      <c r="U338" s="44" t="s">
        <v>217</v>
      </c>
      <c r="V338" s="44" t="b">
        <f>INDEX(itemPrepMethods, MATCH(K338, itemNames, 0))="chop"</f>
        <v>0</v>
      </c>
      <c r="W338" s="57" t="str">
        <f>IF(V338, Q338, "")</f>
        <v/>
      </c>
      <c r="X338" s="58" t="str">
        <f>IF(V338, IF(L338 = "", "", L338), "")</f>
        <v/>
      </c>
      <c r="Y338" s="58" t="str">
        <f>IF(V338, K338, "")</f>
        <v/>
      </c>
      <c r="Z338" s="59"/>
      <c r="AA338" s="44" t="b">
        <f>INDEX(itemPrepMethods, MATCH(K338, itemNames, 0))="soak"</f>
        <v>0</v>
      </c>
      <c r="AB338" s="58" t="str">
        <f>IF(AA338, Q338, "")</f>
        <v/>
      </c>
      <c r="AC338" s="58" t="str">
        <f>IF(AA338, IF(L338 = "", "", L338), "")</f>
        <v/>
      </c>
      <c r="AD338" s="58" t="str">
        <f>IF(AA338, K338, "")</f>
        <v/>
      </c>
    </row>
    <row r="339" spans="1:30" x14ac:dyDescent="0.25">
      <c r="A339" s="40" t="s">
        <v>21</v>
      </c>
      <c r="B339" s="52"/>
      <c r="C339" s="39" t="str">
        <f>IF(L339="","",L339)</f>
        <v/>
      </c>
      <c r="D339" s="40" t="str">
        <f>_xlfn.CONCAT(K339, U339)</f>
        <v>salt, to taste</v>
      </c>
      <c r="I339" s="47"/>
      <c r="K339" s="55" t="s">
        <v>11</v>
      </c>
      <c r="L339" s="44"/>
      <c r="M339" s="44"/>
      <c r="N339" s="44"/>
      <c r="O339" s="44"/>
      <c r="P339" s="44"/>
      <c r="U339" s="44" t="s">
        <v>216</v>
      </c>
      <c r="V339" s="44" t="b">
        <f>INDEX(itemPrepMethods, MATCH(K339, itemNames, 0))="chop"</f>
        <v>0</v>
      </c>
      <c r="W339" s="57" t="str">
        <f>IF(V339, Q339, "")</f>
        <v/>
      </c>
      <c r="X339" s="58" t="str">
        <f>IF(V339, IF(L339 = "", "", L339), "")</f>
        <v/>
      </c>
      <c r="Y339" s="58" t="str">
        <f>IF(V339, K339, "")</f>
        <v/>
      </c>
      <c r="Z339" s="59"/>
      <c r="AA339" s="44" t="b">
        <f>INDEX(itemPrepMethods, MATCH(K339, itemNames, 0))="soak"</f>
        <v>0</v>
      </c>
      <c r="AB339" s="58" t="str">
        <f>IF(AA339, Q339, "")</f>
        <v/>
      </c>
      <c r="AC339" s="58" t="str">
        <f>IF(AA339, IF(L339 = "", "", L339), "")</f>
        <v/>
      </c>
      <c r="AD339" s="58" t="str">
        <f>IF(AA339, K339, "")</f>
        <v/>
      </c>
    </row>
    <row r="340" spans="1:30" x14ac:dyDescent="0.25">
      <c r="A340" s="40" t="s">
        <v>21</v>
      </c>
      <c r="B340" s="52"/>
      <c r="C340" s="39" t="str">
        <f>IF(L340="","",L340)</f>
        <v/>
      </c>
      <c r="D340" s="40" t="str">
        <f>_xlfn.CONCAT(K340, U340)</f>
        <v>ground black pepper, to taste</v>
      </c>
      <c r="I340" s="47"/>
      <c r="K340" s="55" t="s">
        <v>80</v>
      </c>
      <c r="L340" s="44"/>
      <c r="M340" s="44"/>
      <c r="N340" s="44"/>
      <c r="O340" s="44"/>
      <c r="P340" s="44"/>
      <c r="U340" s="44" t="s">
        <v>216</v>
      </c>
      <c r="V340" s="44" t="b">
        <f>INDEX(itemPrepMethods, MATCH(K340, itemNames, 0))="chop"</f>
        <v>0</v>
      </c>
      <c r="W340" s="57" t="str">
        <f>IF(V340, Q340, "")</f>
        <v/>
      </c>
      <c r="X340" s="58" t="str">
        <f>IF(V340, IF(L340 = "", "", L340), "")</f>
        <v/>
      </c>
      <c r="Y340" s="58" t="str">
        <f>IF(V340, K340, "")</f>
        <v/>
      </c>
      <c r="Z340" s="59"/>
      <c r="AA340" s="44" t="b">
        <f>INDEX(itemPrepMethods, MATCH(K340, itemNames, 0))="soak"</f>
        <v>0</v>
      </c>
      <c r="AB340" s="58" t="str">
        <f>IF(AA340, Q340, "")</f>
        <v/>
      </c>
      <c r="AC340" s="58" t="str">
        <f>IF(AA340, IF(L340 = "", "", L340), "")</f>
        <v/>
      </c>
      <c r="AD340" s="58" t="str">
        <f>IF(AA340, K340, "")</f>
        <v/>
      </c>
    </row>
    <row r="341" spans="1:30" x14ac:dyDescent="0.25">
      <c r="A341" s="111"/>
      <c r="B341" s="111"/>
      <c r="C341" s="111"/>
      <c r="D341" s="111"/>
      <c r="I341" s="63"/>
      <c r="J341" s="60"/>
      <c r="K341" s="60"/>
      <c r="L341" s="60"/>
      <c r="M341" s="60"/>
      <c r="N341" s="60"/>
      <c r="O341" s="60"/>
      <c r="P341" s="60"/>
    </row>
    <row r="342" spans="1:30" x14ac:dyDescent="0.25">
      <c r="A342" s="111" t="s">
        <v>169</v>
      </c>
      <c r="B342" s="111"/>
      <c r="C342" s="111"/>
      <c r="D342" s="111"/>
      <c r="I342" s="47"/>
      <c r="L342" s="44"/>
      <c r="M342" s="44"/>
      <c r="N342" s="44"/>
    </row>
    <row r="343" spans="1:30" ht="15.75" x14ac:dyDescent="0.25">
      <c r="A343" s="110" t="s">
        <v>35</v>
      </c>
      <c r="B343" s="110"/>
      <c r="C343" s="110"/>
      <c r="D343" s="110"/>
      <c r="E343" s="43" t="s">
        <v>135</v>
      </c>
      <c r="F343" s="104" t="s">
        <v>154</v>
      </c>
      <c r="G343" s="104"/>
      <c r="H343" s="47"/>
    </row>
    <row r="344" spans="1:30" ht="24" x14ac:dyDescent="0.2">
      <c r="A344" s="110" t="s">
        <v>38</v>
      </c>
      <c r="B344" s="110"/>
      <c r="C344" s="110"/>
      <c r="D344" s="110"/>
      <c r="E344" s="42" t="s">
        <v>56</v>
      </c>
      <c r="F344" s="90">
        <v>15</v>
      </c>
      <c r="G344" s="47"/>
      <c r="H344" s="47"/>
      <c r="I344" s="70" t="s">
        <v>448</v>
      </c>
      <c r="J344" s="71" t="s">
        <v>449</v>
      </c>
      <c r="K344" s="71" t="s">
        <v>17</v>
      </c>
      <c r="L344" s="72" t="s">
        <v>452</v>
      </c>
      <c r="M344" s="70" t="s">
        <v>148</v>
      </c>
      <c r="N344" s="70" t="s">
        <v>149</v>
      </c>
      <c r="O344" s="70" t="s">
        <v>450</v>
      </c>
      <c r="P344" s="70" t="s">
        <v>451</v>
      </c>
      <c r="Q344" s="71" t="s">
        <v>364</v>
      </c>
      <c r="R344" s="70" t="s">
        <v>365</v>
      </c>
      <c r="S344" s="70" t="s">
        <v>366</v>
      </c>
      <c r="T344" s="70" t="s">
        <v>367</v>
      </c>
      <c r="U344" s="71" t="s">
        <v>22</v>
      </c>
      <c r="V344" s="71" t="s">
        <v>212</v>
      </c>
      <c r="W344" s="73" t="s">
        <v>364</v>
      </c>
      <c r="X344" s="71" t="s">
        <v>210</v>
      </c>
      <c r="Y344" s="71" t="s">
        <v>211</v>
      </c>
      <c r="Z344" s="71" t="s">
        <v>313</v>
      </c>
      <c r="AA344" s="71" t="s">
        <v>213</v>
      </c>
      <c r="AB344" s="73" t="s">
        <v>364</v>
      </c>
      <c r="AC344" s="71" t="s">
        <v>214</v>
      </c>
      <c r="AD344" s="71" t="s">
        <v>215</v>
      </c>
    </row>
    <row r="345" spans="1:30" ht="15.75" thickBot="1" x14ac:dyDescent="0.3">
      <c r="A345" s="111"/>
      <c r="B345" s="111"/>
      <c r="C345" s="111"/>
      <c r="D345" s="111"/>
      <c r="E345" s="66" t="s">
        <v>359</v>
      </c>
      <c r="F345" s="90">
        <f>moLuCount</f>
        <v>10</v>
      </c>
      <c r="G345" s="47"/>
      <c r="H345" s="47"/>
      <c r="I345" s="63"/>
      <c r="J345" s="42"/>
      <c r="K345" s="42"/>
      <c r="L345" s="64"/>
      <c r="M345" s="63"/>
      <c r="N345" s="63"/>
      <c r="O345" s="63"/>
      <c r="P345" s="63"/>
      <c r="Q345" s="42"/>
      <c r="R345" s="63"/>
      <c r="S345" s="63"/>
      <c r="T345" s="63"/>
      <c r="U345" s="42"/>
    </row>
    <row r="346" spans="1:30" ht="15.75" thickBot="1" x14ac:dyDescent="0.3">
      <c r="A346" s="111" t="s">
        <v>253</v>
      </c>
      <c r="B346" s="111"/>
      <c r="C346" s="111"/>
      <c r="D346" s="111"/>
      <c r="E346" s="66" t="s">
        <v>362</v>
      </c>
      <c r="F346" s="50">
        <f>F345/F344</f>
        <v>0.66666666666666663</v>
      </c>
      <c r="G346" s="51" t="s">
        <v>378</v>
      </c>
      <c r="H346" s="47"/>
      <c r="I346" s="63"/>
      <c r="J346" s="42"/>
      <c r="K346" s="42"/>
      <c r="L346" s="64"/>
      <c r="M346" s="63"/>
      <c r="N346" s="63"/>
      <c r="O346" s="63"/>
      <c r="P346" s="63"/>
      <c r="Q346" s="42"/>
      <c r="R346" s="63"/>
      <c r="S346" s="63"/>
      <c r="T346" s="63"/>
      <c r="U346" s="42"/>
    </row>
    <row r="347" spans="1:30" x14ac:dyDescent="0.25">
      <c r="A347" s="40" t="s">
        <v>21</v>
      </c>
      <c r="B347" s="52">
        <f t="shared" ref="B347:B369" si="308">Q347</f>
        <v>0.25</v>
      </c>
      <c r="C347" s="39" t="str">
        <f>IF(L347="","",L347)</f>
        <v>cup</v>
      </c>
      <c r="D347" s="40" t="str">
        <f>_xlfn.CONCAT(K347, U347)</f>
        <v>oil</v>
      </c>
      <c r="E347" s="67"/>
      <c r="F347" s="67"/>
      <c r="G347" s="67"/>
      <c r="H347" s="53"/>
      <c r="I347" s="54">
        <v>8</v>
      </c>
      <c r="J347" s="55" t="s">
        <v>15</v>
      </c>
      <c r="K347" s="55" t="s">
        <v>46</v>
      </c>
      <c r="L347" s="56" t="s">
        <v>16</v>
      </c>
      <c r="M347" s="47">
        <f>INDEX(itemGPerQty, MATCH(K347, itemNames, 0))</f>
        <v>0</v>
      </c>
      <c r="N347" s="47">
        <f>INDEX(itemMlPerQty, MATCH(K347, itemNames, 0))</f>
        <v>0</v>
      </c>
      <c r="O347" s="47">
        <f t="shared" ref="O347:O351" si="309">IF(J347 = "", I347 * M347, IF(ISNA(CONVERT(I347, J347, "kg")), CONVERT(I347, J347, "l") * IF(N347 &lt;&gt; 0, M347 / N347, 0), CONVERT(I347, J347, "kg")))</f>
        <v>0</v>
      </c>
      <c r="P347" s="47">
        <f t="shared" ref="P347:P351" si="310">IF(J347 = "", I347 * N347, IF(ISNA(CONVERT(I347, J347, "l")), CONVERT(I347, J347, "kg") * IF(M347 &lt;&gt; 0, N347 / M347, 0), CONVERT(I347, J347, "l")))</f>
        <v>0.11829411825</v>
      </c>
      <c r="Q347" s="47">
        <f>MROUND(IF(AND(J347 = "", L347 = ""), I347 * recipe04DayScale, IF(ISNA(CONVERT(O347, "kg", L347)), CONVERT(P347 * recipe04DayScale, "l", L347), CONVERT(O347 * recipe04DayScale, "kg", L347))), roundTo)</f>
        <v>0.25</v>
      </c>
      <c r="R347" s="47">
        <f>recipe04TotScale * IF(L347 = "", Q347 * M347, IF(ISNA(CONVERT(Q347, L347, "kg")), CONVERT(Q347, L347, "l") * IF(N347 &lt;&gt; 0, M347 / N347, 0), CONVERT(Q347, L347, "kg")))</f>
        <v>0</v>
      </c>
      <c r="S347" s="47">
        <f>recipe04TotScale * IF(R347 = 0, IF(L347 = "", Q347 * N347, IF(ISNA(CONVERT(Q347, L347, "l")), CONVERT(Q347, L347, "kg") * IF(M347 &lt;&gt; 0, N347 / M347, 0), CONVERT(Q347, L347, "l"))), 0)</f>
        <v>5.9147059124999998E-2</v>
      </c>
      <c r="T347" s="47">
        <f>recipe04TotScale * IF(AND(R347 = 0, S347 = 0, J347 = "", L347 = ""), Q347, 0)</f>
        <v>0</v>
      </c>
      <c r="V347" s="44" t="b">
        <f>INDEX(itemPrepMethods, MATCH(K347, itemNames, 0))="chop"</f>
        <v>0</v>
      </c>
      <c r="W347" s="57" t="str">
        <f>IF(V347, Q347, "")</f>
        <v/>
      </c>
      <c r="X347" s="58" t="str">
        <f>IF(V347, IF(L347 = "", "", L347), "")</f>
        <v/>
      </c>
      <c r="Y347" s="58" t="str">
        <f>IF(V347, K347, "")</f>
        <v/>
      </c>
      <c r="Z347" s="59"/>
      <c r="AA347" s="44" t="b">
        <f>INDEX(itemPrepMethods, MATCH(K347, itemNames, 0))="soak"</f>
        <v>0</v>
      </c>
      <c r="AB347" s="58" t="str">
        <f>IF(AA347, Q347, "")</f>
        <v/>
      </c>
      <c r="AC347" s="58" t="str">
        <f>IF(AA347, IF(L347 = "", "", L347), "")</f>
        <v/>
      </c>
      <c r="AD347" s="58" t="str">
        <f>IF(AA347, K347, "")</f>
        <v/>
      </c>
    </row>
    <row r="348" spans="1:30" ht="15.75" thickBot="1" x14ac:dyDescent="0.3">
      <c r="A348" s="40" t="s">
        <v>21</v>
      </c>
      <c r="B348" s="52">
        <f>Q348</f>
        <v>5.25</v>
      </c>
      <c r="C348" s="39" t="str">
        <f>IF(L348="","",L348)</f>
        <v/>
      </c>
      <c r="D348" s="40" t="str">
        <f>_xlfn.CONCAT(K348, U348)</f>
        <v>garlic cloves. Remove from oil once cooked</v>
      </c>
      <c r="E348" s="66" t="s">
        <v>338</v>
      </c>
      <c r="F348" s="90">
        <f>moLuCount</f>
        <v>10</v>
      </c>
      <c r="G348" s="67"/>
      <c r="I348" s="54">
        <v>8</v>
      </c>
      <c r="J348" s="55"/>
      <c r="K348" s="55" t="s">
        <v>8</v>
      </c>
      <c r="L348" s="56"/>
      <c r="M348" s="47">
        <f>INDEX(itemGPerQty, MATCH(K348, itemNames, 0))</f>
        <v>0</v>
      </c>
      <c r="N348" s="47">
        <f>INDEX(itemMlPerQty, MATCH(K348, itemNames, 0))</f>
        <v>0</v>
      </c>
      <c r="O348" s="47">
        <f>IF(J348 = "", I348 * M348, IF(ISNA(CONVERT(I348, J348, "kg")), CONVERT(I348, J348, "l") * IF(N348 &lt;&gt; 0, M348 / N348, 0), CONVERT(I348, J348, "kg")))</f>
        <v>0</v>
      </c>
      <c r="P348" s="47">
        <f>IF(J348 = "", I348 * N348, IF(ISNA(CONVERT(I348, J348, "l")), CONVERT(I348, J348, "kg") * IF(M348 &lt;&gt; 0, N348 / M348, 0), CONVERT(I348, J348, "l")))</f>
        <v>0</v>
      </c>
      <c r="Q348" s="47">
        <f>MROUND(IF(AND(J348 = "", L348 = ""), I348 * recipe04DayScale, IF(ISNA(CONVERT(O348, "kg", L348)), CONVERT(P348 * recipe04DayScale, "l", L348), CONVERT(O348 * recipe04DayScale, "kg", L348))), roundTo)</f>
        <v>5.25</v>
      </c>
      <c r="R348" s="47">
        <f>recipe04TotScale * IF(L348 = "", Q348 * M348, IF(ISNA(CONVERT(Q348, L348, "kg")), CONVERT(Q348, L348, "l") * IF(N348 &lt;&gt; 0, M348 / N348, 0), CONVERT(Q348, L348, "kg")))</f>
        <v>0</v>
      </c>
      <c r="S348" s="47">
        <f>recipe04TotScale * IF(R348 = 0, IF(L348 = "", Q348 * N348, IF(ISNA(CONVERT(Q348, L348, "l")), CONVERT(Q348, L348, "kg") * IF(M348 &lt;&gt; 0, N348 / M348, 0), CONVERT(Q348, L348, "l"))), 0)</f>
        <v>0</v>
      </c>
      <c r="T348" s="47">
        <f>recipe04TotScale * IF(AND(R348 = 0, S348 = 0, J348 = "", L348 = ""), Q348, 0)</f>
        <v>5.25</v>
      </c>
      <c r="U348" s="44" t="s">
        <v>243</v>
      </c>
      <c r="V348" s="44" t="b">
        <f>INDEX(itemPrepMethods, MATCH(K348, itemNames, 0))="chop"</f>
        <v>0</v>
      </c>
      <c r="W348" s="57" t="str">
        <f>IF(V348, Q348, "")</f>
        <v/>
      </c>
      <c r="X348" s="58" t="str">
        <f>IF(V348, IF(L348 = "", "", L348), "")</f>
        <v/>
      </c>
      <c r="Y348" s="58" t="str">
        <f>IF(V348, K348, "")</f>
        <v/>
      </c>
      <c r="Z348" s="59"/>
      <c r="AA348" s="44" t="b">
        <f>INDEX(itemPrepMethods, MATCH(K348, itemNames, 0))="soak"</f>
        <v>0</v>
      </c>
      <c r="AB348" s="58" t="str">
        <f>IF(AA348, Q348, "")</f>
        <v/>
      </c>
      <c r="AC348" s="58" t="str">
        <f>IF(AA348, IF(L348 = "", "", L348), "")</f>
        <v/>
      </c>
      <c r="AD348" s="58" t="str">
        <f>IF(AA348, K348, "")</f>
        <v/>
      </c>
    </row>
    <row r="349" spans="1:30" ht="15.75" thickBot="1" x14ac:dyDescent="0.3">
      <c r="A349" s="40" t="s">
        <v>21</v>
      </c>
      <c r="B349" s="52">
        <f t="shared" si="308"/>
        <v>2</v>
      </c>
      <c r="C349" s="39" t="str">
        <f>IF(L349="","",L349)</f>
        <v/>
      </c>
      <c r="D349" s="40" t="str">
        <f>_xlfn.CONCAT(K349, U349)</f>
        <v>chopped onions</v>
      </c>
      <c r="E349" s="66" t="s">
        <v>363</v>
      </c>
      <c r="F349" s="50">
        <f>F348/F345</f>
        <v>1</v>
      </c>
      <c r="G349" s="51" t="s">
        <v>379</v>
      </c>
      <c r="I349" s="54">
        <v>3</v>
      </c>
      <c r="J349" s="55"/>
      <c r="K349" s="55" t="s">
        <v>6</v>
      </c>
      <c r="L349" s="56"/>
      <c r="M349" s="47">
        <f>INDEX(itemGPerQty, MATCH(K349, itemNames, 0))</f>
        <v>0.185</v>
      </c>
      <c r="N349" s="47">
        <f>INDEX(itemMlPerQty, MATCH(K349, itemNames, 0))</f>
        <v>0.3</v>
      </c>
      <c r="O349" s="47">
        <f t="shared" si="309"/>
        <v>0.55499999999999994</v>
      </c>
      <c r="P349" s="47">
        <f t="shared" si="310"/>
        <v>0.89999999999999991</v>
      </c>
      <c r="Q349" s="47">
        <f>MROUND(IF(AND(J349 = "", L349 = ""), I349 * recipe04DayScale, IF(ISNA(CONVERT(O349, "kg", L349)), CONVERT(P349 * recipe04DayScale, "l", L349), CONVERT(O349 * recipe04DayScale, "kg", L349))), roundTo)</f>
        <v>2</v>
      </c>
      <c r="R349" s="47">
        <f>recipe04TotScale * IF(L349 = "", Q349 * M349, IF(ISNA(CONVERT(Q349, L349, "kg")), CONVERT(Q349, L349, "l") * IF(N349 &lt;&gt; 0, M349 / N349, 0), CONVERT(Q349, L349, "kg")))</f>
        <v>0.37</v>
      </c>
      <c r="S349" s="47">
        <f>recipe04TotScale * IF(R349 = 0, IF(L349 = "", Q349 * N349, IF(ISNA(CONVERT(Q349, L349, "l")), CONVERT(Q349, L349, "kg") * IF(M349 &lt;&gt; 0, N349 / M349, 0), CONVERT(Q349, L349, "l"))), 0)</f>
        <v>0</v>
      </c>
      <c r="T349" s="47">
        <f>recipe04TotScale * IF(AND(R349 = 0, S349 = 0, J349 = "", L349 = ""), Q349, 0)</f>
        <v>0</v>
      </c>
      <c r="V349" s="44" t="b">
        <f>INDEX(itemPrepMethods, MATCH(K349, itemNames, 0))="chop"</f>
        <v>1</v>
      </c>
      <c r="W349" s="57">
        <f>IF(V349, Q349, "")</f>
        <v>2</v>
      </c>
      <c r="X349" s="58" t="str">
        <f>IF(V349, IF(L349 = "", "", L349), "")</f>
        <v/>
      </c>
      <c r="Y349" s="58" t="str">
        <f>IF(V349, K349, "")</f>
        <v>chopped onions</v>
      </c>
      <c r="Z349" s="59"/>
      <c r="AA349" s="44" t="b">
        <f>INDEX(itemPrepMethods, MATCH(K349, itemNames, 0))="soak"</f>
        <v>0</v>
      </c>
      <c r="AB349" s="58" t="str">
        <f>IF(AA349, Q349, "")</f>
        <v/>
      </c>
      <c r="AC349" s="58" t="str">
        <f>IF(AA349, IF(L349 = "", "", L349), "")</f>
        <v/>
      </c>
      <c r="AD349" s="58" t="str">
        <f>IF(AA349, K349, "")</f>
        <v/>
      </c>
    </row>
    <row r="350" spans="1:30" x14ac:dyDescent="0.25">
      <c r="A350" s="40" t="s">
        <v>21</v>
      </c>
      <c r="B350" s="52">
        <f t="shared" si="308"/>
        <v>2</v>
      </c>
      <c r="C350" s="39" t="str">
        <f>IF(L350="","",L350)</f>
        <v>tbs</v>
      </c>
      <c r="D350" s="40" t="str">
        <f>_xlfn.CONCAT(K350, U350)</f>
        <v>minced fresh ginger</v>
      </c>
      <c r="F350" s="42"/>
      <c r="I350" s="54">
        <v>3</v>
      </c>
      <c r="J350" s="55" t="s">
        <v>15</v>
      </c>
      <c r="K350" s="55" t="s">
        <v>231</v>
      </c>
      <c r="L350" s="56" t="s">
        <v>15</v>
      </c>
      <c r="M350" s="47">
        <f>INDEX(itemGPerQty, MATCH(K350, itemNames, 0))</f>
        <v>0</v>
      </c>
      <c r="N350" s="47">
        <f>INDEX(itemMlPerQty, MATCH(K350, itemNames, 0))</f>
        <v>0</v>
      </c>
      <c r="O350" s="47">
        <f t="shared" si="309"/>
        <v>0</v>
      </c>
      <c r="P350" s="47">
        <f t="shared" si="310"/>
        <v>4.4360294343749995E-2</v>
      </c>
      <c r="Q350" s="47">
        <f>MROUND(IF(AND(J350 = "", L350 = ""), I350 * recipe04DayScale, IF(ISNA(CONVERT(O350, "kg", L350)), CONVERT(P350 * recipe04DayScale, "l", L350), CONVERT(O350 * recipe04DayScale, "kg", L350))), roundTo)</f>
        <v>2</v>
      </c>
      <c r="R350" s="47">
        <f>recipe04TotScale * IF(L350 = "", Q350 * M350, IF(ISNA(CONVERT(Q350, L350, "kg")), CONVERT(Q350, L350, "l") * IF(N350 &lt;&gt; 0, M350 / N350, 0), CONVERT(Q350, L350, "kg")))</f>
        <v>0</v>
      </c>
      <c r="S350" s="47">
        <f>recipe04TotScale * IF(R350 = 0, IF(L350 = "", Q350 * N350, IF(ISNA(CONVERT(Q350, L350, "l")), CONVERT(Q350, L350, "kg") * IF(M350 &lt;&gt; 0, N350 / M350, 0), CONVERT(Q350, L350, "l"))), 0)</f>
        <v>2.9573529562499999E-2</v>
      </c>
      <c r="T350" s="47">
        <f>recipe04TotScale * IF(AND(R350 = 0, S350 = 0, J350 = "", L350 = ""), Q350, 0)</f>
        <v>0</v>
      </c>
      <c r="V350" s="44" t="b">
        <f>INDEX(itemPrepMethods, MATCH(K350, itemNames, 0))="chop"</f>
        <v>1</v>
      </c>
      <c r="W350" s="57">
        <f>IF(V350, Q350, "")</f>
        <v>2</v>
      </c>
      <c r="X350" s="58" t="str">
        <f>IF(V350, IF(L350 = "", "", L350), "")</f>
        <v>tbs</v>
      </c>
      <c r="Y350" s="58" t="str">
        <f>IF(V350, K350, "")</f>
        <v>minced fresh ginger</v>
      </c>
      <c r="Z350" s="59"/>
      <c r="AA350" s="44" t="b">
        <f>INDEX(itemPrepMethods, MATCH(K350, itemNames, 0))="soak"</f>
        <v>0</v>
      </c>
      <c r="AB350" s="58" t="str">
        <f>IF(AA350, Q350, "")</f>
        <v/>
      </c>
      <c r="AC350" s="58" t="str">
        <f>IF(AA350, IF(L350 = "", "", L350), "")</f>
        <v/>
      </c>
      <c r="AD350" s="58" t="str">
        <f>IF(AA350, K350, "")</f>
        <v/>
      </c>
    </row>
    <row r="351" spans="1:30" x14ac:dyDescent="0.25">
      <c r="A351" s="40" t="s">
        <v>21</v>
      </c>
      <c r="B351" s="52">
        <f t="shared" si="308"/>
        <v>1</v>
      </c>
      <c r="C351" s="39" t="str">
        <f>IF(L351="","",L351)</f>
        <v>tbs</v>
      </c>
      <c r="D351" s="40" t="str">
        <f>_xlfn.CONCAT(K351, U351)</f>
        <v>thai green curry</v>
      </c>
      <c r="F351" s="42"/>
      <c r="I351" s="54">
        <v>1.5</v>
      </c>
      <c r="J351" s="55" t="s">
        <v>15</v>
      </c>
      <c r="K351" s="55" t="s">
        <v>174</v>
      </c>
      <c r="L351" s="56" t="s">
        <v>15</v>
      </c>
      <c r="M351" s="47">
        <f>INDEX(itemGPerQty, MATCH(K351, itemNames, 0))</f>
        <v>0</v>
      </c>
      <c r="N351" s="47">
        <f>INDEX(itemMlPerQty, MATCH(K351, itemNames, 0))</f>
        <v>0</v>
      </c>
      <c r="O351" s="47">
        <f t="shared" si="309"/>
        <v>0</v>
      </c>
      <c r="P351" s="47">
        <f t="shared" si="310"/>
        <v>2.2180147171874998E-2</v>
      </c>
      <c r="Q351" s="47">
        <f>MROUND(IF(AND(J351 = "", L351 = ""), I351 * recipe04DayScale, IF(ISNA(CONVERT(O351, "kg", L351)), CONVERT(P351 * recipe04DayScale, "l", L351), CONVERT(O351 * recipe04DayScale, "kg", L351))), roundTo)</f>
        <v>1</v>
      </c>
      <c r="R351" s="47">
        <f>recipe04TotScale * IF(L351 = "", Q351 * M351, IF(ISNA(CONVERT(Q351, L351, "kg")), CONVERT(Q351, L351, "l") * IF(N351 &lt;&gt; 0, M351 / N351, 0), CONVERT(Q351, L351, "kg")))</f>
        <v>0</v>
      </c>
      <c r="S351" s="47">
        <f>recipe04TotScale * IF(R351 = 0, IF(L351 = "", Q351 * N351, IF(ISNA(CONVERT(Q351, L351, "l")), CONVERT(Q351, L351, "kg") * IF(M351 &lt;&gt; 0, N351 / M351, 0), CONVERT(Q351, L351, "l"))), 0)</f>
        <v>1.478676478125E-2</v>
      </c>
      <c r="T351" s="47">
        <f>recipe04TotScale * IF(AND(R351 = 0, S351 = 0, J351 = "", L351 = ""), Q351, 0)</f>
        <v>0</v>
      </c>
      <c r="V351" s="44" t="b">
        <f>INDEX(itemPrepMethods, MATCH(K351, itemNames, 0))="chop"</f>
        <v>0</v>
      </c>
      <c r="W351" s="57" t="str">
        <f>IF(V351, Q351, "")</f>
        <v/>
      </c>
      <c r="X351" s="58" t="str">
        <f>IF(V351, IF(L351 = "", "", L351), "")</f>
        <v/>
      </c>
      <c r="Y351" s="58" t="str">
        <f>IF(V351, K351, "")</f>
        <v/>
      </c>
      <c r="Z351" s="59"/>
      <c r="AA351" s="44" t="b">
        <f>INDEX(itemPrepMethods, MATCH(K351, itemNames, 0))="soak"</f>
        <v>0</v>
      </c>
      <c r="AB351" s="58" t="str">
        <f>IF(AA351, Q351, "")</f>
        <v/>
      </c>
      <c r="AC351" s="58" t="str">
        <f>IF(AA351, IF(L351 = "", "", L351), "")</f>
        <v/>
      </c>
      <c r="AD351" s="58" t="str">
        <f>IF(AA351, K351, "")</f>
        <v/>
      </c>
    </row>
    <row r="352" spans="1:30" ht="15.75" x14ac:dyDescent="0.25">
      <c r="A352" s="112"/>
      <c r="B352" s="112"/>
      <c r="C352" s="112"/>
      <c r="D352" s="112"/>
      <c r="E352" s="42"/>
      <c r="F352" s="42"/>
      <c r="G352" s="47"/>
      <c r="H352" s="47"/>
      <c r="I352" s="63"/>
      <c r="J352" s="42"/>
      <c r="K352" s="42"/>
      <c r="L352" s="64"/>
      <c r="M352" s="63"/>
      <c r="N352" s="63"/>
      <c r="O352" s="63"/>
      <c r="P352" s="63"/>
      <c r="Q352" s="42"/>
      <c r="R352" s="63"/>
      <c r="S352" s="63"/>
      <c r="T352" s="63"/>
      <c r="U352" s="42"/>
      <c r="W352" s="74"/>
      <c r="X352" s="74"/>
      <c r="Y352" s="74"/>
      <c r="Z352" s="74"/>
      <c r="AA352" s="67"/>
      <c r="AB352" s="74"/>
      <c r="AC352" s="74"/>
      <c r="AD352" s="74"/>
    </row>
    <row r="353" spans="1:30" x14ac:dyDescent="0.25">
      <c r="A353" s="111" t="s">
        <v>254</v>
      </c>
      <c r="B353" s="111"/>
      <c r="C353" s="111"/>
      <c r="D353" s="111"/>
      <c r="E353" s="42"/>
      <c r="F353" s="42"/>
      <c r="G353" s="47"/>
      <c r="H353" s="47"/>
      <c r="I353" s="63"/>
      <c r="J353" s="42"/>
      <c r="K353" s="42"/>
      <c r="L353" s="64"/>
      <c r="M353" s="63"/>
      <c r="N353" s="63"/>
      <c r="O353" s="63"/>
      <c r="P353" s="63"/>
      <c r="Q353" s="42"/>
      <c r="R353" s="63"/>
      <c r="S353" s="63"/>
      <c r="T353" s="63"/>
      <c r="U353" s="42"/>
      <c r="W353" s="74"/>
      <c r="X353" s="74"/>
      <c r="Y353" s="74"/>
      <c r="Z353" s="74"/>
      <c r="AA353" s="67"/>
      <c r="AB353" s="74"/>
      <c r="AC353" s="74"/>
      <c r="AD353" s="74"/>
    </row>
    <row r="354" spans="1:30" x14ac:dyDescent="0.25">
      <c r="A354" s="40" t="s">
        <v>21</v>
      </c>
      <c r="B354" s="52">
        <f t="shared" si="308"/>
        <v>0.75</v>
      </c>
      <c r="C354" s="39" t="str">
        <f>IF(L354="","",L354)</f>
        <v>cup</v>
      </c>
      <c r="D354" s="40" t="str">
        <f>_xlfn.CONCAT(K354, U354)</f>
        <v>peanut butter</v>
      </c>
      <c r="F354" s="42"/>
      <c r="I354" s="54">
        <v>1</v>
      </c>
      <c r="J354" s="55" t="s">
        <v>16</v>
      </c>
      <c r="K354" s="55" t="s">
        <v>109</v>
      </c>
      <c r="L354" s="56" t="s">
        <v>16</v>
      </c>
      <c r="M354" s="47">
        <f>INDEX(itemGPerQty, MATCH(K354, itemNames, 0))</f>
        <v>0</v>
      </c>
      <c r="N354" s="47">
        <f>INDEX(itemMlPerQty, MATCH(K354, itemNames, 0))</f>
        <v>0</v>
      </c>
      <c r="O354" s="47">
        <f t="shared" ref="O354:O355" si="311">IF(J354 = "", I354 * M354, IF(ISNA(CONVERT(I354, J354, "kg")), CONVERT(I354, J354, "l") * IF(N354 &lt;&gt; 0, M354 / N354, 0), CONVERT(I354, J354, "kg")))</f>
        <v>0</v>
      </c>
      <c r="P354" s="47">
        <f t="shared" ref="P354:P355" si="312">IF(J354 = "", I354 * N354, IF(ISNA(CONVERT(I354, J354, "l")), CONVERT(I354, J354, "kg") * IF(M354 &lt;&gt; 0, N354 / M354, 0), CONVERT(I354, J354, "l")))</f>
        <v>0.23658823649999999</v>
      </c>
      <c r="Q354" s="47">
        <f>MROUND(IF(AND(J354 = "", L354 = ""), I354 * recipe04DayScale, IF(ISNA(CONVERT(O354, "kg", L354)), CONVERT(P354 * recipe04DayScale, "l", L354), CONVERT(O354 * recipe04DayScale, "kg", L354))), roundTo)</f>
        <v>0.75</v>
      </c>
      <c r="R354" s="47">
        <f>recipe04TotScale * IF(L354 = "", Q354 * M354, IF(ISNA(CONVERT(Q354, L354, "kg")), CONVERT(Q354, L354, "l") * IF(N354 &lt;&gt; 0, M354 / N354, 0), CONVERT(Q354, L354, "kg")))</f>
        <v>0</v>
      </c>
      <c r="S354" s="47">
        <f>recipe04TotScale * IF(R354 = 0, IF(L354 = "", Q354 * N354, IF(ISNA(CONVERT(Q354, L354, "l")), CONVERT(Q354, L354, "kg") * IF(M354 &lt;&gt; 0, N354 / M354, 0), CONVERT(Q354, L354, "l"))), 0)</f>
        <v>0.17744117737499998</v>
      </c>
      <c r="T354" s="47">
        <f>recipe04TotScale * IF(AND(R354 = 0, S354 = 0, J354 = "", L354 = ""), Q354, 0)</f>
        <v>0</v>
      </c>
      <c r="V354" s="44" t="b">
        <f>INDEX(itemPrepMethods, MATCH(K354, itemNames, 0))="chop"</f>
        <v>0</v>
      </c>
      <c r="W354" s="57" t="str">
        <f>IF(V354, Q354, "")</f>
        <v/>
      </c>
      <c r="X354" s="58" t="str">
        <f>IF(V354, IF(L354 = "", "", L354), "")</f>
        <v/>
      </c>
      <c r="Y354" s="58" t="str">
        <f>IF(V354, K354, "")</f>
        <v/>
      </c>
      <c r="Z354" s="59"/>
      <c r="AA354" s="44" t="b">
        <f>INDEX(itemPrepMethods, MATCH(K354, itemNames, 0))="soak"</f>
        <v>0</v>
      </c>
      <c r="AB354" s="58" t="str">
        <f>IF(AA354, Q354, "")</f>
        <v/>
      </c>
      <c r="AC354" s="58" t="str">
        <f>IF(AA354, IF(L354 = "", "", L354), "")</f>
        <v/>
      </c>
      <c r="AD354" s="58" t="str">
        <f>IF(AA354, K354, "")</f>
        <v/>
      </c>
    </row>
    <row r="355" spans="1:30" x14ac:dyDescent="0.25">
      <c r="A355" s="40" t="s">
        <v>21</v>
      </c>
      <c r="B355" s="52">
        <f t="shared" si="308"/>
        <v>0.75</v>
      </c>
      <c r="C355" s="39" t="str">
        <f>IF(L355="","",L355)</f>
        <v>l</v>
      </c>
      <c r="D355" s="40" t="str">
        <f>_xlfn.CONCAT(K355, U355)</f>
        <v>vegetable stock</v>
      </c>
      <c r="I355" s="54">
        <v>1</v>
      </c>
      <c r="J355" s="55" t="s">
        <v>57</v>
      </c>
      <c r="K355" s="55" t="s">
        <v>58</v>
      </c>
      <c r="L355" s="56" t="s">
        <v>57</v>
      </c>
      <c r="M355" s="47">
        <f>INDEX(itemGPerQty, MATCH(K355, itemNames, 0))</f>
        <v>0</v>
      </c>
      <c r="N355" s="47">
        <f>INDEX(itemMlPerQty, MATCH(K355, itemNames, 0))</f>
        <v>0</v>
      </c>
      <c r="O355" s="47">
        <f t="shared" si="311"/>
        <v>0</v>
      </c>
      <c r="P355" s="47">
        <f t="shared" si="312"/>
        <v>1</v>
      </c>
      <c r="Q355" s="47">
        <f>MROUND(IF(AND(J355 = "", L355 = ""), I355 * recipe04DayScale, IF(ISNA(CONVERT(O355, "kg", L355)), CONVERT(P355 * recipe04DayScale, "l", L355), CONVERT(O355 * recipe04DayScale, "kg", L355))), roundTo)</f>
        <v>0.75</v>
      </c>
      <c r="R355" s="47">
        <f>recipe04TotScale * IF(L355 = "", Q355 * M355, IF(ISNA(CONVERT(Q355, L355, "kg")), CONVERT(Q355, L355, "l") * IF(N355 &lt;&gt; 0, M355 / N355, 0), CONVERT(Q355, L355, "kg")))</f>
        <v>0</v>
      </c>
      <c r="S355" s="47">
        <f>recipe04TotScale * IF(R355 = 0, IF(L355 = "", Q355 * N355, IF(ISNA(CONVERT(Q355, L355, "l")), CONVERT(Q355, L355, "kg") * IF(M355 &lt;&gt; 0, N355 / M355, 0), CONVERT(Q355, L355, "l"))), 0)</f>
        <v>0.75</v>
      </c>
      <c r="T355" s="47">
        <f>recipe04TotScale * IF(AND(R355 = 0, S355 = 0, J355 = "", L355 = ""), Q355, 0)</f>
        <v>0</v>
      </c>
      <c r="V355" s="44" t="b">
        <f>INDEX(itemPrepMethods, MATCH(K355, itemNames, 0))="chop"</f>
        <v>0</v>
      </c>
      <c r="W355" s="57" t="str">
        <f>IF(V355, Q355, "")</f>
        <v/>
      </c>
      <c r="X355" s="58" t="str">
        <f>IF(V355, IF(L355 = "", "", L355), "")</f>
        <v/>
      </c>
      <c r="Y355" s="58" t="str">
        <f>IF(V355, K355, "")</f>
        <v/>
      </c>
      <c r="Z355" s="59"/>
      <c r="AA355" s="44" t="b">
        <f>INDEX(itemPrepMethods, MATCH(K355, itemNames, 0))="soak"</f>
        <v>0</v>
      </c>
      <c r="AB355" s="58" t="str">
        <f>IF(AA355, Q355, "")</f>
        <v/>
      </c>
      <c r="AC355" s="58" t="str">
        <f>IF(AA355, IF(L355 = "", "", L355), "")</f>
        <v/>
      </c>
      <c r="AD355" s="58" t="str">
        <f>IF(AA355, K355, "")</f>
        <v/>
      </c>
    </row>
    <row r="356" spans="1:30" ht="15.75" x14ac:dyDescent="0.25">
      <c r="A356" s="112"/>
      <c r="B356" s="112"/>
      <c r="C356" s="112"/>
      <c r="D356" s="112"/>
      <c r="E356" s="42"/>
      <c r="F356" s="42"/>
      <c r="G356" s="47"/>
      <c r="H356" s="47"/>
      <c r="I356" s="63"/>
      <c r="J356" s="42"/>
      <c r="K356" s="42"/>
      <c r="L356" s="64"/>
      <c r="M356" s="63"/>
      <c r="N356" s="63"/>
      <c r="O356" s="63"/>
      <c r="P356" s="63"/>
      <c r="Q356" s="42"/>
      <c r="R356" s="63"/>
      <c r="S356" s="63"/>
      <c r="T356" s="63"/>
      <c r="U356" s="42"/>
      <c r="W356" s="74"/>
      <c r="X356" s="74"/>
      <c r="Y356" s="74"/>
      <c r="Z356" s="74"/>
      <c r="AA356" s="67"/>
      <c r="AB356" s="74"/>
      <c r="AC356" s="74"/>
      <c r="AD356" s="74"/>
    </row>
    <row r="357" spans="1:30" x14ac:dyDescent="0.25">
      <c r="A357" s="111" t="s">
        <v>255</v>
      </c>
      <c r="B357" s="111"/>
      <c r="C357" s="111"/>
      <c r="D357" s="111"/>
      <c r="E357" s="42"/>
      <c r="F357" s="42"/>
      <c r="G357" s="47"/>
      <c r="H357" s="47"/>
      <c r="I357" s="63"/>
      <c r="J357" s="42"/>
      <c r="K357" s="42"/>
      <c r="L357" s="64"/>
      <c r="M357" s="63"/>
      <c r="N357" s="63"/>
      <c r="O357" s="63"/>
      <c r="P357" s="63"/>
      <c r="Q357" s="42"/>
      <c r="R357" s="63"/>
      <c r="S357" s="63"/>
      <c r="T357" s="63"/>
      <c r="U357" s="42"/>
      <c r="W357" s="74"/>
      <c r="X357" s="74"/>
      <c r="Y357" s="74"/>
      <c r="Z357" s="74"/>
      <c r="AA357" s="67"/>
      <c r="AB357" s="74"/>
      <c r="AC357" s="74"/>
      <c r="AD357" s="74"/>
    </row>
    <row r="358" spans="1:30" x14ac:dyDescent="0.25">
      <c r="A358" s="40" t="s">
        <v>21</v>
      </c>
      <c r="B358" s="52">
        <f t="shared" si="308"/>
        <v>2</v>
      </c>
      <c r="C358" s="39" t="str">
        <f>IF(L358="","",L358)</f>
        <v/>
      </c>
      <c r="D358" s="40" t="str">
        <f>_xlfn.CONCAT(K358, U358)</f>
        <v>chopped kumara</v>
      </c>
      <c r="I358" s="54">
        <v>3</v>
      </c>
      <c r="J358" s="55"/>
      <c r="K358" s="55" t="s">
        <v>158</v>
      </c>
      <c r="L358" s="56"/>
      <c r="M358" s="47">
        <f>INDEX(itemGPerQty, MATCH(K358, itemNames, 0))</f>
        <v>0.34</v>
      </c>
      <c r="N358" s="47">
        <f>INDEX(itemMlPerQty, MATCH(K358, itemNames, 0))</f>
        <v>0</v>
      </c>
      <c r="O358" s="47">
        <f t="shared" ref="O358:O359" si="313">IF(J358 = "", I358 * M358, IF(ISNA(CONVERT(I358, J358, "kg")), CONVERT(I358, J358, "l") * IF(N358 &lt;&gt; 0, M358 / N358, 0), CONVERT(I358, J358, "kg")))</f>
        <v>1.02</v>
      </c>
      <c r="P358" s="47">
        <f t="shared" ref="P358:P359" si="314">IF(J358 = "", I358 * N358, IF(ISNA(CONVERT(I358, J358, "l")), CONVERT(I358, J358, "kg") * IF(M358 &lt;&gt; 0, N358 / M358, 0), CONVERT(I358, J358, "l")))</f>
        <v>0</v>
      </c>
      <c r="Q358" s="47">
        <f>MROUND(IF(AND(J358 = "", L358 = ""), I358 * recipe04DayScale, IF(ISNA(CONVERT(O358, "kg", L358)), CONVERT(P358 * recipe04DayScale, "l", L358), CONVERT(O358 * recipe04DayScale, "kg", L358))), roundTo)</f>
        <v>2</v>
      </c>
      <c r="R358" s="47">
        <f>recipe04TotScale * IF(L358 = "", Q358 * M358, IF(ISNA(CONVERT(Q358, L358, "kg")), CONVERT(Q358, L358, "l") * IF(N358 &lt;&gt; 0, M358 / N358, 0), CONVERT(Q358, L358, "kg")))</f>
        <v>0.68</v>
      </c>
      <c r="S358" s="47">
        <f>recipe04TotScale * IF(R358 = 0, IF(L358 = "", Q358 * N358, IF(ISNA(CONVERT(Q358, L358, "l")), CONVERT(Q358, L358, "kg") * IF(M358 &lt;&gt; 0, N358 / M358, 0), CONVERT(Q358, L358, "l"))), 0)</f>
        <v>0</v>
      </c>
      <c r="T358" s="47">
        <f>recipe04TotScale * IF(AND(R358 = 0, S358 = 0, J358 = "", L358 = ""), Q358, 0)</f>
        <v>0</v>
      </c>
      <c r="V358" s="44" t="b">
        <f>INDEX(itemPrepMethods, MATCH(K358, itemNames, 0))="chop"</f>
        <v>1</v>
      </c>
      <c r="W358" s="57">
        <f>IF(V358, Q358, "")</f>
        <v>2</v>
      </c>
      <c r="X358" s="58" t="str">
        <f>IF(V358, IF(L358 = "", "", L358), "")</f>
        <v/>
      </c>
      <c r="Y358" s="58" t="str">
        <f>IF(V358, K358, "")</f>
        <v>chopped kumara</v>
      </c>
      <c r="Z358" s="59"/>
      <c r="AA358" s="44" t="b">
        <f>INDEX(itemPrepMethods, MATCH(K358, itemNames, 0))="soak"</f>
        <v>0</v>
      </c>
      <c r="AB358" s="58" t="str">
        <f>IF(AA358, Q358, "")</f>
        <v/>
      </c>
      <c r="AC358" s="58" t="str">
        <f>IF(AA358, IF(L358 = "", "", L358), "")</f>
        <v/>
      </c>
      <c r="AD358" s="58" t="str">
        <f>IF(AA358, K358, "")</f>
        <v/>
      </c>
    </row>
    <row r="359" spans="1:30" x14ac:dyDescent="0.25">
      <c r="A359" s="40" t="s">
        <v>21</v>
      </c>
      <c r="B359" s="52">
        <f t="shared" si="308"/>
        <v>6</v>
      </c>
      <c r="C359" s="39" t="str">
        <f>IF(L359="","",L359)</f>
        <v/>
      </c>
      <c r="D359" s="40" t="str">
        <f>_xlfn.CONCAT(K359, U359)</f>
        <v>chopped carrots</v>
      </c>
      <c r="I359" s="54">
        <v>9</v>
      </c>
      <c r="J359" s="55"/>
      <c r="K359" s="55" t="s">
        <v>5</v>
      </c>
      <c r="L359" s="56"/>
      <c r="M359" s="47">
        <f>INDEX(itemGPerQty, MATCH(K359, itemNames, 0))</f>
        <v>0.14833333333333334</v>
      </c>
      <c r="N359" s="47">
        <f>INDEX(itemMlPerQty, MATCH(K359, itemNames, 0))</f>
        <v>0.19999999999999998</v>
      </c>
      <c r="O359" s="47">
        <f t="shared" si="313"/>
        <v>1.3350000000000002</v>
      </c>
      <c r="P359" s="47">
        <f t="shared" si="314"/>
        <v>1.7999999999999998</v>
      </c>
      <c r="Q359" s="47">
        <f>MROUND(IF(AND(J359 = "", L359 = ""), I359 * recipe04DayScale, IF(ISNA(CONVERT(O359, "kg", L359)), CONVERT(P359 * recipe04DayScale, "l", L359), CONVERT(O359 * recipe04DayScale, "kg", L359))), roundTo)</f>
        <v>6</v>
      </c>
      <c r="R359" s="47">
        <f>recipe04TotScale * IF(L359 = "", Q359 * M359, IF(ISNA(CONVERT(Q359, L359, "kg")), CONVERT(Q359, L359, "l") * IF(N359 &lt;&gt; 0, M359 / N359, 0), CONVERT(Q359, L359, "kg")))</f>
        <v>0.89000000000000012</v>
      </c>
      <c r="S359" s="47">
        <f>recipe04TotScale * IF(R359 = 0, IF(L359 = "", Q359 * N359, IF(ISNA(CONVERT(Q359, L359, "l")), CONVERT(Q359, L359, "kg") * IF(M359 &lt;&gt; 0, N359 / M359, 0), CONVERT(Q359, L359, "l"))), 0)</f>
        <v>0</v>
      </c>
      <c r="T359" s="47">
        <f>recipe04TotScale * IF(AND(R359 = 0, S359 = 0, J359 = "", L359 = ""), Q359, 0)</f>
        <v>0</v>
      </c>
      <c r="V359" s="44" t="b">
        <f>INDEX(itemPrepMethods, MATCH(K359, itemNames, 0))="chop"</f>
        <v>1</v>
      </c>
      <c r="W359" s="57">
        <f>IF(V359, Q359, "")</f>
        <v>6</v>
      </c>
      <c r="X359" s="58" t="str">
        <f>IF(V359, IF(L359 = "", "", L359), "")</f>
        <v/>
      </c>
      <c r="Y359" s="58" t="str">
        <f>IF(V359, K359, "")</f>
        <v>chopped carrots</v>
      </c>
      <c r="Z359" s="59"/>
      <c r="AA359" s="44" t="b">
        <f>INDEX(itemPrepMethods, MATCH(K359, itemNames, 0))="soak"</f>
        <v>0</v>
      </c>
      <c r="AB359" s="58" t="str">
        <f>IF(AA359, Q359, "")</f>
        <v/>
      </c>
      <c r="AC359" s="58" t="str">
        <f>IF(AA359, IF(L359 = "", "", L359), "")</f>
        <v/>
      </c>
      <c r="AD359" s="58" t="str">
        <f>IF(AA359, K359, "")</f>
        <v/>
      </c>
    </row>
    <row r="360" spans="1:30" ht="15.75" x14ac:dyDescent="0.25">
      <c r="A360" s="112"/>
      <c r="B360" s="112"/>
      <c r="C360" s="112"/>
      <c r="D360" s="112"/>
      <c r="E360" s="42"/>
      <c r="F360" s="42"/>
      <c r="G360" s="47"/>
      <c r="H360" s="47"/>
      <c r="I360" s="63"/>
      <c r="J360" s="42"/>
      <c r="K360" s="42"/>
      <c r="L360" s="64"/>
      <c r="M360" s="63"/>
      <c r="N360" s="63"/>
      <c r="O360" s="63"/>
      <c r="P360" s="63"/>
      <c r="Q360" s="42"/>
      <c r="R360" s="63"/>
      <c r="S360" s="63"/>
      <c r="T360" s="63"/>
      <c r="U360" s="42"/>
      <c r="W360" s="74"/>
      <c r="X360" s="74"/>
      <c r="Y360" s="74"/>
      <c r="Z360" s="74"/>
      <c r="AA360" s="67"/>
      <c r="AB360" s="74"/>
      <c r="AC360" s="74"/>
      <c r="AD360" s="74"/>
    </row>
    <row r="361" spans="1:30" x14ac:dyDescent="0.25">
      <c r="A361" s="111" t="s">
        <v>256</v>
      </c>
      <c r="B361" s="111"/>
      <c r="C361" s="111"/>
      <c r="D361" s="111"/>
      <c r="E361" s="42"/>
      <c r="F361" s="42"/>
      <c r="G361" s="47"/>
      <c r="H361" s="47"/>
      <c r="I361" s="63"/>
      <c r="J361" s="42"/>
      <c r="K361" s="42"/>
      <c r="L361" s="64"/>
      <c r="M361" s="63"/>
      <c r="N361" s="63"/>
      <c r="O361" s="63"/>
      <c r="P361" s="63"/>
      <c r="Q361" s="42"/>
      <c r="R361" s="63"/>
      <c r="S361" s="63"/>
      <c r="T361" s="63"/>
      <c r="U361" s="42"/>
      <c r="W361" s="74"/>
      <c r="X361" s="74"/>
      <c r="Y361" s="74"/>
      <c r="Z361" s="74"/>
      <c r="AA361" s="67"/>
      <c r="AB361" s="74"/>
      <c r="AC361" s="74"/>
      <c r="AD361" s="74"/>
    </row>
    <row r="362" spans="1:30" x14ac:dyDescent="0.25">
      <c r="A362" s="40" t="s">
        <v>21</v>
      </c>
      <c r="B362" s="52">
        <f t="shared" si="308"/>
        <v>0.75</v>
      </c>
      <c r="C362" s="39" t="str">
        <f>IF(L362="","",L362)</f>
        <v/>
      </c>
      <c r="D362" s="40" t="str">
        <f>_xlfn.CONCAT(K362, U362)</f>
        <v>chopped cauliflowers</v>
      </c>
      <c r="I362" s="54">
        <v>1.2</v>
      </c>
      <c r="J362" s="55"/>
      <c r="K362" s="55" t="s">
        <v>167</v>
      </c>
      <c r="L362" s="56"/>
      <c r="M362" s="47">
        <f>INDEX(itemGPerQty, MATCH(K362, itemNames, 0))</f>
        <v>0</v>
      </c>
      <c r="N362" s="47">
        <f>INDEX(itemMlPerQty, MATCH(K362, itemNames, 0))</f>
        <v>0</v>
      </c>
      <c r="O362" s="47">
        <f t="shared" ref="O362:O365" si="315">IF(J362 = "", I362 * M362, IF(ISNA(CONVERT(I362, J362, "kg")), CONVERT(I362, J362, "l") * IF(N362 &lt;&gt; 0, M362 / N362, 0), CONVERT(I362, J362, "kg")))</f>
        <v>0</v>
      </c>
      <c r="P362" s="47">
        <f t="shared" ref="P362:P365" si="316">IF(J362 = "", I362 * N362, IF(ISNA(CONVERT(I362, J362, "l")), CONVERT(I362, J362, "kg") * IF(M362 &lt;&gt; 0, N362 / M362, 0), CONVERT(I362, J362, "l")))</f>
        <v>0</v>
      </c>
      <c r="Q362" s="47">
        <f>MROUND(IF(AND(J362 = "", L362 = ""), I362 * recipe04DayScale, IF(ISNA(CONVERT(O362, "kg", L362)), CONVERT(P362 * recipe04DayScale, "l", L362), CONVERT(O362 * recipe04DayScale, "kg", L362))), roundTo)</f>
        <v>0.75</v>
      </c>
      <c r="R362" s="47">
        <f>recipe04TotScale * IF(L362 = "", Q362 * M362, IF(ISNA(CONVERT(Q362, L362, "kg")), CONVERT(Q362, L362, "l") * IF(N362 &lt;&gt; 0, M362 / N362, 0), CONVERT(Q362, L362, "kg")))</f>
        <v>0</v>
      </c>
      <c r="S362" s="47">
        <f>recipe04TotScale * IF(R362 = 0, IF(L362 = "", Q362 * N362, IF(ISNA(CONVERT(Q362, L362, "l")), CONVERT(Q362, L362, "kg") * IF(M362 &lt;&gt; 0, N362 / M362, 0), CONVERT(Q362, L362, "l"))), 0)</f>
        <v>0</v>
      </c>
      <c r="T362" s="47">
        <f>recipe04TotScale * IF(AND(R362 = 0, S362 = 0, J362 = "", L362 = ""), Q362, 0)</f>
        <v>0.75</v>
      </c>
      <c r="V362" s="44" t="b">
        <f>INDEX(itemPrepMethods, MATCH(K362, itemNames, 0))="chop"</f>
        <v>1</v>
      </c>
      <c r="W362" s="57">
        <f>IF(V362, Q362, "")</f>
        <v>0.75</v>
      </c>
      <c r="X362" s="58" t="str">
        <f>IF(V362, IF(L362 = "", "", L362), "")</f>
        <v/>
      </c>
      <c r="Y362" s="58" t="str">
        <f>IF(V362, K362, "")</f>
        <v>chopped cauliflowers</v>
      </c>
      <c r="Z362" s="59"/>
      <c r="AA362" s="44" t="b">
        <f>INDEX(itemPrepMethods, MATCH(K362, itemNames, 0))="soak"</f>
        <v>0</v>
      </c>
      <c r="AB362" s="58" t="str">
        <f>IF(AA362, Q362, "")</f>
        <v/>
      </c>
      <c r="AC362" s="58" t="str">
        <f>IF(AA362, IF(L362 = "", "", L362), "")</f>
        <v/>
      </c>
      <c r="AD362" s="58" t="str">
        <f>IF(AA362, K362, "")</f>
        <v/>
      </c>
    </row>
    <row r="363" spans="1:30" x14ac:dyDescent="0.25">
      <c r="A363" s="40" t="s">
        <v>21</v>
      </c>
      <c r="B363" s="52">
        <f t="shared" si="308"/>
        <v>5.25</v>
      </c>
      <c r="C363" s="39" t="str">
        <f>IF(L363="","",L363)</f>
        <v/>
      </c>
      <c r="D363" s="40" t="str">
        <f>_xlfn.CONCAT(K363, U363)</f>
        <v>sliced zucchini</v>
      </c>
      <c r="I363" s="54">
        <v>8</v>
      </c>
      <c r="J363" s="55"/>
      <c r="K363" s="55" t="s">
        <v>110</v>
      </c>
      <c r="L363" s="56"/>
      <c r="M363" s="47">
        <f>INDEX(itemGPerQty, MATCH(K363, itemNames, 0))</f>
        <v>0</v>
      </c>
      <c r="N363" s="47">
        <f>INDEX(itemMlPerQty, MATCH(K363, itemNames, 0))</f>
        <v>0</v>
      </c>
      <c r="O363" s="47">
        <f t="shared" si="315"/>
        <v>0</v>
      </c>
      <c r="P363" s="47">
        <f t="shared" si="316"/>
        <v>0</v>
      </c>
      <c r="Q363" s="47">
        <f>MROUND(IF(AND(J363 = "", L363 = ""), I363 * recipe04DayScale, IF(ISNA(CONVERT(O363, "kg", L363)), CONVERT(P363 * recipe04DayScale, "l", L363), CONVERT(O363 * recipe04DayScale, "kg", L363))), roundTo)</f>
        <v>5.25</v>
      </c>
      <c r="R363" s="47">
        <f>recipe04TotScale * IF(L363 = "", Q363 * M363, IF(ISNA(CONVERT(Q363, L363, "kg")), CONVERT(Q363, L363, "l") * IF(N363 &lt;&gt; 0, M363 / N363, 0), CONVERT(Q363, L363, "kg")))</f>
        <v>0</v>
      </c>
      <c r="S363" s="47">
        <f>recipe04TotScale * IF(R363 = 0, IF(L363 = "", Q363 * N363, IF(ISNA(CONVERT(Q363, L363, "l")), CONVERT(Q363, L363, "kg") * IF(M363 &lt;&gt; 0, N363 / M363, 0), CONVERT(Q363, L363, "l"))), 0)</f>
        <v>0</v>
      </c>
      <c r="T363" s="47">
        <f>recipe04TotScale * IF(AND(R363 = 0, S363 = 0, J363 = "", L363 = ""), Q363, 0)</f>
        <v>5.25</v>
      </c>
      <c r="V363" s="44" t="b">
        <f>INDEX(itemPrepMethods, MATCH(K363, itemNames, 0))="chop"</f>
        <v>1</v>
      </c>
      <c r="W363" s="57">
        <f>IF(V363, Q363, "")</f>
        <v>5.25</v>
      </c>
      <c r="X363" s="58" t="str">
        <f>IF(V363, IF(L363 = "", "", L363), "")</f>
        <v/>
      </c>
      <c r="Y363" s="58" t="str">
        <f>IF(V363, K363, "")</f>
        <v>sliced zucchini</v>
      </c>
      <c r="Z363" s="59"/>
      <c r="AA363" s="44" t="b">
        <f>INDEX(itemPrepMethods, MATCH(K363, itemNames, 0))="soak"</f>
        <v>0</v>
      </c>
      <c r="AB363" s="58" t="str">
        <f>IF(AA363, Q363, "")</f>
        <v/>
      </c>
      <c r="AC363" s="58" t="str">
        <f>IF(AA363, IF(L363 = "", "", L363), "")</f>
        <v/>
      </c>
      <c r="AD363" s="58" t="str">
        <f>IF(AA363, K363, "")</f>
        <v/>
      </c>
    </row>
    <row r="364" spans="1:30" x14ac:dyDescent="0.25">
      <c r="A364" s="40" t="s">
        <v>21</v>
      </c>
      <c r="B364" s="52">
        <f t="shared" si="308"/>
        <v>7.25</v>
      </c>
      <c r="C364" s="39" t="str">
        <f>IF(L364="","",L364)</f>
        <v/>
      </c>
      <c r="D364" s="40" t="str">
        <f>_xlfn.CONCAT(K364, U364)</f>
        <v>sliced silverbeet leaves</v>
      </c>
      <c r="I364" s="54">
        <v>11</v>
      </c>
      <c r="J364" s="55"/>
      <c r="K364" s="55" t="s">
        <v>112</v>
      </c>
      <c r="L364" s="56"/>
      <c r="M364" s="47">
        <f>INDEX(itemGPerQty, MATCH(K364, itemNames, 0))</f>
        <v>0</v>
      </c>
      <c r="N364" s="47">
        <f>INDEX(itemMlPerQty, MATCH(K364, itemNames, 0))</f>
        <v>0</v>
      </c>
      <c r="O364" s="47">
        <f t="shared" si="315"/>
        <v>0</v>
      </c>
      <c r="P364" s="47">
        <f t="shared" si="316"/>
        <v>0</v>
      </c>
      <c r="Q364" s="47">
        <f>MROUND(IF(AND(J364 = "", L364 = ""), I364 * recipe04DayScale, IF(ISNA(CONVERT(O364, "kg", L364)), CONVERT(P364 * recipe04DayScale, "l", L364), CONVERT(O364 * recipe04DayScale, "kg", L364))), roundTo)</f>
        <v>7.25</v>
      </c>
      <c r="R364" s="47">
        <f>recipe04TotScale * IF(L364 = "", Q364 * M364, IF(ISNA(CONVERT(Q364, L364, "kg")), CONVERT(Q364, L364, "l") * IF(N364 &lt;&gt; 0, M364 / N364, 0), CONVERT(Q364, L364, "kg")))</f>
        <v>0</v>
      </c>
      <c r="S364" s="47">
        <f>recipe04TotScale * IF(R364 = 0, IF(L364 = "", Q364 * N364, IF(ISNA(CONVERT(Q364, L364, "l")), CONVERT(Q364, L364, "kg") * IF(M364 &lt;&gt; 0, N364 / M364, 0), CONVERT(Q364, L364, "l"))), 0)</f>
        <v>0</v>
      </c>
      <c r="T364" s="47">
        <f>recipe04TotScale * IF(AND(R364 = 0, S364 = 0, J364 = "", L364 = ""), Q364, 0)</f>
        <v>7.25</v>
      </c>
      <c r="V364" s="44" t="b">
        <f>INDEX(itemPrepMethods, MATCH(K364, itemNames, 0))="chop"</f>
        <v>1</v>
      </c>
      <c r="W364" s="57">
        <f>IF(V364, Q364, "")</f>
        <v>7.25</v>
      </c>
      <c r="X364" s="58" t="str">
        <f>IF(V364, IF(L364 = "", "", L364), "")</f>
        <v/>
      </c>
      <c r="Y364" s="58" t="str">
        <f>IF(V364, K364, "")</f>
        <v>sliced silverbeet leaves</v>
      </c>
      <c r="Z364" s="59"/>
      <c r="AA364" s="44" t="b">
        <f>INDEX(itemPrepMethods, MATCH(K364, itemNames, 0))="soak"</f>
        <v>0</v>
      </c>
      <c r="AB364" s="58" t="str">
        <f>IF(AA364, Q364, "")</f>
        <v/>
      </c>
      <c r="AC364" s="58" t="str">
        <f>IF(AA364, IF(L364 = "", "", L364), "")</f>
        <v/>
      </c>
      <c r="AD364" s="58" t="str">
        <f>IF(AA364, K364, "")</f>
        <v/>
      </c>
    </row>
    <row r="365" spans="1:30" x14ac:dyDescent="0.25">
      <c r="A365" s="40" t="s">
        <v>21</v>
      </c>
      <c r="B365" s="52">
        <f t="shared" si="308"/>
        <v>0.75</v>
      </c>
      <c r="C365" s="39" t="str">
        <f>IF(L365="","",L365)</f>
        <v>tbs</v>
      </c>
      <c r="D365" s="40" t="str">
        <f>_xlfn.CONCAT(K365, U365)</f>
        <v>salt</v>
      </c>
      <c r="I365" s="54">
        <v>1.1000000000000001</v>
      </c>
      <c r="J365" s="55" t="s">
        <v>15</v>
      </c>
      <c r="K365" s="55" t="s">
        <v>11</v>
      </c>
      <c r="L365" s="56" t="s">
        <v>15</v>
      </c>
      <c r="M365" s="47">
        <f>INDEX(itemGPerQty, MATCH(K365, itemNames, 0))</f>
        <v>2.5000000000000001E-2</v>
      </c>
      <c r="N365" s="47">
        <f>INDEX(itemMlPerQty, MATCH(K365, itemNames, 0))</f>
        <v>2.2180100000000001E-2</v>
      </c>
      <c r="O365" s="47">
        <f t="shared" si="315"/>
        <v>1.8333372324037089E-2</v>
      </c>
      <c r="P365" s="47">
        <f t="shared" si="316"/>
        <v>1.6265441259374999E-2</v>
      </c>
      <c r="Q365" s="47">
        <f>MROUND(IF(AND(J365 = "", L365 = ""), I365 * recipe04DayScale, IF(ISNA(CONVERT(O365, "kg", L365)), CONVERT(P365 * recipe04DayScale, "l", L365), CONVERT(O365 * recipe04DayScale, "kg", L365))), roundTo)</f>
        <v>0.75</v>
      </c>
      <c r="R365" s="47">
        <f>recipe04TotScale * IF(L365 = "", Q365 * M365, IF(ISNA(CONVERT(Q365, L365, "kg")), CONVERT(Q365, L365, "l") * IF(N365 &lt;&gt; 0, M365 / N365, 0), CONVERT(Q365, L365, "kg")))</f>
        <v>1.2500026584570742E-2</v>
      </c>
      <c r="S365" s="47">
        <f>recipe04TotScale * IF(R365 = 0, IF(L365 = "", Q365 * N365, IF(ISNA(CONVERT(Q365, L365, "l")), CONVERT(Q365, L365, "kg") * IF(M365 &lt;&gt; 0, N365 / M365, 0), CONVERT(Q365, L365, "l"))), 0)</f>
        <v>0</v>
      </c>
      <c r="T365" s="47">
        <f>recipe04TotScale * IF(AND(R365 = 0, S365 = 0, J365 = "", L365 = ""), Q365, 0)</f>
        <v>0</v>
      </c>
      <c r="V365" s="44" t="b">
        <f>INDEX(itemPrepMethods, MATCH(K365, itemNames, 0))="chop"</f>
        <v>0</v>
      </c>
      <c r="W365" s="57" t="str">
        <f>IF(V365, Q365, "")</f>
        <v/>
      </c>
      <c r="X365" s="58" t="str">
        <f>IF(V365, IF(L365 = "", "", L365), "")</f>
        <v/>
      </c>
      <c r="Y365" s="58" t="str">
        <f>IF(V365, K365, "")</f>
        <v/>
      </c>
      <c r="Z365" s="59"/>
      <c r="AA365" s="44" t="b">
        <f>INDEX(itemPrepMethods, MATCH(K365, itemNames, 0))="soak"</f>
        <v>0</v>
      </c>
      <c r="AB365" s="58" t="str">
        <f>IF(AA365, Q365, "")</f>
        <v/>
      </c>
      <c r="AC365" s="58" t="str">
        <f>IF(AA365, IF(L365 = "", "", L365), "")</f>
        <v/>
      </c>
      <c r="AD365" s="58" t="str">
        <f>IF(AA365, K365, "")</f>
        <v/>
      </c>
    </row>
    <row r="366" spans="1:30" ht="15.75" x14ac:dyDescent="0.25">
      <c r="A366" s="112"/>
      <c r="B366" s="112"/>
      <c r="C366" s="112"/>
      <c r="D366" s="112"/>
      <c r="E366" s="42"/>
      <c r="F366" s="42"/>
      <c r="G366" s="47"/>
      <c r="H366" s="47"/>
      <c r="I366" s="63"/>
      <c r="J366" s="42"/>
      <c r="K366" s="42"/>
      <c r="L366" s="64"/>
      <c r="M366" s="63"/>
      <c r="N366" s="63"/>
      <c r="O366" s="63"/>
      <c r="P366" s="63"/>
      <c r="Q366" s="42"/>
      <c r="R366" s="63"/>
      <c r="S366" s="63"/>
      <c r="T366" s="63"/>
      <c r="U366" s="42"/>
      <c r="W366" s="74"/>
      <c r="X366" s="74"/>
      <c r="Y366" s="74"/>
      <c r="Z366" s="74"/>
      <c r="AA366" s="67"/>
      <c r="AB366" s="74"/>
      <c r="AC366" s="74"/>
      <c r="AD366" s="74"/>
    </row>
    <row r="367" spans="1:30" x14ac:dyDescent="0.25">
      <c r="A367" s="111" t="s">
        <v>257</v>
      </c>
      <c r="B367" s="111"/>
      <c r="C367" s="111"/>
      <c r="D367" s="111"/>
      <c r="E367" s="42"/>
      <c r="F367" s="42"/>
      <c r="G367" s="47"/>
      <c r="H367" s="47"/>
      <c r="I367" s="63"/>
      <c r="J367" s="42"/>
      <c r="K367" s="42"/>
      <c r="L367" s="64"/>
      <c r="M367" s="63"/>
      <c r="N367" s="63"/>
      <c r="O367" s="63"/>
      <c r="P367" s="63"/>
      <c r="Q367" s="42"/>
      <c r="R367" s="63"/>
      <c r="S367" s="63"/>
      <c r="T367" s="63"/>
      <c r="U367" s="42"/>
      <c r="W367" s="74"/>
      <c r="X367" s="74"/>
      <c r="Y367" s="74"/>
      <c r="Z367" s="74"/>
      <c r="AA367" s="67"/>
      <c r="AB367" s="74"/>
      <c r="AC367" s="74"/>
      <c r="AD367" s="74"/>
    </row>
    <row r="368" spans="1:30" x14ac:dyDescent="0.25">
      <c r="A368" s="40" t="s">
        <v>21</v>
      </c>
      <c r="B368" s="52">
        <f t="shared" si="308"/>
        <v>1.25</v>
      </c>
      <c r="C368" s="39" t="str">
        <f>IF(L368="","",L368)</f>
        <v/>
      </c>
      <c r="D368" s="40" t="str">
        <f>_xlfn.CONCAT(K368, U368)</f>
        <v>tins coconut cream</v>
      </c>
      <c r="I368" s="54">
        <v>2</v>
      </c>
      <c r="J368" s="55"/>
      <c r="K368" s="55" t="s">
        <v>111</v>
      </c>
      <c r="L368" s="56"/>
      <c r="M368" s="47">
        <f>INDEX(itemGPerQty, MATCH(K368, itemNames, 0))</f>
        <v>0</v>
      </c>
      <c r="N368" s="47">
        <f>INDEX(itemMlPerQty, MATCH(K368, itemNames, 0))</f>
        <v>0</v>
      </c>
      <c r="O368" s="47">
        <f t="shared" ref="O368:O369" si="317">IF(J368 = "", I368 * M368, IF(ISNA(CONVERT(I368, J368, "kg")), CONVERT(I368, J368, "l") * IF(N368 &lt;&gt; 0, M368 / N368, 0), CONVERT(I368, J368, "kg")))</f>
        <v>0</v>
      </c>
      <c r="P368" s="47">
        <f t="shared" ref="P368:P369" si="318">IF(J368 = "", I368 * N368, IF(ISNA(CONVERT(I368, J368, "l")), CONVERT(I368, J368, "kg") * IF(M368 &lt;&gt; 0, N368 / M368, 0), CONVERT(I368, J368, "l")))</f>
        <v>0</v>
      </c>
      <c r="Q368" s="47">
        <f>MROUND(IF(AND(J368 = "", L368 = ""), I368 * recipe04DayScale, IF(ISNA(CONVERT(O368, "kg", L368)), CONVERT(P368 * recipe04DayScale, "l", L368), CONVERT(O368 * recipe04DayScale, "kg", L368))), roundTo)</f>
        <v>1.25</v>
      </c>
      <c r="R368" s="47">
        <f>recipe04TotScale * IF(L368 = "", Q368 * M368, IF(ISNA(CONVERT(Q368, L368, "kg")), CONVERT(Q368, L368, "l") * IF(N368 &lt;&gt; 0, M368 / N368, 0), CONVERT(Q368, L368, "kg")))</f>
        <v>0</v>
      </c>
      <c r="S368" s="47">
        <f>recipe04TotScale * IF(R368 = 0, IF(L368 = "", Q368 * N368, IF(ISNA(CONVERT(Q368, L368, "l")), CONVERT(Q368, L368, "kg") * IF(M368 &lt;&gt; 0, N368 / M368, 0), CONVERT(Q368, L368, "l"))), 0)</f>
        <v>0</v>
      </c>
      <c r="T368" s="47">
        <f>recipe04TotScale * IF(AND(R368 = 0, S368 = 0, J368 = "", L368 = ""), Q368, 0)</f>
        <v>1.25</v>
      </c>
      <c r="V368" s="44" t="b">
        <f>INDEX(itemPrepMethods, MATCH(K368, itemNames, 0))="chop"</f>
        <v>0</v>
      </c>
      <c r="W368" s="57" t="str">
        <f>IF(V368, Q368, "")</f>
        <v/>
      </c>
      <c r="X368" s="58" t="str">
        <f>IF(V368, IF(L368 = "", "", L368), "")</f>
        <v/>
      </c>
      <c r="Y368" s="58" t="str">
        <f>IF(V368, K368, "")</f>
        <v/>
      </c>
      <c r="Z368" s="59"/>
      <c r="AA368" s="44" t="b">
        <f>INDEX(itemPrepMethods, MATCH(K368, itemNames, 0))="soak"</f>
        <v>0</v>
      </c>
      <c r="AB368" s="58" t="str">
        <f>IF(AA368, Q368, "")</f>
        <v/>
      </c>
      <c r="AC368" s="58" t="str">
        <f>IF(AA368, IF(L368 = "", "", L368), "")</f>
        <v/>
      </c>
      <c r="AD368" s="58" t="str">
        <f>IF(AA368, K368, "")</f>
        <v/>
      </c>
    </row>
    <row r="369" spans="1:30" x14ac:dyDescent="0.25">
      <c r="A369" s="40" t="s">
        <v>21</v>
      </c>
      <c r="B369" s="52">
        <f t="shared" si="308"/>
        <v>4</v>
      </c>
      <c r="C369" s="39" t="str">
        <f>IF(L369="","",L369)</f>
        <v/>
      </c>
      <c r="D369" s="40" t="str">
        <f>_xlfn.CONCAT(K369, U369)</f>
        <v>tins chickpeas. Rinse and drain first</v>
      </c>
      <c r="I369" s="54">
        <v>6</v>
      </c>
      <c r="J369" s="54"/>
      <c r="K369" s="54" t="s">
        <v>86</v>
      </c>
      <c r="L369" s="56"/>
      <c r="M369" s="47">
        <f>INDEX(itemGPerQty, MATCH(K369, itemNames, 0))</f>
        <v>0</v>
      </c>
      <c r="N369" s="47">
        <f>INDEX(itemMlPerQty, MATCH(K369, itemNames, 0))</f>
        <v>0</v>
      </c>
      <c r="O369" s="47">
        <f t="shared" si="317"/>
        <v>0</v>
      </c>
      <c r="P369" s="47">
        <f t="shared" si="318"/>
        <v>0</v>
      </c>
      <c r="Q369" s="47">
        <f>MROUND(IF(AND(J369 = "", L369 = ""), I369 * recipe04DayScale, IF(ISNA(CONVERT(O369, "kg", L369)), CONVERT(P369 * recipe04DayScale, "l", L369), CONVERT(O369 * recipe04DayScale, "kg", L369))), roundTo)</f>
        <v>4</v>
      </c>
      <c r="R369" s="47">
        <f>recipe04TotScale * IF(L369 = "", Q369 * M369, IF(ISNA(CONVERT(Q369, L369, "kg")), CONVERT(Q369, L369, "l") * IF(N369 &lt;&gt; 0, M369 / N369, 0), CONVERT(Q369, L369, "kg")))</f>
        <v>0</v>
      </c>
      <c r="S369" s="47">
        <f>recipe04TotScale * IF(R369 = 0, IF(L369 = "", Q369 * N369, IF(ISNA(CONVERT(Q369, L369, "l")), CONVERT(Q369, L369, "kg") * IF(M369 &lt;&gt; 0, N369 / M369, 0), CONVERT(Q369, L369, "l"))), 0)</f>
        <v>0</v>
      </c>
      <c r="T369" s="47">
        <f>recipe04TotScale * IF(AND(R369 = 0, S369 = 0, J369 = "", L369 = ""), Q369, 0)</f>
        <v>4</v>
      </c>
      <c r="U369" s="44" t="s">
        <v>251</v>
      </c>
      <c r="V369" s="44" t="b">
        <f>INDEX(itemPrepMethods, MATCH(K369, itemNames, 0))="chop"</f>
        <v>0</v>
      </c>
      <c r="W369" s="57" t="str">
        <f>IF(V369, Q369, "")</f>
        <v/>
      </c>
      <c r="X369" s="58" t="str">
        <f>IF(V369, IF(L369 = "", "", L369), "")</f>
        <v/>
      </c>
      <c r="Y369" s="58" t="str">
        <f>IF(V369, K369, "")</f>
        <v/>
      </c>
      <c r="Z369" s="59"/>
      <c r="AA369" s="44" t="b">
        <f>INDEX(itemPrepMethods, MATCH(K369, itemNames, 0))="soak"</f>
        <v>0</v>
      </c>
      <c r="AB369" s="58" t="str">
        <f>IF(AA369, Q369, "")</f>
        <v/>
      </c>
      <c r="AC369" s="58" t="str">
        <f>IF(AA369, IF(L369 = "", "", L369), "")</f>
        <v/>
      </c>
      <c r="AD369" s="58" t="str">
        <f>IF(AA369, K369, "")</f>
        <v/>
      </c>
    </row>
    <row r="370" spans="1:30" x14ac:dyDescent="0.25">
      <c r="A370" s="40" t="s">
        <v>21</v>
      </c>
      <c r="B370" s="52"/>
      <c r="C370" s="39" t="str">
        <f>IF(L370="","",L370)</f>
        <v/>
      </c>
      <c r="D370" s="40" t="str">
        <f>_xlfn.CONCAT(K370, U370)</f>
        <v>water, if required</v>
      </c>
      <c r="I370" s="47"/>
      <c r="K370" s="55" t="s">
        <v>48</v>
      </c>
      <c r="L370" s="44"/>
      <c r="M370" s="44"/>
      <c r="N370" s="44"/>
      <c r="O370" s="44"/>
      <c r="P370" s="44"/>
      <c r="U370" s="44" t="s">
        <v>217</v>
      </c>
      <c r="V370" s="44" t="b">
        <f>INDEX(itemPrepMethods, MATCH(K370, itemNames, 0))="chop"</f>
        <v>0</v>
      </c>
      <c r="W370" s="57" t="str">
        <f>IF(V370, Q370, "")</f>
        <v/>
      </c>
      <c r="X370" s="58" t="str">
        <f>IF(V370, IF(L370 = "", "", L370), "")</f>
        <v/>
      </c>
      <c r="Y370" s="58" t="str">
        <f>IF(V370, K370, "")</f>
        <v/>
      </c>
      <c r="Z370" s="59"/>
      <c r="AA370" s="44" t="b">
        <f>INDEX(itemPrepMethods, MATCH(K370, itemNames, 0))="soak"</f>
        <v>0</v>
      </c>
      <c r="AB370" s="58" t="str">
        <f>IF(AA370, Q370, "")</f>
        <v/>
      </c>
      <c r="AC370" s="58" t="str">
        <f>IF(AA370, IF(L370 = "", "", L370), "")</f>
        <v/>
      </c>
      <c r="AD370" s="58" t="str">
        <f>IF(AA370, K370, "")</f>
        <v/>
      </c>
    </row>
    <row r="371" spans="1:30" x14ac:dyDescent="0.25">
      <c r="A371" s="40" t="s">
        <v>21</v>
      </c>
      <c r="B371" s="52"/>
      <c r="C371" s="39" t="str">
        <f>IF(L371="","",L371)</f>
        <v/>
      </c>
      <c r="D371" s="40" t="str">
        <f>_xlfn.CONCAT(K371, U371)</f>
        <v>salt, to taste</v>
      </c>
      <c r="I371" s="47"/>
      <c r="K371" s="55" t="s">
        <v>11</v>
      </c>
      <c r="L371" s="44"/>
      <c r="M371" s="44"/>
      <c r="N371" s="44"/>
      <c r="O371" s="44"/>
      <c r="P371" s="44"/>
      <c r="U371" s="44" t="s">
        <v>216</v>
      </c>
      <c r="V371" s="44" t="b">
        <f>INDEX(itemPrepMethods, MATCH(K371, itemNames, 0))="chop"</f>
        <v>0</v>
      </c>
      <c r="W371" s="57" t="str">
        <f>IF(V371, Q371, "")</f>
        <v/>
      </c>
      <c r="X371" s="58" t="str">
        <f>IF(V371, IF(L371 = "", "", L371), "")</f>
        <v/>
      </c>
      <c r="Y371" s="58" t="str">
        <f>IF(V371, K371, "")</f>
        <v/>
      </c>
      <c r="Z371" s="59"/>
      <c r="AA371" s="44" t="b">
        <f>INDEX(itemPrepMethods, MATCH(K371, itemNames, 0))="soak"</f>
        <v>0</v>
      </c>
      <c r="AB371" s="58" t="str">
        <f>IF(AA371, Q371, "")</f>
        <v/>
      </c>
      <c r="AC371" s="58" t="str">
        <f>IF(AA371, IF(L371 = "", "", L371), "")</f>
        <v/>
      </c>
      <c r="AD371" s="58" t="str">
        <f>IF(AA371, K371, "")</f>
        <v/>
      </c>
    </row>
    <row r="372" spans="1:30" x14ac:dyDescent="0.25">
      <c r="A372" s="40" t="s">
        <v>21</v>
      </c>
      <c r="B372" s="52"/>
      <c r="C372" s="39" t="str">
        <f>IF(L372="","",L372)</f>
        <v/>
      </c>
      <c r="D372" s="40" t="str">
        <f>_xlfn.CONCAT(K372, U372)</f>
        <v>ground black pepper, to taste</v>
      </c>
      <c r="I372" s="47"/>
      <c r="K372" s="55" t="s">
        <v>80</v>
      </c>
      <c r="L372" s="44"/>
      <c r="M372" s="44"/>
      <c r="N372" s="44"/>
      <c r="O372" s="44"/>
      <c r="P372" s="44"/>
      <c r="U372" s="44" t="s">
        <v>216</v>
      </c>
      <c r="V372" s="44" t="b">
        <f>INDEX(itemPrepMethods, MATCH(K372, itemNames, 0))="chop"</f>
        <v>0</v>
      </c>
      <c r="W372" s="57" t="str">
        <f>IF(V372, Q372, "")</f>
        <v/>
      </c>
      <c r="X372" s="58" t="str">
        <f>IF(V372, IF(L372 = "", "", L372), "")</f>
        <v/>
      </c>
      <c r="Y372" s="58" t="str">
        <f>IF(V372, K372, "")</f>
        <v/>
      </c>
      <c r="Z372" s="59"/>
      <c r="AA372" s="44" t="b">
        <f>INDEX(itemPrepMethods, MATCH(K372, itemNames, 0))="soak"</f>
        <v>0</v>
      </c>
      <c r="AB372" s="58" t="str">
        <f>IF(AA372, Q372, "")</f>
        <v/>
      </c>
      <c r="AC372" s="58" t="str">
        <f>IF(AA372, IF(L372 = "", "", L372), "")</f>
        <v/>
      </c>
      <c r="AD372" s="58" t="str">
        <f>IF(AA372, K372, "")</f>
        <v/>
      </c>
    </row>
    <row r="373" spans="1:30" ht="15.75" x14ac:dyDescent="0.25">
      <c r="A373" s="112"/>
      <c r="B373" s="112"/>
      <c r="C373" s="112"/>
      <c r="D373" s="112"/>
      <c r="E373" s="42"/>
      <c r="F373" s="42"/>
      <c r="G373" s="47"/>
      <c r="H373" s="47"/>
      <c r="I373" s="63"/>
      <c r="J373" s="42"/>
      <c r="K373" s="42"/>
      <c r="L373" s="64"/>
      <c r="M373" s="63"/>
      <c r="N373" s="63"/>
      <c r="O373" s="63"/>
      <c r="P373" s="63"/>
      <c r="Q373" s="42"/>
      <c r="R373" s="63"/>
      <c r="S373" s="63"/>
      <c r="T373" s="63"/>
      <c r="U373" s="42"/>
    </row>
    <row r="374" spans="1:30" x14ac:dyDescent="0.25">
      <c r="A374" s="111" t="s">
        <v>258</v>
      </c>
      <c r="B374" s="111"/>
      <c r="C374" s="111"/>
      <c r="D374" s="111"/>
      <c r="E374" s="42"/>
      <c r="F374" s="42"/>
      <c r="G374" s="47"/>
      <c r="H374" s="47"/>
      <c r="I374" s="63"/>
      <c r="J374" s="42"/>
      <c r="K374" s="42"/>
      <c r="L374" s="64"/>
      <c r="M374" s="63"/>
      <c r="N374" s="63"/>
      <c r="O374" s="63"/>
      <c r="P374" s="63"/>
      <c r="Q374" s="42"/>
      <c r="R374" s="63"/>
      <c r="S374" s="63"/>
      <c r="T374" s="63"/>
      <c r="U374" s="42"/>
    </row>
    <row r="375" spans="1:30" ht="15.75" x14ac:dyDescent="0.25">
      <c r="A375" s="110" t="s">
        <v>36</v>
      </c>
      <c r="B375" s="110"/>
      <c r="C375" s="110"/>
      <c r="D375" s="110"/>
      <c r="E375" s="43" t="s">
        <v>142</v>
      </c>
      <c r="F375" s="104" t="s">
        <v>188</v>
      </c>
      <c r="G375" s="104"/>
    </row>
    <row r="376" spans="1:30" ht="24" x14ac:dyDescent="0.2">
      <c r="A376" s="110" t="s">
        <v>43</v>
      </c>
      <c r="B376" s="110"/>
      <c r="C376" s="110"/>
      <c r="D376" s="110"/>
      <c r="E376" s="42" t="s">
        <v>56</v>
      </c>
      <c r="F376" s="90">
        <v>16</v>
      </c>
      <c r="G376" s="47"/>
      <c r="I376" s="70" t="s">
        <v>448</v>
      </c>
      <c r="J376" s="71" t="s">
        <v>449</v>
      </c>
      <c r="K376" s="71" t="s">
        <v>17</v>
      </c>
      <c r="L376" s="72" t="s">
        <v>452</v>
      </c>
      <c r="M376" s="70" t="s">
        <v>148</v>
      </c>
      <c r="N376" s="70" t="s">
        <v>149</v>
      </c>
      <c r="O376" s="70" t="s">
        <v>450</v>
      </c>
      <c r="P376" s="70" t="s">
        <v>451</v>
      </c>
      <c r="Q376" s="71" t="s">
        <v>364</v>
      </c>
      <c r="R376" s="70" t="s">
        <v>365</v>
      </c>
      <c r="S376" s="70" t="s">
        <v>366</v>
      </c>
      <c r="T376" s="70" t="s">
        <v>367</v>
      </c>
      <c r="U376" s="71" t="s">
        <v>22</v>
      </c>
      <c r="V376" s="71" t="s">
        <v>212</v>
      </c>
      <c r="W376" s="73" t="s">
        <v>364</v>
      </c>
      <c r="X376" s="71" t="s">
        <v>210</v>
      </c>
      <c r="Y376" s="71" t="s">
        <v>211</v>
      </c>
      <c r="Z376" s="71" t="s">
        <v>313</v>
      </c>
      <c r="AA376" s="71" t="s">
        <v>213</v>
      </c>
      <c r="AB376" s="73" t="s">
        <v>364</v>
      </c>
      <c r="AC376" s="71" t="s">
        <v>214</v>
      </c>
      <c r="AD376" s="71" t="s">
        <v>215</v>
      </c>
    </row>
    <row r="377" spans="1:30" ht="15.75" thickBot="1" x14ac:dyDescent="0.3">
      <c r="A377" s="111"/>
      <c r="B377" s="111"/>
      <c r="C377" s="111"/>
      <c r="D377" s="111"/>
      <c r="E377" s="66" t="s">
        <v>359</v>
      </c>
      <c r="F377" s="90">
        <f>thDiCount</f>
        <v>10</v>
      </c>
      <c r="G377" s="47"/>
      <c r="I377" s="63"/>
      <c r="J377" s="42"/>
      <c r="K377" s="42"/>
      <c r="L377" s="64"/>
      <c r="M377" s="63"/>
      <c r="N377" s="63"/>
      <c r="O377" s="63"/>
      <c r="P377" s="63"/>
      <c r="Q377" s="42"/>
      <c r="R377" s="63"/>
      <c r="S377" s="63"/>
      <c r="T377" s="63"/>
      <c r="U377" s="42"/>
    </row>
    <row r="378" spans="1:30" ht="15.75" thickBot="1" x14ac:dyDescent="0.3">
      <c r="A378" s="111" t="s">
        <v>168</v>
      </c>
      <c r="B378" s="111"/>
      <c r="C378" s="111"/>
      <c r="D378" s="111"/>
      <c r="E378" s="66" t="s">
        <v>362</v>
      </c>
      <c r="F378" s="50">
        <f>F377/F376</f>
        <v>0.625</v>
      </c>
      <c r="G378" s="51" t="s">
        <v>392</v>
      </c>
      <c r="I378" s="63"/>
      <c r="J378" s="42"/>
      <c r="K378" s="42"/>
      <c r="L378" s="64"/>
      <c r="M378" s="63"/>
      <c r="N378" s="63"/>
      <c r="O378" s="63"/>
      <c r="P378" s="63"/>
      <c r="Q378" s="42"/>
      <c r="R378" s="63"/>
      <c r="S378" s="63"/>
      <c r="T378" s="63"/>
      <c r="U378" s="42"/>
    </row>
    <row r="379" spans="1:30" x14ac:dyDescent="0.25">
      <c r="A379" s="111"/>
      <c r="B379" s="111"/>
      <c r="C379" s="111"/>
      <c r="D379" s="111"/>
      <c r="E379" s="67"/>
      <c r="F379" s="67"/>
      <c r="G379" s="67"/>
      <c r="I379" s="47"/>
    </row>
    <row r="380" spans="1:30" ht="15.75" thickBot="1" x14ac:dyDescent="0.3">
      <c r="A380" s="111" t="s">
        <v>189</v>
      </c>
      <c r="B380" s="111"/>
      <c r="C380" s="111"/>
      <c r="D380" s="111"/>
      <c r="E380" s="66" t="s">
        <v>338</v>
      </c>
      <c r="F380" s="90">
        <f>thDiCount</f>
        <v>10</v>
      </c>
      <c r="G380" s="67"/>
      <c r="I380" s="47"/>
    </row>
    <row r="381" spans="1:30" ht="15.75" thickBot="1" x14ac:dyDescent="0.3">
      <c r="A381" s="40" t="s">
        <v>21</v>
      </c>
      <c r="B381" s="52">
        <f t="shared" ref="B381" si="319">Q381</f>
        <v>1.25</v>
      </c>
      <c r="C381" s="39" t="str">
        <f t="shared" ref="C381" si="320">IF(L381="","",L381)</f>
        <v>cup</v>
      </c>
      <c r="D381" s="40" t="str">
        <f>_xlfn.CONCAT(K381, U381)</f>
        <v>split peas. Soaked by Tenzo the night before. Rinse and drain first</v>
      </c>
      <c r="E381" s="66" t="s">
        <v>363</v>
      </c>
      <c r="F381" s="50">
        <f>F380/F377</f>
        <v>1</v>
      </c>
      <c r="G381" s="51" t="s">
        <v>393</v>
      </c>
      <c r="I381" s="62">
        <v>2</v>
      </c>
      <c r="J381" s="55" t="s">
        <v>16</v>
      </c>
      <c r="K381" s="55" t="s">
        <v>7</v>
      </c>
      <c r="L381" s="56" t="s">
        <v>16</v>
      </c>
      <c r="M381" s="47">
        <f>INDEX(itemGPerQty, MATCH(K381, itemNames, 0))</f>
        <v>0.84699999999999998</v>
      </c>
      <c r="N381" s="47">
        <f>INDEX(itemMlPerQty, MATCH(K381, itemNames, 0))</f>
        <v>0.946353</v>
      </c>
      <c r="O381" s="47">
        <f>IF(J381 = "", I381 * M381, IF(ISNA(CONVERT(I381, J381, "kg")), CONVERT(I381, J381, "l") * IF(N381 &lt;&gt; 0, M381 / N381, 0), CONVERT(I381, J381, "kg")))</f>
        <v>0.4234999758345987</v>
      </c>
      <c r="P381" s="47">
        <f>IF(J381 = "", I381 * N381, IF(ISNA(CONVERT(I381, J381, "l")), CONVERT(I381, J381, "kg") * IF(M381 &lt;&gt; 0, N381 / M381, 0), CONVERT(I381, J381, "l")))</f>
        <v>0.47317647299999999</v>
      </c>
      <c r="Q381" s="47">
        <f>MROUND(IF(AND(J381 = "", L381 = ""), I381 * recipe11DayScale, IF(ISNA(CONVERT(O381, "kg", L381)), CONVERT(P381 * recipe11DayScale, "l", L381), CONVERT(O381 * recipe11DayScale, "kg", L381))), roundTo)</f>
        <v>1.25</v>
      </c>
      <c r="R381" s="47">
        <f>recipe11TotScale * IF(L381 = "", Q381 * M381, IF(ISNA(CONVERT(Q381, L381, "kg")), CONVERT(Q381, L381, "l") * IF(N381 &lt;&gt; 0, M381 / N381, 0), CONVERT(Q381, L381, "kg")))</f>
        <v>0.26468748489662419</v>
      </c>
      <c r="S381" s="47">
        <f>recipe11TotScale * IF(R381 = 0, IF(L381 = "", Q381 * N381, IF(ISNA(CONVERT(Q381, L381, "l")), CONVERT(Q381, L381, "kg") * IF(M381 &lt;&gt; 0, N381 / M381, 0), CONVERT(Q381, L381, "l"))), 0)</f>
        <v>0</v>
      </c>
      <c r="T381" s="47">
        <f>recipe11TotScale * IF(AND(R381 = 0, S381 = 0, J381 = "", L381 = ""), Q381, 0)</f>
        <v>0</v>
      </c>
      <c r="U381" s="44" t="s">
        <v>244</v>
      </c>
      <c r="V381" s="44" t="b">
        <f>INDEX(itemPrepMethods, MATCH(K381, itemNames, 0))="chop"</f>
        <v>0</v>
      </c>
      <c r="W381" s="57" t="str">
        <f>IF(V381, Q381, "")</f>
        <v/>
      </c>
      <c r="X381" s="58" t="str">
        <f>IF(V381, IF(L381 = "", "", L381), "")</f>
        <v/>
      </c>
      <c r="Y381" s="58" t="str">
        <f>IF(V381, K381, "")</f>
        <v/>
      </c>
      <c r="Z381" s="59"/>
      <c r="AA381" s="44" t="b">
        <f>INDEX(itemPrepMethods, MATCH(K381, itemNames, 0))="soak"</f>
        <v>1</v>
      </c>
      <c r="AB381" s="58">
        <f>IF(AA381, Q381, "")</f>
        <v>1.25</v>
      </c>
      <c r="AC381" s="58" t="str">
        <f>IF(AA381, IF(L381 = "", "", L381), "")</f>
        <v>cup</v>
      </c>
      <c r="AD381" s="58" t="str">
        <f>IF(AA381, K381, "")</f>
        <v>split peas</v>
      </c>
    </row>
    <row r="382" spans="1:30" x14ac:dyDescent="0.25">
      <c r="A382" s="111"/>
      <c r="B382" s="111"/>
      <c r="C382" s="111"/>
      <c r="D382" s="111"/>
      <c r="I382" s="47"/>
      <c r="W382" s="74"/>
      <c r="X382" s="75"/>
      <c r="Y382" s="75"/>
      <c r="Z382" s="76"/>
      <c r="AB382" s="74"/>
      <c r="AC382" s="74"/>
      <c r="AD382" s="74"/>
    </row>
    <row r="383" spans="1:30" x14ac:dyDescent="0.25">
      <c r="A383" s="111" t="s">
        <v>302</v>
      </c>
      <c r="B383" s="111"/>
      <c r="C383" s="111"/>
      <c r="D383" s="111"/>
      <c r="I383" s="47"/>
      <c r="W383" s="74"/>
      <c r="X383" s="75"/>
      <c r="Y383" s="75"/>
      <c r="Z383" s="76"/>
      <c r="AB383" s="74"/>
      <c r="AC383" s="74"/>
      <c r="AD383" s="74"/>
    </row>
    <row r="384" spans="1:30" x14ac:dyDescent="0.25">
      <c r="A384" s="40" t="s">
        <v>21</v>
      </c>
      <c r="B384" s="52">
        <f t="shared" ref="B384" si="321">Q384</f>
        <v>6.25</v>
      </c>
      <c r="C384" s="39" t="str">
        <f t="shared" ref="C384" si="322">IF(L384="","",L384)</f>
        <v>tbs</v>
      </c>
      <c r="D384" s="40" t="str">
        <f>_xlfn.CONCAT(K384, U384)</f>
        <v>oil</v>
      </c>
      <c r="I384" s="62">
        <v>10</v>
      </c>
      <c r="J384" s="55" t="s">
        <v>15</v>
      </c>
      <c r="K384" s="55" t="s">
        <v>46</v>
      </c>
      <c r="L384" s="56" t="s">
        <v>15</v>
      </c>
      <c r="M384" s="47">
        <f t="shared" ref="M384:M388" si="323">INDEX(itemGPerQty, MATCH(K384, itemNames, 0))</f>
        <v>0</v>
      </c>
      <c r="N384" s="47">
        <f t="shared" ref="N384:N388" si="324">INDEX(itemMlPerQty, MATCH(K384, itemNames, 0))</f>
        <v>0</v>
      </c>
      <c r="O384" s="47">
        <f t="shared" ref="O384:O388" si="325">IF(J384 = "", I384 * M384, IF(ISNA(CONVERT(I384, J384, "kg")), CONVERT(I384, J384, "l") * IF(N384 &lt;&gt; 0, M384 / N384, 0), CONVERT(I384, J384, "kg")))</f>
        <v>0</v>
      </c>
      <c r="P384" s="47">
        <f t="shared" ref="P384:P388" si="326">IF(J384 = "", I384 * N384, IF(ISNA(CONVERT(I384, J384, "l")), CONVERT(I384, J384, "kg") * IF(M384 &lt;&gt; 0, N384 / M384, 0), CONVERT(I384, J384, "l")))</f>
        <v>0.1478676478125</v>
      </c>
      <c r="Q384" s="47">
        <f>MROUND(IF(AND(J384 = "", L384 = ""), I384 * recipe11DayScale, IF(ISNA(CONVERT(O384, "kg", L384)), CONVERT(P384 * recipe11DayScale, "l", L384), CONVERT(O384 * recipe11DayScale, "kg", L384))), roundTo)</f>
        <v>6.25</v>
      </c>
      <c r="R384" s="47">
        <f>recipe11TotScale * IF(L384 = "", Q384 * M384, IF(ISNA(CONVERT(Q384, L384, "kg")), CONVERT(Q384, L384, "l") * IF(N384 &lt;&gt; 0, M384 / N384, 0), CONVERT(Q384, L384, "kg")))</f>
        <v>0</v>
      </c>
      <c r="S384" s="47">
        <f>recipe11TotScale * IF(R384 = 0, IF(L384 = "", Q384 * N384, IF(ISNA(CONVERT(Q384, L384, "l")), CONVERT(Q384, L384, "kg") * IF(M384 &lt;&gt; 0, N384 / M384, 0), CONVERT(Q384, L384, "l"))), 0)</f>
        <v>9.2417279882812495E-2</v>
      </c>
      <c r="T384" s="47">
        <f>recipe11TotScale * IF(AND(R384 = 0, S384 = 0, J384 = "", L384 = ""), Q384, 0)</f>
        <v>0</v>
      </c>
      <c r="V384" s="44" t="b">
        <f>INDEX(itemPrepMethods, MATCH(K384, itemNames, 0))="chop"</f>
        <v>0</v>
      </c>
      <c r="W384" s="57" t="str">
        <f>IF(V384, Q384, "")</f>
        <v/>
      </c>
      <c r="X384" s="58" t="str">
        <f>IF(V384, IF(L384 = "", "", L384), "")</f>
        <v/>
      </c>
      <c r="Y384" s="58" t="str">
        <f>IF(V384, K384, "")</f>
        <v/>
      </c>
      <c r="Z384" s="59"/>
      <c r="AA384" s="44" t="b">
        <f>INDEX(itemPrepMethods, MATCH(K384, itemNames, 0))="soak"</f>
        <v>0</v>
      </c>
      <c r="AB384" s="58" t="str">
        <f>IF(AA384, Q384, "")</f>
        <v/>
      </c>
      <c r="AC384" s="58" t="str">
        <f>IF(AA384, IF(L384 = "", "", L384), "")</f>
        <v/>
      </c>
      <c r="AD384" s="58" t="str">
        <f>IF(AA384, K384, "")</f>
        <v/>
      </c>
    </row>
    <row r="385" spans="1:30" x14ac:dyDescent="0.25">
      <c r="A385" s="40" t="s">
        <v>21</v>
      </c>
      <c r="B385" s="52">
        <f t="shared" ref="B385:B388" si="327">Q385</f>
        <v>5</v>
      </c>
      <c r="C385" s="39" t="str">
        <f t="shared" ref="C385:C388" si="328">IF(L385="","",L385)</f>
        <v/>
      </c>
      <c r="D385" s="40" t="str">
        <f>_xlfn.CONCAT(K385, U385)</f>
        <v>garlic cloves. Remove from oil once cooked</v>
      </c>
      <c r="I385" s="62">
        <v>8</v>
      </c>
      <c r="J385" s="55"/>
      <c r="K385" s="55" t="s">
        <v>8</v>
      </c>
      <c r="L385" s="56"/>
      <c r="M385" s="47">
        <f t="shared" si="323"/>
        <v>0</v>
      </c>
      <c r="N385" s="47">
        <f t="shared" si="324"/>
        <v>0</v>
      </c>
      <c r="O385" s="47">
        <f t="shared" si="325"/>
        <v>0</v>
      </c>
      <c r="P385" s="47">
        <f t="shared" si="326"/>
        <v>0</v>
      </c>
      <c r="Q385" s="47">
        <f>MROUND(IF(AND(J385 = "", L385 = ""), I385 * recipe11DayScale, IF(ISNA(CONVERT(O385, "kg", L385)), CONVERT(P385 * recipe11DayScale, "l", L385), CONVERT(O385 * recipe11DayScale, "kg", L385))), roundTo)</f>
        <v>5</v>
      </c>
      <c r="R385" s="47">
        <f>recipe11TotScale * IF(L385 = "", Q385 * M385, IF(ISNA(CONVERT(Q385, L385, "kg")), CONVERT(Q385, L385, "l") * IF(N385 &lt;&gt; 0, M385 / N385, 0), CONVERT(Q385, L385, "kg")))</f>
        <v>0</v>
      </c>
      <c r="S385" s="47">
        <f>recipe11TotScale * IF(R385 = 0, IF(L385 = "", Q385 * N385, IF(ISNA(CONVERT(Q385, L385, "l")), CONVERT(Q385, L385, "kg") * IF(M385 &lt;&gt; 0, N385 / M385, 0), CONVERT(Q385, L385, "l"))), 0)</f>
        <v>0</v>
      </c>
      <c r="T385" s="47">
        <f>recipe11TotScale * IF(AND(R385 = 0, S385 = 0, J385 = "", L385 = ""), Q385, 0)</f>
        <v>5</v>
      </c>
      <c r="U385" s="44" t="s">
        <v>243</v>
      </c>
      <c r="V385" s="44" t="b">
        <f>INDEX(itemPrepMethods, MATCH(K385, itemNames, 0))="chop"</f>
        <v>0</v>
      </c>
      <c r="W385" s="57" t="str">
        <f>IF(V385, Q385, "")</f>
        <v/>
      </c>
      <c r="X385" s="58" t="str">
        <f>IF(V385, IF(L385 = "", "", L385), "")</f>
        <v/>
      </c>
      <c r="Y385" s="58" t="str">
        <f>IF(V385, K385, "")</f>
        <v/>
      </c>
      <c r="Z385" s="59"/>
      <c r="AA385" s="44" t="b">
        <f>INDEX(itemPrepMethods, MATCH(K385, itemNames, 0))="soak"</f>
        <v>0</v>
      </c>
      <c r="AB385" s="58" t="str">
        <f>IF(AA385, Q385, "")</f>
        <v/>
      </c>
      <c r="AC385" s="58" t="str">
        <f>IF(AA385, IF(L385 = "", "", L385), "")</f>
        <v/>
      </c>
      <c r="AD385" s="58" t="str">
        <f>IF(AA385, K385, "")</f>
        <v/>
      </c>
    </row>
    <row r="386" spans="1:30" x14ac:dyDescent="0.25">
      <c r="A386" s="40" t="s">
        <v>21</v>
      </c>
      <c r="B386" s="52">
        <f t="shared" si="327"/>
        <v>1.25</v>
      </c>
      <c r="C386" s="39" t="str">
        <f t="shared" si="328"/>
        <v>tbs</v>
      </c>
      <c r="D386" s="40" t="str">
        <f>_xlfn.CONCAT(K386, U386)</f>
        <v>ground turmeric</v>
      </c>
      <c r="I386" s="62">
        <v>2</v>
      </c>
      <c r="J386" s="55" t="s">
        <v>15</v>
      </c>
      <c r="K386" s="55" t="s">
        <v>316</v>
      </c>
      <c r="L386" s="56" t="s">
        <v>15</v>
      </c>
      <c r="M386" s="47">
        <f t="shared" si="323"/>
        <v>1.4E-2</v>
      </c>
      <c r="N386" s="47">
        <f t="shared" si="324"/>
        <v>2.2180100000000001E-2</v>
      </c>
      <c r="O386" s="47">
        <f t="shared" si="325"/>
        <v>1.8666706366292307E-2</v>
      </c>
      <c r="P386" s="47">
        <f t="shared" si="326"/>
        <v>2.9573529562499999E-2</v>
      </c>
      <c r="Q386" s="47">
        <f>MROUND(IF(AND(J386 = "", L386 = ""), I386 * recipe11DayScale, IF(ISNA(CONVERT(O386, "kg", L386)), CONVERT(P386 * recipe11DayScale, "l", L386), CONVERT(O386 * recipe11DayScale, "kg", L386))), roundTo)</f>
        <v>1.25</v>
      </c>
      <c r="R386" s="47">
        <f>recipe11TotScale * IF(L386 = "", Q386 * M386, IF(ISNA(CONVERT(Q386, L386, "kg")), CONVERT(Q386, L386, "l") * IF(N386 &lt;&gt; 0, M386 / N386, 0), CONVERT(Q386, L386, "kg")))</f>
        <v>1.1666691478932692E-2</v>
      </c>
      <c r="S386" s="47">
        <f>recipe11TotScale * IF(R386 = 0, IF(L386 = "", Q386 * N386, IF(ISNA(CONVERT(Q386, L386, "l")), CONVERT(Q386, L386, "kg") * IF(M386 &lt;&gt; 0, N386 / M386, 0), CONVERT(Q386, L386, "l"))), 0)</f>
        <v>0</v>
      </c>
      <c r="T386" s="47">
        <f>recipe11TotScale * IF(AND(R386 = 0, S386 = 0, J386 = "", L386 = ""), Q386, 0)</f>
        <v>0</v>
      </c>
      <c r="V386" s="44" t="b">
        <f>INDEX(itemPrepMethods, MATCH(K386, itemNames, 0))="chop"</f>
        <v>0</v>
      </c>
      <c r="W386" s="57" t="str">
        <f>IF(V386, Q386, "")</f>
        <v/>
      </c>
      <c r="X386" s="58" t="str">
        <f>IF(V386, IF(L386 = "", "", L386), "")</f>
        <v/>
      </c>
      <c r="Y386" s="58" t="str">
        <f>IF(V386, K386, "")</f>
        <v/>
      </c>
      <c r="Z386" s="59"/>
      <c r="AA386" s="44" t="b">
        <f>INDEX(itemPrepMethods, MATCH(K386, itemNames, 0))="soak"</f>
        <v>0</v>
      </c>
      <c r="AB386" s="58" t="str">
        <f>IF(AA386, Q386, "")</f>
        <v/>
      </c>
      <c r="AC386" s="58" t="str">
        <f>IF(AA386, IF(L386 = "", "", L386), "")</f>
        <v/>
      </c>
      <c r="AD386" s="58" t="str">
        <f>IF(AA386, K386, "")</f>
        <v/>
      </c>
    </row>
    <row r="387" spans="1:30" x14ac:dyDescent="0.25">
      <c r="A387" s="40" t="s">
        <v>21</v>
      </c>
      <c r="B387" s="52">
        <f t="shared" si="327"/>
        <v>0.75</v>
      </c>
      <c r="C387" s="39" t="str">
        <f t="shared" si="328"/>
        <v>tbs</v>
      </c>
      <c r="D387" s="40" t="str">
        <f>_xlfn.CONCAT(K387, U387)</f>
        <v>cinnamon</v>
      </c>
      <c r="I387" s="62">
        <v>1</v>
      </c>
      <c r="J387" s="55" t="s">
        <v>15</v>
      </c>
      <c r="K387" s="55" t="s">
        <v>106</v>
      </c>
      <c r="L387" s="56" t="s">
        <v>15</v>
      </c>
      <c r="M387" s="47">
        <f t="shared" si="323"/>
        <v>1.0999999999999999E-2</v>
      </c>
      <c r="N387" s="47">
        <f t="shared" si="324"/>
        <v>2.2180100000000001E-2</v>
      </c>
      <c r="O387" s="47">
        <f t="shared" si="325"/>
        <v>7.3333489296148338E-3</v>
      </c>
      <c r="P387" s="47">
        <f t="shared" si="326"/>
        <v>1.478676478125E-2</v>
      </c>
      <c r="Q387" s="47">
        <f>MROUND(IF(AND(J387 = "", L387 = ""), I387 * recipe11DayScale, IF(ISNA(CONVERT(O387, "kg", L387)), CONVERT(P387 * recipe11DayScale, "l", L387), CONVERT(O387 * recipe11DayScale, "kg", L387))), roundTo)</f>
        <v>0.75</v>
      </c>
      <c r="R387" s="47">
        <f>recipe11TotScale * IF(L387 = "", Q387 * M387, IF(ISNA(CONVERT(Q387, L387, "kg")), CONVERT(Q387, L387, "l") * IF(N387 &lt;&gt; 0, M387 / N387, 0), CONVERT(Q387, L387, "kg")))</f>
        <v>5.5000116972111247E-3</v>
      </c>
      <c r="S387" s="47">
        <f>recipe11TotScale * IF(R387 = 0, IF(L387 = "", Q387 * N387, IF(ISNA(CONVERT(Q387, L387, "l")), CONVERT(Q387, L387, "kg") * IF(M387 &lt;&gt; 0, N387 / M387, 0), CONVERT(Q387, L387, "l"))), 0)</f>
        <v>0</v>
      </c>
      <c r="T387" s="47">
        <f>recipe11TotScale * IF(AND(R387 = 0, S387 = 0, J387 = "", L387 = ""), Q387, 0)</f>
        <v>0</v>
      </c>
      <c r="V387" s="44" t="b">
        <f>INDEX(itemPrepMethods, MATCH(K387, itemNames, 0))="chop"</f>
        <v>0</v>
      </c>
      <c r="W387" s="57" t="str">
        <f>IF(V387, Q387, "")</f>
        <v/>
      </c>
      <c r="X387" s="58" t="str">
        <f>IF(V387, IF(L387 = "", "", L387), "")</f>
        <v/>
      </c>
      <c r="Y387" s="58" t="str">
        <f>IF(V387, K387, "")</f>
        <v/>
      </c>
      <c r="Z387" s="59"/>
      <c r="AA387" s="44" t="b">
        <f>INDEX(itemPrepMethods, MATCH(K387, itemNames, 0))="soak"</f>
        <v>0</v>
      </c>
      <c r="AB387" s="58" t="str">
        <f>IF(AA387, Q387, "")</f>
        <v/>
      </c>
      <c r="AC387" s="58" t="str">
        <f>IF(AA387, IF(L387 = "", "", L387), "")</f>
        <v/>
      </c>
      <c r="AD387" s="58" t="str">
        <f>IF(AA387, K387, "")</f>
        <v/>
      </c>
    </row>
    <row r="388" spans="1:30" x14ac:dyDescent="0.25">
      <c r="A388" s="40" t="s">
        <v>21</v>
      </c>
      <c r="B388" s="52">
        <f t="shared" si="327"/>
        <v>4.5</v>
      </c>
      <c r="C388" s="39" t="str">
        <f t="shared" si="328"/>
        <v>tbs</v>
      </c>
      <c r="D388" s="40" t="str">
        <f>_xlfn.CONCAT(K388, U388)</f>
        <v>minced fresh ginger</v>
      </c>
      <c r="I388" s="62">
        <v>7</v>
      </c>
      <c r="J388" s="55" t="s">
        <v>15</v>
      </c>
      <c r="K388" s="55" t="s">
        <v>231</v>
      </c>
      <c r="L388" s="56" t="s">
        <v>15</v>
      </c>
      <c r="M388" s="47">
        <f t="shared" si="323"/>
        <v>0</v>
      </c>
      <c r="N388" s="47">
        <f t="shared" si="324"/>
        <v>0</v>
      </c>
      <c r="O388" s="47">
        <f t="shared" si="325"/>
        <v>0</v>
      </c>
      <c r="P388" s="47">
        <f t="shared" si="326"/>
        <v>0.10350735346874999</v>
      </c>
      <c r="Q388" s="47">
        <f>MROUND(IF(AND(J388 = "", L388 = ""), I388 * recipe11DayScale, IF(ISNA(CONVERT(O388, "kg", L388)), CONVERT(P388 * recipe11DayScale, "l", L388), CONVERT(O388 * recipe11DayScale, "kg", L388))), roundTo)</f>
        <v>4.5</v>
      </c>
      <c r="R388" s="47">
        <f>recipe11TotScale * IF(L388 = "", Q388 * M388, IF(ISNA(CONVERT(Q388, L388, "kg")), CONVERT(Q388, L388, "l") * IF(N388 &lt;&gt; 0, M388 / N388, 0), CONVERT(Q388, L388, "kg")))</f>
        <v>0</v>
      </c>
      <c r="S388" s="47">
        <f>recipe11TotScale * IF(R388 = 0, IF(L388 = "", Q388 * N388, IF(ISNA(CONVERT(Q388, L388, "l")), CONVERT(Q388, L388, "kg") * IF(M388 &lt;&gt; 0, N388 / M388, 0), CONVERT(Q388, L388, "l"))), 0)</f>
        <v>6.6540441515624993E-2</v>
      </c>
      <c r="T388" s="47">
        <f>recipe11TotScale * IF(AND(R388 = 0, S388 = 0, J388 = "", L388 = ""), Q388, 0)</f>
        <v>0</v>
      </c>
      <c r="V388" s="44" t="b">
        <f>INDEX(itemPrepMethods, MATCH(K388, itemNames, 0))="chop"</f>
        <v>1</v>
      </c>
      <c r="W388" s="57">
        <f>IF(V388, Q388, "")</f>
        <v>4.5</v>
      </c>
      <c r="X388" s="58" t="str">
        <f>IF(V388, IF(L388 = "", "", L388), "")</f>
        <v>tbs</v>
      </c>
      <c r="Y388" s="58" t="str">
        <f>IF(V388, K388, "")</f>
        <v>minced fresh ginger</v>
      </c>
      <c r="Z388" s="59"/>
      <c r="AA388" s="44" t="b">
        <f>INDEX(itemPrepMethods, MATCH(K388, itemNames, 0))="soak"</f>
        <v>0</v>
      </c>
      <c r="AB388" s="58" t="str">
        <f>IF(AA388, Q388, "")</f>
        <v/>
      </c>
      <c r="AC388" s="58" t="str">
        <f>IF(AA388, IF(L388 = "", "", L388), "")</f>
        <v/>
      </c>
      <c r="AD388" s="58" t="str">
        <f>IF(AA388, K388, "")</f>
        <v/>
      </c>
    </row>
    <row r="389" spans="1:30" x14ac:dyDescent="0.25">
      <c r="A389" s="111"/>
      <c r="B389" s="111"/>
      <c r="C389" s="111"/>
      <c r="D389" s="111"/>
      <c r="I389" s="44"/>
      <c r="L389" s="44"/>
      <c r="M389" s="44"/>
      <c r="N389" s="44"/>
      <c r="O389" s="44"/>
      <c r="P389" s="44"/>
      <c r="Q389" s="44"/>
      <c r="T389" s="44"/>
      <c r="W389" s="74"/>
      <c r="X389" s="75"/>
      <c r="Y389" s="75"/>
      <c r="Z389" s="76"/>
      <c r="AB389" s="74"/>
      <c r="AC389" s="74"/>
      <c r="AD389" s="74"/>
    </row>
    <row r="390" spans="1:30" x14ac:dyDescent="0.25">
      <c r="A390" s="111" t="s">
        <v>192</v>
      </c>
      <c r="B390" s="111"/>
      <c r="C390" s="111"/>
      <c r="D390" s="111"/>
      <c r="I390" s="44"/>
      <c r="L390" s="44"/>
      <c r="M390" s="44"/>
      <c r="N390" s="44"/>
      <c r="O390" s="44"/>
      <c r="P390" s="44"/>
      <c r="Q390" s="44"/>
      <c r="T390" s="44"/>
      <c r="W390" s="74"/>
      <c r="X390" s="75"/>
      <c r="Y390" s="75"/>
      <c r="Z390" s="76"/>
      <c r="AB390" s="74"/>
      <c r="AC390" s="74"/>
      <c r="AD390" s="74"/>
    </row>
    <row r="391" spans="1:30" x14ac:dyDescent="0.25">
      <c r="A391" s="40" t="s">
        <v>21</v>
      </c>
      <c r="B391" s="52">
        <f t="shared" ref="B391:B393" si="329">Q391</f>
        <v>1.25</v>
      </c>
      <c r="C391" s="39" t="str">
        <f t="shared" ref="C391:C393" si="330">IF(L391="","",L391)</f>
        <v>l</v>
      </c>
      <c r="D391" s="40" t="str">
        <f>_xlfn.CONCAT(K391, U391)</f>
        <v>water. This soup is thick so DON'T ADD TOO MUCH</v>
      </c>
      <c r="I391" s="62">
        <v>2</v>
      </c>
      <c r="J391" s="55" t="s">
        <v>57</v>
      </c>
      <c r="K391" s="55" t="s">
        <v>48</v>
      </c>
      <c r="L391" s="56" t="s">
        <v>57</v>
      </c>
      <c r="M391" s="47">
        <f>INDEX(itemGPerQty, MATCH(K391, itemNames, 0))</f>
        <v>1</v>
      </c>
      <c r="N391" s="47">
        <f>INDEX(itemMlPerQty, MATCH(K391, itemNames, 0))</f>
        <v>1</v>
      </c>
      <c r="O391" s="47">
        <f t="shared" ref="O391:O394" si="331">IF(J391 = "", I391 * M391, IF(ISNA(CONVERT(I391, J391, "kg")), CONVERT(I391, J391, "l") * IF(N391 &lt;&gt; 0, M391 / N391, 0), CONVERT(I391, J391, "kg")))</f>
        <v>2</v>
      </c>
      <c r="P391" s="47">
        <f t="shared" ref="P391:P394" si="332">IF(J391 = "", I391 * N391, IF(ISNA(CONVERT(I391, J391, "l")), CONVERT(I391, J391, "kg") * IF(M391 &lt;&gt; 0, N391 / M391, 0), CONVERT(I391, J391, "l")))</f>
        <v>2</v>
      </c>
      <c r="Q391" s="47">
        <f>MROUND(IF(AND(J391 = "", L391 = ""), I391 * recipe11DayScale, IF(ISNA(CONVERT(O391, "kg", L391)), CONVERT(P391 * recipe11DayScale, "l", L391), CONVERT(O391 * recipe11DayScale, "kg", L391))), roundTo)</f>
        <v>1.25</v>
      </c>
      <c r="R391" s="47">
        <f>recipe11TotScale * IF(L391 = "", Q391 * M391, IF(ISNA(CONVERT(Q391, L391, "kg")), CONVERT(Q391, L391, "l") * IF(N391 &lt;&gt; 0, M391 / N391, 0), CONVERT(Q391, L391, "kg")))</f>
        <v>1.25</v>
      </c>
      <c r="S391" s="47">
        <f>recipe11TotScale * IF(R391 = 0, IF(L391 = "", Q391 * N391, IF(ISNA(CONVERT(Q391, L391, "l")), CONVERT(Q391, L391, "kg") * IF(M391 &lt;&gt; 0, N391 / M391, 0), CONVERT(Q391, L391, "l"))), 0)</f>
        <v>0</v>
      </c>
      <c r="T391" s="47">
        <f>recipe11TotScale * IF(AND(R391 = 0, S391 = 0, J391 = "", L391 = ""), Q391, 0)</f>
        <v>0</v>
      </c>
      <c r="U391" s="44" t="s">
        <v>301</v>
      </c>
      <c r="V391" s="44" t="b">
        <f>INDEX(itemPrepMethods, MATCH(K391, itemNames, 0))="chop"</f>
        <v>0</v>
      </c>
      <c r="W391" s="57" t="str">
        <f>IF(V391, Q391, "")</f>
        <v/>
      </c>
      <c r="X391" s="58" t="str">
        <f>IF(V391, IF(L391 = "", "", L391), "")</f>
        <v/>
      </c>
      <c r="Y391" s="58" t="str">
        <f>IF(V391, K391, "")</f>
        <v/>
      </c>
      <c r="Z391" s="59"/>
      <c r="AA391" s="44" t="b">
        <f>INDEX(itemPrepMethods, MATCH(K391, itemNames, 0))="soak"</f>
        <v>0</v>
      </c>
      <c r="AB391" s="58" t="str">
        <f>IF(AA391, Q391, "")</f>
        <v/>
      </c>
      <c r="AC391" s="58" t="str">
        <f>IF(AA391, IF(L391 = "", "", L391), "")</f>
        <v/>
      </c>
      <c r="AD391" s="58" t="str">
        <f>IF(AA391, K391, "")</f>
        <v/>
      </c>
    </row>
    <row r="392" spans="1:30" x14ac:dyDescent="0.25">
      <c r="A392" s="40" t="s">
        <v>21</v>
      </c>
      <c r="B392" s="52">
        <f t="shared" si="329"/>
        <v>5</v>
      </c>
      <c r="C392" s="39" t="str">
        <f t="shared" si="330"/>
        <v/>
      </c>
      <c r="D392" s="40" t="str">
        <f>_xlfn.CONCAT(K392, U392)</f>
        <v>chopped potatoes</v>
      </c>
      <c r="I392" s="62">
        <v>8</v>
      </c>
      <c r="J392" s="55"/>
      <c r="K392" s="55" t="s">
        <v>4</v>
      </c>
      <c r="L392" s="56"/>
      <c r="M392" s="47">
        <f>INDEX(itemGPerQty, MATCH(K392, itemNames, 0))</f>
        <v>0.22500000000000001</v>
      </c>
      <c r="N392" s="47">
        <f>INDEX(itemMlPerQty, MATCH(K392, itemNames, 0))</f>
        <v>0.33750000000000002</v>
      </c>
      <c r="O392" s="47">
        <f t="shared" si="331"/>
        <v>1.8</v>
      </c>
      <c r="P392" s="47">
        <f t="shared" si="332"/>
        <v>2.7</v>
      </c>
      <c r="Q392" s="47">
        <f>MROUND(IF(AND(J392 = "", L392 = ""), I392 * recipe11DayScale, IF(ISNA(CONVERT(O392, "kg", L392)), CONVERT(P392 * recipe11DayScale, "l", L392), CONVERT(O392 * recipe11DayScale, "kg", L392))), roundTo)</f>
        <v>5</v>
      </c>
      <c r="R392" s="47">
        <f>recipe11TotScale * IF(L392 = "", Q392 * M392, IF(ISNA(CONVERT(Q392, L392, "kg")), CONVERT(Q392, L392, "l") * IF(N392 &lt;&gt; 0, M392 / N392, 0), CONVERT(Q392, L392, "kg")))</f>
        <v>1.125</v>
      </c>
      <c r="S392" s="47">
        <f>recipe11TotScale * IF(R392 = 0, IF(L392 = "", Q392 * N392, IF(ISNA(CONVERT(Q392, L392, "l")), CONVERT(Q392, L392, "kg") * IF(M392 &lt;&gt; 0, N392 / M392, 0), CONVERT(Q392, L392, "l"))), 0)</f>
        <v>0</v>
      </c>
      <c r="T392" s="47">
        <f>recipe11TotScale * IF(AND(R392 = 0, S392 = 0, J392 = "", L392 = ""), Q392, 0)</f>
        <v>0</v>
      </c>
      <c r="V392" s="44" t="b">
        <f>INDEX(itemPrepMethods, MATCH(K392, itemNames, 0))="chop"</f>
        <v>1</v>
      </c>
      <c r="W392" s="57">
        <f>IF(V392, Q392, "")</f>
        <v>5</v>
      </c>
      <c r="X392" s="58" t="str">
        <f>IF(V392, IF(L392 = "", "", L392), "")</f>
        <v/>
      </c>
      <c r="Y392" s="58" t="str">
        <f>IF(V392, K392, "")</f>
        <v>chopped potatoes</v>
      </c>
      <c r="Z392" s="59"/>
      <c r="AA392" s="44" t="b">
        <f>INDEX(itemPrepMethods, MATCH(K392, itemNames, 0))="soak"</f>
        <v>0</v>
      </c>
      <c r="AB392" s="58" t="str">
        <f>IF(AA392, Q392, "")</f>
        <v/>
      </c>
      <c r="AC392" s="58" t="str">
        <f>IF(AA392, IF(L392 = "", "", L392), "")</f>
        <v/>
      </c>
      <c r="AD392" s="58" t="str">
        <f>IF(AA392, K392, "")</f>
        <v/>
      </c>
    </row>
    <row r="393" spans="1:30" x14ac:dyDescent="0.25">
      <c r="A393" s="40" t="s">
        <v>21</v>
      </c>
      <c r="B393" s="52">
        <f t="shared" si="329"/>
        <v>7</v>
      </c>
      <c r="C393" s="39" t="str">
        <f t="shared" si="330"/>
        <v/>
      </c>
      <c r="D393" s="40" t="str">
        <f>_xlfn.CONCAT(K393, U393)</f>
        <v>chopped celery stalks</v>
      </c>
      <c r="I393" s="62">
        <v>11</v>
      </c>
      <c r="J393" s="55"/>
      <c r="K393" s="55" t="s">
        <v>155</v>
      </c>
      <c r="L393" s="56"/>
      <c r="M393" s="47">
        <f>INDEX(itemGPerQty, MATCH(K393, itemNames, 0))</f>
        <v>0</v>
      </c>
      <c r="N393" s="47">
        <f>INDEX(itemMlPerQty, MATCH(K393, itemNames, 0))</f>
        <v>0</v>
      </c>
      <c r="O393" s="47">
        <f t="shared" si="331"/>
        <v>0</v>
      </c>
      <c r="P393" s="47">
        <f t="shared" si="332"/>
        <v>0</v>
      </c>
      <c r="Q393" s="47">
        <f>MROUND(IF(AND(J393 = "", L393 = ""), I393 * recipe11DayScale, IF(ISNA(CONVERT(O393, "kg", L393)), CONVERT(P393 * recipe11DayScale, "l", L393), CONVERT(O393 * recipe11DayScale, "kg", L393))), roundTo)</f>
        <v>7</v>
      </c>
      <c r="R393" s="47">
        <f>recipe11TotScale * IF(L393 = "", Q393 * M393, IF(ISNA(CONVERT(Q393, L393, "kg")), CONVERT(Q393, L393, "l") * IF(N393 &lt;&gt; 0, M393 / N393, 0), CONVERT(Q393, L393, "kg")))</f>
        <v>0</v>
      </c>
      <c r="S393" s="47">
        <f>recipe11TotScale * IF(R393 = 0, IF(L393 = "", Q393 * N393, IF(ISNA(CONVERT(Q393, L393, "l")), CONVERT(Q393, L393, "kg") * IF(M393 &lt;&gt; 0, N393 / M393, 0), CONVERT(Q393, L393, "l"))), 0)</f>
        <v>0</v>
      </c>
      <c r="T393" s="47">
        <f>recipe11TotScale * IF(AND(R393 = 0, S393 = 0, J393 = "", L393 = ""), Q393, 0)</f>
        <v>7</v>
      </c>
      <c r="V393" s="44" t="b">
        <f>INDEX(itemPrepMethods, MATCH(K393, itemNames, 0))="chop"</f>
        <v>1</v>
      </c>
      <c r="W393" s="57">
        <f>IF(V393, Q393, "")</f>
        <v>7</v>
      </c>
      <c r="X393" s="58" t="str">
        <f>IF(V393, IF(L393 = "", "", L393), "")</f>
        <v/>
      </c>
      <c r="Y393" s="58" t="str">
        <f>IF(V393, K393, "")</f>
        <v>chopped celery stalks</v>
      </c>
      <c r="Z393" s="59"/>
      <c r="AA393" s="44" t="b">
        <f>INDEX(itemPrepMethods, MATCH(K393, itemNames, 0))="soak"</f>
        <v>0</v>
      </c>
      <c r="AB393" s="58" t="str">
        <f>IF(AA393, Q393, "")</f>
        <v/>
      </c>
      <c r="AC393" s="58" t="str">
        <f>IF(AA393, IF(L393 = "", "", L393), "")</f>
        <v/>
      </c>
      <c r="AD393" s="58" t="str">
        <f>IF(AA393, K393, "")</f>
        <v/>
      </c>
    </row>
    <row r="394" spans="1:30" x14ac:dyDescent="0.25">
      <c r="A394" s="40" t="s">
        <v>21</v>
      </c>
      <c r="B394" s="52">
        <f t="shared" ref="B394" si="333">Q394</f>
        <v>7</v>
      </c>
      <c r="C394" s="39" t="str">
        <f t="shared" ref="C394" si="334">IF(L394="","",L394)</f>
        <v/>
      </c>
      <c r="D394" s="40" t="str">
        <f>_xlfn.CONCAT(K394, U394)</f>
        <v>chopped silverbeet leaves</v>
      </c>
      <c r="I394" s="62">
        <v>11</v>
      </c>
      <c r="J394" s="55"/>
      <c r="K394" s="55" t="s">
        <v>191</v>
      </c>
      <c r="L394" s="56"/>
      <c r="M394" s="47">
        <f>INDEX(itemGPerQty, MATCH(K394, itemNames, 0))</f>
        <v>0</v>
      </c>
      <c r="N394" s="47">
        <f>INDEX(itemMlPerQty, MATCH(K394, itemNames, 0))</f>
        <v>0</v>
      </c>
      <c r="O394" s="47">
        <f t="shared" si="331"/>
        <v>0</v>
      </c>
      <c r="P394" s="47">
        <f t="shared" si="332"/>
        <v>0</v>
      </c>
      <c r="Q394" s="47">
        <f>MROUND(IF(AND(J394 = "", L394 = ""), I394 * recipe11DayScale, IF(ISNA(CONVERT(O394, "kg", L394)), CONVERT(P394 * recipe11DayScale, "l", L394), CONVERT(O394 * recipe11DayScale, "kg", L394))), roundTo)</f>
        <v>7</v>
      </c>
      <c r="R394" s="47">
        <f>recipe11TotScale * IF(L394 = "", Q394 * M394, IF(ISNA(CONVERT(Q394, L394, "kg")), CONVERT(Q394, L394, "l") * IF(N394 &lt;&gt; 0, M394 / N394, 0), CONVERT(Q394, L394, "kg")))</f>
        <v>0</v>
      </c>
      <c r="S394" s="47">
        <f>recipe11TotScale * IF(R394 = 0, IF(L394 = "", Q394 * N394, IF(ISNA(CONVERT(Q394, L394, "l")), CONVERT(Q394, L394, "kg") * IF(M394 &lt;&gt; 0, N394 / M394, 0), CONVERT(Q394, L394, "l"))), 0)</f>
        <v>0</v>
      </c>
      <c r="T394" s="47">
        <f>recipe11TotScale * IF(AND(R394 = 0, S394 = 0, J394 = "", L394 = ""), Q394, 0)</f>
        <v>7</v>
      </c>
      <c r="V394" s="44" t="b">
        <f>INDEX(itemPrepMethods, MATCH(K394, itemNames, 0))="chop"</f>
        <v>1</v>
      </c>
      <c r="W394" s="57">
        <f>IF(V394, Q394, "")</f>
        <v>7</v>
      </c>
      <c r="X394" s="58" t="str">
        <f>IF(V394, IF(L394 = "", "", L394), "")</f>
        <v/>
      </c>
      <c r="Y394" s="58" t="str">
        <f>IF(V394, K394, "")</f>
        <v>chopped silverbeet leaves</v>
      </c>
      <c r="Z394" s="59"/>
      <c r="AA394" s="44" t="b">
        <f>INDEX(itemPrepMethods, MATCH(K394, itemNames, 0))="soak"</f>
        <v>0</v>
      </c>
      <c r="AB394" s="58" t="str">
        <f>IF(AA394, Q394, "")</f>
        <v/>
      </c>
      <c r="AC394" s="58" t="str">
        <f>IF(AA394, IF(L394 = "", "", L394), "")</f>
        <v/>
      </c>
      <c r="AD394" s="58" t="str">
        <f>IF(AA394, K394, "")</f>
        <v/>
      </c>
    </row>
    <row r="395" spans="1:30" x14ac:dyDescent="0.25">
      <c r="A395" s="111"/>
      <c r="B395" s="111"/>
      <c r="C395" s="111"/>
      <c r="D395" s="111"/>
      <c r="I395" s="47"/>
      <c r="L395" s="44"/>
      <c r="M395" s="44"/>
      <c r="N395" s="44"/>
      <c r="W395" s="74"/>
      <c r="X395" s="75"/>
      <c r="Y395" s="75"/>
      <c r="Z395" s="76"/>
      <c r="AB395" s="74"/>
      <c r="AC395" s="74"/>
      <c r="AD395" s="74"/>
    </row>
    <row r="396" spans="1:30" x14ac:dyDescent="0.25">
      <c r="A396" s="111" t="s">
        <v>161</v>
      </c>
      <c r="B396" s="111"/>
      <c r="C396" s="111"/>
      <c r="D396" s="111"/>
      <c r="I396" s="47"/>
      <c r="L396" s="44"/>
      <c r="M396" s="44"/>
      <c r="N396" s="44"/>
      <c r="W396" s="74"/>
      <c r="X396" s="75"/>
      <c r="Y396" s="75"/>
      <c r="Z396" s="76"/>
      <c r="AB396" s="74"/>
      <c r="AC396" s="74"/>
      <c r="AD396" s="74"/>
    </row>
    <row r="397" spans="1:30" x14ac:dyDescent="0.25">
      <c r="A397" s="40" t="s">
        <v>21</v>
      </c>
      <c r="B397" s="52">
        <f t="shared" ref="B397" si="335">Q397</f>
        <v>1.25</v>
      </c>
      <c r="C397" s="39" t="str">
        <f t="shared" ref="C397:C398" si="336">IF(L397="","",L397)</f>
        <v/>
      </c>
      <c r="D397" s="40" t="str">
        <f>_xlfn.CONCAT(K397, U397)</f>
        <v>tins coconut cream</v>
      </c>
      <c r="I397" s="62">
        <v>2</v>
      </c>
      <c r="J397" s="55"/>
      <c r="K397" s="55" t="s">
        <v>111</v>
      </c>
      <c r="L397" s="56"/>
      <c r="M397" s="47">
        <f>INDEX(itemGPerQty, MATCH(K397, itemNames, 0))</f>
        <v>0</v>
      </c>
      <c r="N397" s="47">
        <f>INDEX(itemMlPerQty, MATCH(K397, itemNames, 0))</f>
        <v>0</v>
      </c>
      <c r="O397" s="47">
        <f>IF(J397 = "", I397 * M397, IF(ISNA(CONVERT(I397, J397, "kg")), CONVERT(I397, J397, "l") * IF(N397 &lt;&gt; 0, M397 / N397, 0), CONVERT(I397, J397, "kg")))</f>
        <v>0</v>
      </c>
      <c r="P397" s="47">
        <f>IF(J397 = "", I397 * N397, IF(ISNA(CONVERT(I397, J397, "l")), CONVERT(I397, J397, "kg") * IF(M397 &lt;&gt; 0, N397 / M397, 0), CONVERT(I397, J397, "l")))</f>
        <v>0</v>
      </c>
      <c r="Q397" s="47">
        <f>MROUND(IF(AND(J397 = "", L397 = ""), I397 * recipe11DayScale, IF(ISNA(CONVERT(O397, "kg", L397)), CONVERT(P397 * recipe11DayScale, "l", L397), CONVERT(O397 * recipe11DayScale, "kg", L397))), roundTo)</f>
        <v>1.25</v>
      </c>
      <c r="R397" s="47">
        <f>recipe11TotScale * IF(L397 = "", Q397 * M397, IF(ISNA(CONVERT(Q397, L397, "kg")), CONVERT(Q397, L397, "l") * IF(N397 &lt;&gt; 0, M397 / N397, 0), CONVERT(Q397, L397, "kg")))</f>
        <v>0</v>
      </c>
      <c r="S397" s="47">
        <f>recipe11TotScale * IF(R397 = 0, IF(L397 = "", Q397 * N397, IF(ISNA(CONVERT(Q397, L397, "l")), CONVERT(Q397, L397, "kg") * IF(M397 &lt;&gt; 0, N397 / M397, 0), CONVERT(Q397, L397, "l"))), 0)</f>
        <v>0</v>
      </c>
      <c r="T397" s="47">
        <f>recipe11TotScale * IF(AND(R397 = 0, S397 = 0, J397 = "", L397 = ""), Q397, 0)</f>
        <v>1.25</v>
      </c>
      <c r="V397" s="44" t="b">
        <f>INDEX(itemPrepMethods, MATCH(K397, itemNames, 0))="chop"</f>
        <v>0</v>
      </c>
      <c r="W397" s="57" t="str">
        <f>IF(V397, Q397, "")</f>
        <v/>
      </c>
      <c r="X397" s="58" t="str">
        <f>IF(V397, IF(L397 = "", "", L397), "")</f>
        <v/>
      </c>
      <c r="Y397" s="58" t="str">
        <f>IF(V397, K397, "")</f>
        <v/>
      </c>
      <c r="Z397" s="59"/>
      <c r="AA397" s="44" t="b">
        <f>INDEX(itemPrepMethods, MATCH(K397, itemNames, 0))="soak"</f>
        <v>0</v>
      </c>
      <c r="AB397" s="58" t="str">
        <f>IF(AA397, Q397, "")</f>
        <v/>
      </c>
      <c r="AC397" s="58" t="str">
        <f>IF(AA397, IF(L397 = "", "", L397), "")</f>
        <v/>
      </c>
      <c r="AD397" s="58" t="str">
        <f>IF(AA397, K397, "")</f>
        <v/>
      </c>
    </row>
    <row r="398" spans="1:30" x14ac:dyDescent="0.25">
      <c r="A398" s="40" t="s">
        <v>21</v>
      </c>
      <c r="B398" s="52"/>
      <c r="C398" s="39" t="str">
        <f t="shared" si="336"/>
        <v/>
      </c>
      <c r="D398" s="40" t="str">
        <f>_xlfn.CONCAT(K398, U398)</f>
        <v>cooked split peas from step 1</v>
      </c>
      <c r="I398" s="47"/>
      <c r="L398" s="44"/>
      <c r="M398" s="44"/>
      <c r="N398" s="44"/>
      <c r="O398" s="44"/>
      <c r="P398" s="44"/>
      <c r="Q398" s="44"/>
      <c r="T398" s="44"/>
      <c r="U398" s="44" t="s">
        <v>241</v>
      </c>
      <c r="W398" s="57"/>
      <c r="X398" s="58"/>
      <c r="Y398" s="58"/>
      <c r="Z398" s="59"/>
      <c r="AB398" s="58"/>
      <c r="AC398" s="58"/>
      <c r="AD398" s="58"/>
    </row>
    <row r="399" spans="1:30" x14ac:dyDescent="0.25">
      <c r="A399" s="40" t="s">
        <v>21</v>
      </c>
      <c r="B399" s="52"/>
      <c r="C399" s="39" t="str">
        <f>IF(L399="","",L399)</f>
        <v/>
      </c>
      <c r="D399" s="40" t="str">
        <f>_xlfn.CONCAT(K399, U399)</f>
        <v>water, if required</v>
      </c>
      <c r="I399" s="47"/>
      <c r="K399" s="55" t="s">
        <v>48</v>
      </c>
      <c r="L399" s="44"/>
      <c r="M399" s="44"/>
      <c r="N399" s="44"/>
      <c r="O399" s="44"/>
      <c r="P399" s="44"/>
      <c r="U399" s="44" t="s">
        <v>217</v>
      </c>
      <c r="V399" s="44" t="b">
        <f>INDEX(itemPrepMethods, MATCH(K399, itemNames, 0))="chop"</f>
        <v>0</v>
      </c>
      <c r="W399" s="57" t="str">
        <f>IF(V399, Q399, "")</f>
        <v/>
      </c>
      <c r="X399" s="58" t="str">
        <f>IF(V399, IF(L399 = "", "", L399), "")</f>
        <v/>
      </c>
      <c r="Y399" s="58" t="str">
        <f>IF(V399, K399, "")</f>
        <v/>
      </c>
      <c r="Z399" s="59"/>
      <c r="AA399" s="44" t="b">
        <f>INDEX(itemPrepMethods, MATCH(K399, itemNames, 0))="soak"</f>
        <v>0</v>
      </c>
      <c r="AB399" s="58" t="str">
        <f>IF(AA399, Q399, "")</f>
        <v/>
      </c>
      <c r="AC399" s="58" t="str">
        <f>IF(AA399, IF(L399 = "", "", L399), "")</f>
        <v/>
      </c>
      <c r="AD399" s="58" t="str">
        <f>IF(AA399, K399, "")</f>
        <v/>
      </c>
    </row>
    <row r="400" spans="1:30" x14ac:dyDescent="0.25">
      <c r="A400" s="40" t="s">
        <v>21</v>
      </c>
      <c r="D400" s="40" t="str">
        <f>_xlfn.CONCAT(K400, U400)</f>
        <v>salt, to taste</v>
      </c>
      <c r="I400" s="47"/>
      <c r="K400" s="55" t="s">
        <v>11</v>
      </c>
      <c r="U400" s="46" t="s">
        <v>216</v>
      </c>
      <c r="V400" s="44" t="b">
        <f>INDEX(itemPrepMethods, MATCH(K400, itemNames, 0))="chop"</f>
        <v>0</v>
      </c>
      <c r="W400" s="57" t="str">
        <f>IF(V400, Q400, "")</f>
        <v/>
      </c>
      <c r="X400" s="58" t="str">
        <f>IF(V400, IF(L400 = "", "", L400), "")</f>
        <v/>
      </c>
      <c r="Y400" s="58" t="str">
        <f>IF(V400, K400, "")</f>
        <v/>
      </c>
      <c r="Z400" s="59"/>
      <c r="AA400" s="44" t="b">
        <f>INDEX(itemPrepMethods, MATCH(K400, itemNames, 0))="soak"</f>
        <v>0</v>
      </c>
      <c r="AB400" s="58" t="str">
        <f>IF(AA400, Q400, "")</f>
        <v/>
      </c>
      <c r="AC400" s="58" t="str">
        <f>IF(AA400, IF(L400 = "", "", L400), "")</f>
        <v/>
      </c>
      <c r="AD400" s="58" t="str">
        <f>IF(AA400, K400, "")</f>
        <v/>
      </c>
    </row>
    <row r="401" spans="1:12" x14ac:dyDescent="0.25">
      <c r="A401" s="111"/>
      <c r="B401" s="111"/>
      <c r="C401" s="111"/>
      <c r="D401" s="111"/>
      <c r="I401" s="44"/>
      <c r="L401" s="44"/>
    </row>
    <row r="402" spans="1:12" x14ac:dyDescent="0.25">
      <c r="A402" s="111" t="s">
        <v>303</v>
      </c>
      <c r="B402" s="111"/>
      <c r="C402" s="111"/>
      <c r="D402" s="111"/>
      <c r="I402" s="44"/>
      <c r="L402" s="44"/>
    </row>
    <row r="403" spans="1:12" ht="15.75" x14ac:dyDescent="0.25">
      <c r="A403" s="112" t="s">
        <v>37</v>
      </c>
      <c r="B403" s="112"/>
      <c r="C403" s="112"/>
      <c r="D403" s="112"/>
    </row>
    <row r="404" spans="1:12" ht="15.75" x14ac:dyDescent="0.25">
      <c r="A404" s="114" t="s">
        <v>44</v>
      </c>
      <c r="B404" s="114"/>
      <c r="C404" s="114"/>
      <c r="D404" s="114"/>
    </row>
    <row r="409" spans="1:12" ht="15.75" x14ac:dyDescent="0.25">
      <c r="A409" s="112" t="s">
        <v>152</v>
      </c>
      <c r="B409" s="112"/>
      <c r="C409" s="112"/>
      <c r="D409" s="112"/>
    </row>
    <row r="411" spans="1:12" x14ac:dyDescent="0.25">
      <c r="C411" s="93" t="s">
        <v>416</v>
      </c>
      <c r="D411" s="40" t="s">
        <v>415</v>
      </c>
    </row>
    <row r="412" spans="1:12" x14ac:dyDescent="0.25">
      <c r="C412" s="93" t="s">
        <v>418</v>
      </c>
      <c r="D412" s="40" t="s">
        <v>417</v>
      </c>
    </row>
    <row r="413" spans="1:12" x14ac:dyDescent="0.25">
      <c r="C413" s="93" t="s">
        <v>419</v>
      </c>
      <c r="D413" s="40" t="s">
        <v>420</v>
      </c>
    </row>
    <row r="414" spans="1:12" x14ac:dyDescent="0.25">
      <c r="C414" s="93" t="s">
        <v>422</v>
      </c>
      <c r="D414" s="40" t="s">
        <v>421</v>
      </c>
    </row>
  </sheetData>
  <mergeCells count="205">
    <mergeCell ref="A382:D382"/>
    <mergeCell ref="A333:D333"/>
    <mergeCell ref="A334:D334"/>
    <mergeCell ref="A43:D43"/>
    <mergeCell ref="A44:D44"/>
    <mergeCell ref="A46:D46"/>
    <mergeCell ref="A47:D47"/>
    <mergeCell ref="A25:D25"/>
    <mergeCell ref="A26:D26"/>
    <mergeCell ref="A31:D31"/>
    <mergeCell ref="A32:D32"/>
    <mergeCell ref="A33:D33"/>
    <mergeCell ref="A37:D37"/>
    <mergeCell ref="A38:D38"/>
    <mergeCell ref="A84:D84"/>
    <mergeCell ref="A101:D101"/>
    <mergeCell ref="A119:D119"/>
    <mergeCell ref="A120:D120"/>
    <mergeCell ref="A124:D124"/>
    <mergeCell ref="A127:D127"/>
    <mergeCell ref="A128:D128"/>
    <mergeCell ref="A154:D154"/>
    <mergeCell ref="A155:D155"/>
    <mergeCell ref="A150:D150"/>
    <mergeCell ref="A151:D151"/>
    <mergeCell ref="A51:D51"/>
    <mergeCell ref="A52:D52"/>
    <mergeCell ref="A53:D53"/>
    <mergeCell ref="A75:D75"/>
    <mergeCell ref="A30:D30"/>
    <mergeCell ref="A186:D186"/>
    <mergeCell ref="A383:D383"/>
    <mergeCell ref="A346:D346"/>
    <mergeCell ref="A377:D377"/>
    <mergeCell ref="A378:D378"/>
    <mergeCell ref="A91:D91"/>
    <mergeCell ref="A92:D92"/>
    <mergeCell ref="A93:D93"/>
    <mergeCell ref="A94:D94"/>
    <mergeCell ref="A96:D96"/>
    <mergeCell ref="A195:D195"/>
    <mergeCell ref="A125:D125"/>
    <mergeCell ref="A357:D357"/>
    <mergeCell ref="A360:D360"/>
    <mergeCell ref="A361:D361"/>
    <mergeCell ref="A226:D226"/>
    <mergeCell ref="A252:D252"/>
    <mergeCell ref="A379:D379"/>
    <mergeCell ref="A380:D380"/>
    <mergeCell ref="A62:D62"/>
    <mergeCell ref="A57:D57"/>
    <mergeCell ref="A61:D61"/>
    <mergeCell ref="A54:D54"/>
    <mergeCell ref="A58:D58"/>
    <mergeCell ref="A73:D73"/>
    <mergeCell ref="A74:D74"/>
    <mergeCell ref="A403:D403"/>
    <mergeCell ref="A376:D376"/>
    <mergeCell ref="A276:D276"/>
    <mergeCell ref="A100:D100"/>
    <mergeCell ref="A309:D309"/>
    <mergeCell ref="A310:D310"/>
    <mergeCell ref="A193:D193"/>
    <mergeCell ref="A224:D224"/>
    <mergeCell ref="A225:D225"/>
    <mergeCell ref="A227:D227"/>
    <mergeCell ref="A230:D230"/>
    <mergeCell ref="A250:D250"/>
    <mergeCell ref="A251:D251"/>
    <mergeCell ref="A366:D366"/>
    <mergeCell ref="A367:D367"/>
    <mergeCell ref="A373:D373"/>
    <mergeCell ref="A374:D374"/>
    <mergeCell ref="A395:D395"/>
    <mergeCell ref="A396:D396"/>
    <mergeCell ref="A401:D401"/>
    <mergeCell ref="A402:D402"/>
    <mergeCell ref="A409:D409"/>
    <mergeCell ref="A162:D162"/>
    <mergeCell ref="A166:D166"/>
    <mergeCell ref="A167:D167"/>
    <mergeCell ref="A404:D404"/>
    <mergeCell ref="A342:D342"/>
    <mergeCell ref="A311:D311"/>
    <mergeCell ref="A316:D316"/>
    <mergeCell ref="A292:D292"/>
    <mergeCell ref="A293:D293"/>
    <mergeCell ref="A295:D295"/>
    <mergeCell ref="A294:D294"/>
    <mergeCell ref="A296:D296"/>
    <mergeCell ref="A297:D297"/>
    <mergeCell ref="A345:D345"/>
    <mergeCell ref="A352:D352"/>
    <mergeCell ref="A389:D389"/>
    <mergeCell ref="A390:D390"/>
    <mergeCell ref="A356:D356"/>
    <mergeCell ref="A353:D353"/>
    <mergeCell ref="A305:D305"/>
    <mergeCell ref="A343:D343"/>
    <mergeCell ref="A344:D344"/>
    <mergeCell ref="A192:D192"/>
    <mergeCell ref="A231:D231"/>
    <mergeCell ref="A234:D234"/>
    <mergeCell ref="A235:D235"/>
    <mergeCell ref="A237:D237"/>
    <mergeCell ref="A238:D238"/>
    <mergeCell ref="A242:D242"/>
    <mergeCell ref="A243:D243"/>
    <mergeCell ref="A312:D312"/>
    <mergeCell ref="A317:D317"/>
    <mergeCell ref="A327:D327"/>
    <mergeCell ref="A326:D326"/>
    <mergeCell ref="A332:D332"/>
    <mergeCell ref="A279:D279"/>
    <mergeCell ref="A281:D281"/>
    <mergeCell ref="A280:D280"/>
    <mergeCell ref="A284:D284"/>
    <mergeCell ref="A285:D285"/>
    <mergeCell ref="A289:D289"/>
    <mergeCell ref="A290:D290"/>
    <mergeCell ref="A298:D298"/>
    <mergeCell ref="A299:D299"/>
    <mergeCell ref="A69:D69"/>
    <mergeCell ref="A153:D153"/>
    <mergeCell ref="A194:D194"/>
    <mergeCell ref="A197:D197"/>
    <mergeCell ref="A131:D131"/>
    <mergeCell ref="A132:D132"/>
    <mergeCell ref="A134:D134"/>
    <mergeCell ref="A138:D138"/>
    <mergeCell ref="A139:D139"/>
    <mergeCell ref="A143:D143"/>
    <mergeCell ref="A144:D144"/>
    <mergeCell ref="A173:D173"/>
    <mergeCell ref="A174:D174"/>
    <mergeCell ref="A180:D180"/>
    <mergeCell ref="A181:D181"/>
    <mergeCell ref="A185:D185"/>
    <mergeCell ref="A136:D136"/>
    <mergeCell ref="A137:D137"/>
    <mergeCell ref="A156:D156"/>
    <mergeCell ref="A161:D161"/>
    <mergeCell ref="A76:D76"/>
    <mergeCell ref="A78:D78"/>
    <mergeCell ref="A79:D79"/>
    <mergeCell ref="A83:D83"/>
    <mergeCell ref="A97:D97"/>
    <mergeCell ref="A99:D99"/>
    <mergeCell ref="A159:D159"/>
    <mergeCell ref="A160:D160"/>
    <mergeCell ref="A375:D375"/>
    <mergeCell ref="A187:D187"/>
    <mergeCell ref="A188:D188"/>
    <mergeCell ref="A207:D207"/>
    <mergeCell ref="A211:D211"/>
    <mergeCell ref="A212:D212"/>
    <mergeCell ref="A308:D308"/>
    <mergeCell ref="A262:D262"/>
    <mergeCell ref="A263:D263"/>
    <mergeCell ref="A264:D264"/>
    <mergeCell ref="A269:D269"/>
    <mergeCell ref="A335:D335"/>
    <mergeCell ref="A341:D341"/>
    <mergeCell ref="A313:D313"/>
    <mergeCell ref="A314:D314"/>
    <mergeCell ref="A270:D270"/>
    <mergeCell ref="A272:D272"/>
    <mergeCell ref="A273:D273"/>
    <mergeCell ref="A277:D277"/>
    <mergeCell ref="A278:D278"/>
    <mergeCell ref="A203:D203"/>
    <mergeCell ref="A204:D204"/>
    <mergeCell ref="A205:D205"/>
    <mergeCell ref="A206:D206"/>
    <mergeCell ref="A102:D102"/>
    <mergeCell ref="A104:D104"/>
    <mergeCell ref="A105:D105"/>
    <mergeCell ref="A109:D109"/>
    <mergeCell ref="A110:D110"/>
    <mergeCell ref="A113:D113"/>
    <mergeCell ref="A114:D114"/>
    <mergeCell ref="A1:D1"/>
    <mergeCell ref="A2:D2"/>
    <mergeCell ref="A3:D3"/>
    <mergeCell ref="A4:D4"/>
    <mergeCell ref="A11:D11"/>
    <mergeCell ref="A12:D12"/>
    <mergeCell ref="A306:D306"/>
    <mergeCell ref="A307:D307"/>
    <mergeCell ref="A13:D13"/>
    <mergeCell ref="A14:D14"/>
    <mergeCell ref="A15:D15"/>
    <mergeCell ref="A16:D16"/>
    <mergeCell ref="A28:D28"/>
    <mergeCell ref="A29:D29"/>
    <mergeCell ref="A267:D267"/>
    <mergeCell ref="A216:D216"/>
    <mergeCell ref="A218:D218"/>
    <mergeCell ref="A222:D222"/>
    <mergeCell ref="A253:D253"/>
    <mergeCell ref="A258:D258"/>
    <mergeCell ref="A259:D259"/>
    <mergeCell ref="A261:D261"/>
    <mergeCell ref="A198:D198"/>
    <mergeCell ref="A202:D202"/>
  </mergeCells>
  <conditionalFormatting sqref="M30:T30 M53:T73 M75:T99 M101:T136 M194:T224 M226:T250 M252:T276 M278:T309 M377:T1048576 M45:T45 M50:T51 M13:T13 M27:T27 M311:T343 M138:T159 M345:T375 M161:T192 M15:T21 Q14:T14 M32:T42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1:T31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2:T52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4:T74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0:T100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37:T137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25:T225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193:T193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51:T251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77:T27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10:T310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76:T376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3:T44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6:T47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49:T49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48:T48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44:T344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0:T160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5:T5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6:T6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7:T7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8:T8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9:T9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76:P376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44:P344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4:P14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1:P31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2:P52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4:P74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0:P100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37:P137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0:P160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193:P193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25:P225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51:P251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77:P27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10:P310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5:K56 K244:K247 K59:K60 K135:L135 L71 K77 K80:K82 K85:K90 K228:K229 K232:K233 K236 K95 K239:K241 L370:L372 L326 L332 L334 L338:L341 K381 K397 K399:L400 L398:T398 K384:K395 K63:K67 K103 K107:K108 K111:K112 K115:K118 K126 K129:K130 K140:K142 K145:K149 L150:L151 K152 K156 K196 L201 K199:K201 K213:K214 K208:K210 K219:L223 K254:K257 K260 K265:K268 K271 L274:L275 K282:K283 K286:K288 K291 K300:K304 K315 K17:K24 K345:K374 K48:K50 M190:T190 L163:U163 K39:K42 K45 K27 K318:K343 K157:L159 L153:L159 K161:K191 L161:L163 L166:L167 L173:L174 L180:L181 L185:L188 L190:L191 K5:K10 K34:K36" xr:uid="{E7201FAD-AA48-42E3-BC0A-8F8918B06E93}">
      <formula1>itemNames</formula1>
    </dataValidation>
    <dataValidation type="list" allowBlank="1" showInputMessage="1" showErrorMessage="1" sqref="J55:J56 L232:L233 L228:L229 L85:L90 L236 L63:L67 L80:L82 L77 L59:L60 J77 L239:L241 J80:J82 J85:J90 L55:L56 J129:J130 J244:J247 J228:J229 J232:J233 L244:L247 J236 J95 J145:J149 J335:J337 L327:L331 J327:J331 J333 L333 L5:L9 L335:L337 L48:L50 J161:J191 L381 J381 J397 L397 J59:J60 J63:J67 L95 L103 J103 J107:J108 L107:L108 L111:L112 J111:J112 L129:L130 L115:L118 J115:J118 J126 L126 J140:J142 L140:L142 L145:L149 J152 L152 L345:L374 J345:J374 L196 J196 J199:J200 L199:L200 J213:J214 L208:L210 J208:J210 L213:L214 J239:J241 L254:L257 J254:J257 J260 L260 L265:L268 J265:J268 L271 J271 L282:L283 J282:J283 L286:L288 J286:J288 J291 L291 J300:J304 L300:L304 J315 L315 J318:J325 L318:L325 J384:J395 L384:L395 J48:J50 J39:J42 L39:L42 L45 J45 L27 J17:J21 J27 J342:J343 L342:L343 L156:L159 J156:J159 L161:L191 J5:J9 L17:L21 L34:L36 J34:J36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29" max="16383" man="1"/>
    <brk id="50" max="16383" man="1"/>
    <brk id="72" max="16383" man="1"/>
    <brk id="98" max="16383" man="1"/>
    <brk id="135" max="16383" man="1"/>
    <brk id="158" max="16383" man="1"/>
    <brk id="191" max="16383" man="1"/>
    <brk id="223" max="16383" man="1"/>
    <brk id="249" max="16383" man="1"/>
    <brk id="275" max="16383" man="1"/>
    <brk id="308" max="16383" man="1"/>
    <brk id="342" max="16383" man="1"/>
    <brk id="374" max="16383" man="1"/>
    <brk id="402" max="16383" man="1"/>
    <brk id="4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198</v>
      </c>
      <c r="B1" t="s">
        <v>312</v>
      </c>
    </row>
    <row r="2" spans="1:2" x14ac:dyDescent="0.25">
      <c r="A2" t="s">
        <v>199</v>
      </c>
    </row>
    <row r="3" spans="1:2" x14ac:dyDescent="0.25">
      <c r="A3" t="s">
        <v>200</v>
      </c>
    </row>
    <row r="4" spans="1:2" x14ac:dyDescent="0.25">
      <c r="A4" t="s">
        <v>201</v>
      </c>
    </row>
    <row r="5" spans="1:2" x14ac:dyDescent="0.25">
      <c r="A5" t="s">
        <v>202</v>
      </c>
    </row>
    <row r="6" spans="1:2" x14ac:dyDescent="0.25">
      <c r="A6" t="s">
        <v>308</v>
      </c>
    </row>
    <row r="7" spans="1:2" x14ac:dyDescent="0.25">
      <c r="A7" t="s">
        <v>309</v>
      </c>
    </row>
    <row r="8" spans="1:2" x14ac:dyDescent="0.25">
      <c r="A8" t="s">
        <v>310</v>
      </c>
    </row>
    <row r="9" spans="1:2" x14ac:dyDescent="0.25">
      <c r="A9" t="s">
        <v>311</v>
      </c>
    </row>
    <row r="10" spans="1:2" x14ac:dyDescent="0.25">
      <c r="A10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7"/>
  <sheetViews>
    <sheetView zoomScale="70" zoomScaleNormal="70" workbookViewId="0">
      <selection activeCell="Q74" sqref="Q74"/>
    </sheetView>
  </sheetViews>
  <sheetFormatPr defaultRowHeight="12.75" x14ac:dyDescent="0.2"/>
  <cols>
    <col min="1" max="1" width="29.7109375" style="1" bestFit="1" customWidth="1"/>
    <col min="2" max="2" width="9.5703125" style="38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150</v>
      </c>
      <c r="B1" s="33" t="s">
        <v>205</v>
      </c>
      <c r="C1" s="12" t="s">
        <v>151</v>
      </c>
      <c r="D1" s="11" t="s">
        <v>55</v>
      </c>
      <c r="E1" s="11" t="s">
        <v>144</v>
      </c>
      <c r="F1" s="11" t="s">
        <v>145</v>
      </c>
      <c r="G1" s="13" t="s">
        <v>146</v>
      </c>
      <c r="H1" s="13" t="s">
        <v>147</v>
      </c>
      <c r="I1" s="13" t="s">
        <v>115</v>
      </c>
      <c r="J1" s="13" t="s">
        <v>116</v>
      </c>
      <c r="K1" s="13" t="s">
        <v>114</v>
      </c>
      <c r="L1" s="94" t="s">
        <v>423</v>
      </c>
      <c r="M1" s="13"/>
      <c r="N1" s="12" t="s">
        <v>209</v>
      </c>
      <c r="P1" s="12" t="s">
        <v>130</v>
      </c>
      <c r="R1" s="12" t="s">
        <v>204</v>
      </c>
    </row>
    <row r="2" spans="1:18" ht="14.25" thickTop="1" thickBot="1" x14ac:dyDescent="0.25">
      <c r="A2" s="17" t="s">
        <v>436</v>
      </c>
      <c r="B2" s="34" t="s">
        <v>206</v>
      </c>
      <c r="C2" s="15" t="s">
        <v>432</v>
      </c>
      <c r="D2" s="108"/>
      <c r="E2" s="108"/>
      <c r="F2" s="108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5">
        <f>COUNTIF(recipes!K:K,A2)</f>
        <v>1</v>
      </c>
      <c r="M2" s="3"/>
      <c r="N2" s="9" t="s">
        <v>16</v>
      </c>
      <c r="P2" s="9">
        <v>0.25</v>
      </c>
      <c r="R2" s="9" t="s">
        <v>206</v>
      </c>
    </row>
    <row r="3" spans="1:18" ht="13.5" thickBot="1" x14ac:dyDescent="0.25">
      <c r="A3" s="18" t="s">
        <v>437</v>
      </c>
      <c r="B3" s="35" t="s">
        <v>206</v>
      </c>
      <c r="C3" s="4" t="s">
        <v>433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6">
        <f>COUNTIF(recipes!K:K,A3)</f>
        <v>1</v>
      </c>
      <c r="M3" s="3"/>
      <c r="N3" s="10" t="s">
        <v>195</v>
      </c>
      <c r="P3" s="8" t="s">
        <v>131</v>
      </c>
      <c r="R3" s="9" t="s">
        <v>207</v>
      </c>
    </row>
    <row r="4" spans="1:18" ht="13.5" thickBot="1" x14ac:dyDescent="0.25">
      <c r="A4" s="18" t="s">
        <v>90</v>
      </c>
      <c r="B4" s="35"/>
      <c r="C4" s="4" t="s">
        <v>90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6">
        <f>COUNTIF(recipes!K:K,A4)</f>
        <v>2</v>
      </c>
      <c r="M4" s="3"/>
      <c r="N4" s="10" t="s">
        <v>0</v>
      </c>
      <c r="R4" s="8" t="s">
        <v>208</v>
      </c>
    </row>
    <row r="5" spans="1:18" x14ac:dyDescent="0.2">
      <c r="A5" s="18" t="s">
        <v>51</v>
      </c>
      <c r="B5" s="35"/>
      <c r="C5" s="4" t="s">
        <v>51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6">
        <f>COUNTIF(recipes!K:K,A5)</f>
        <v>1</v>
      </c>
      <c r="M5" s="3"/>
      <c r="N5" s="10" t="s">
        <v>12</v>
      </c>
    </row>
    <row r="6" spans="1:18" x14ac:dyDescent="0.2">
      <c r="A6" s="18" t="s">
        <v>120</v>
      </c>
      <c r="B6" s="35" t="s">
        <v>206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6">
        <f>COUNTIF(recipes!K:K,A6)</f>
        <v>3</v>
      </c>
      <c r="M6" s="3"/>
      <c r="N6" s="10" t="s">
        <v>57</v>
      </c>
    </row>
    <row r="7" spans="1:18" x14ac:dyDescent="0.2">
      <c r="A7" s="18" t="s">
        <v>5</v>
      </c>
      <c r="B7" s="35" t="s">
        <v>206</v>
      </c>
      <c r="C7" s="4" t="s">
        <v>65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6">
        <f>COUNTIF(recipes!K:K,A7)</f>
        <v>4</v>
      </c>
      <c r="M7" s="3"/>
      <c r="N7" s="10" t="s">
        <v>1</v>
      </c>
    </row>
    <row r="8" spans="1:18" x14ac:dyDescent="0.2">
      <c r="A8" s="18" t="s">
        <v>101</v>
      </c>
      <c r="B8" s="35" t="s">
        <v>206</v>
      </c>
      <c r="C8" s="4" t="s">
        <v>65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6">
        <f>COUNTIF(recipes!K:K,A8)</f>
        <v>3</v>
      </c>
      <c r="M8" s="3"/>
      <c r="N8" s="10" t="s">
        <v>15</v>
      </c>
    </row>
    <row r="9" spans="1:18" x14ac:dyDescent="0.2">
      <c r="A9" s="18" t="s">
        <v>318</v>
      </c>
      <c r="B9" s="35" t="s">
        <v>206</v>
      </c>
      <c r="C9" s="4" t="s">
        <v>65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6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61</v>
      </c>
      <c r="B10" s="35" t="s">
        <v>206</v>
      </c>
      <c r="C10" s="4" t="s">
        <v>65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6">
        <f>COUNTIF(recipes!K:K,A10)</f>
        <v>1</v>
      </c>
      <c r="M10" s="3"/>
      <c r="N10" s="8" t="s">
        <v>54</v>
      </c>
    </row>
    <row r="11" spans="1:18" s="31" customFormat="1" x14ac:dyDescent="0.2">
      <c r="A11" s="18" t="s">
        <v>187</v>
      </c>
      <c r="B11" s="35"/>
      <c r="C11" s="4" t="s">
        <v>187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6">
        <f>COUNTIF(recipes!K:K,A11)</f>
        <v>1</v>
      </c>
      <c r="M11" s="3"/>
      <c r="N11" s="1"/>
    </row>
    <row r="12" spans="1:18" s="31" customFormat="1" x14ac:dyDescent="0.2">
      <c r="A12" s="18" t="s">
        <v>167</v>
      </c>
      <c r="B12" s="35" t="s">
        <v>206</v>
      </c>
      <c r="C12" s="4" t="s">
        <v>164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6">
        <f>COUNTIF(recipes!K:K,A12)</f>
        <v>3</v>
      </c>
      <c r="M12" s="3"/>
    </row>
    <row r="13" spans="1:18" s="31" customFormat="1" x14ac:dyDescent="0.2">
      <c r="A13" s="18" t="s">
        <v>155</v>
      </c>
      <c r="B13" s="35" t="s">
        <v>206</v>
      </c>
      <c r="C13" s="4" t="s">
        <v>64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6">
        <f>COUNTIF(recipes!K:K,A13)</f>
        <v>2</v>
      </c>
      <c r="M13" s="3"/>
    </row>
    <row r="14" spans="1:18" s="31" customFormat="1" x14ac:dyDescent="0.2">
      <c r="A14" s="18" t="s">
        <v>102</v>
      </c>
      <c r="B14" s="35" t="s">
        <v>206</v>
      </c>
      <c r="C14" s="4" t="s">
        <v>64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6">
        <f>COUNTIF(recipes!K:K,A14)</f>
        <v>3</v>
      </c>
      <c r="M14" s="3"/>
    </row>
    <row r="15" spans="1:18" s="31" customFormat="1" x14ac:dyDescent="0.2">
      <c r="A15" s="18" t="s">
        <v>177</v>
      </c>
      <c r="B15" s="35" t="s">
        <v>206</v>
      </c>
      <c r="C15" s="4" t="s">
        <v>64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6">
        <f>COUNTIF(recipes!K:K,A15)</f>
        <v>2</v>
      </c>
      <c r="M15" s="3"/>
    </row>
    <row r="16" spans="1:18" x14ac:dyDescent="0.2">
      <c r="A16" s="18" t="s">
        <v>62</v>
      </c>
      <c r="B16" s="35" t="s">
        <v>206</v>
      </c>
      <c r="C16" s="4" t="s">
        <v>64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6">
        <f>COUNTIF(recipes!K:K,A16)</f>
        <v>1</v>
      </c>
      <c r="M16" s="3"/>
      <c r="N16" s="31"/>
    </row>
    <row r="17" spans="1:13" s="31" customFormat="1" x14ac:dyDescent="0.2">
      <c r="A17" s="18" t="s">
        <v>118</v>
      </c>
      <c r="B17" s="35"/>
      <c r="C17" s="4" t="s">
        <v>118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6">
        <f>COUNTIF(recipes!K:K,A17)</f>
        <v>1</v>
      </c>
      <c r="M17" s="3"/>
    </row>
    <row r="18" spans="1:13" x14ac:dyDescent="0.2">
      <c r="A18" s="18" t="s">
        <v>106</v>
      </c>
      <c r="B18" s="35"/>
      <c r="C18" s="4" t="s">
        <v>106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6">
        <f>COUNTIF(recipes!K:K,A18)</f>
        <v>3</v>
      </c>
      <c r="M18" s="3"/>
    </row>
    <row r="19" spans="1:13" s="31" customFormat="1" x14ac:dyDescent="0.2">
      <c r="A19" s="18" t="s">
        <v>317</v>
      </c>
      <c r="B19" s="35" t="s">
        <v>206</v>
      </c>
      <c r="C19" s="4" t="s">
        <v>163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6">
        <f>COUNTIF(recipes!K:K,A19)</f>
        <v>1</v>
      </c>
      <c r="M19" s="3"/>
    </row>
    <row r="20" spans="1:13" x14ac:dyDescent="0.2">
      <c r="A20" s="18" t="s">
        <v>52</v>
      </c>
      <c r="B20" s="35"/>
      <c r="C20" s="4" t="s">
        <v>52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6">
        <f>COUNTIF(recipes!K:K,A20)</f>
        <v>1</v>
      </c>
      <c r="M20" s="3"/>
    </row>
    <row r="21" spans="1:13" x14ac:dyDescent="0.2">
      <c r="A21" s="18" t="s">
        <v>9</v>
      </c>
      <c r="B21" s="35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6">
        <f>COUNTIF(recipes!K:K,A21)</f>
        <v>2</v>
      </c>
      <c r="M21" s="3"/>
    </row>
    <row r="22" spans="1:13" x14ac:dyDescent="0.2">
      <c r="A22" s="18" t="s">
        <v>75</v>
      </c>
      <c r="B22" s="35"/>
      <c r="C22" s="4" t="s">
        <v>75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6">
        <f>COUNTIF(recipes!K:K,A22)</f>
        <v>2</v>
      </c>
      <c r="M22" s="3"/>
    </row>
    <row r="23" spans="1:13" x14ac:dyDescent="0.2">
      <c r="A23" s="18" t="s">
        <v>105</v>
      </c>
      <c r="B23" s="35"/>
      <c r="C23" s="4" t="s">
        <v>105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6">
        <f>COUNTIF(recipes!K:K,A23)</f>
        <v>1</v>
      </c>
      <c r="M23" s="3"/>
    </row>
    <row r="24" spans="1:13" x14ac:dyDescent="0.2">
      <c r="A24" s="18" t="s">
        <v>287</v>
      </c>
      <c r="B24" s="35"/>
      <c r="C24" s="4" t="s">
        <v>287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6">
        <f>COUNTIF(recipes!K:K,A24)</f>
        <v>1</v>
      </c>
      <c r="M24" s="3"/>
    </row>
    <row r="25" spans="1:13" x14ac:dyDescent="0.2">
      <c r="A25" s="18" t="s">
        <v>98</v>
      </c>
      <c r="B25" s="35" t="s">
        <v>207</v>
      </c>
      <c r="C25" s="4" t="s">
        <v>99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6">
        <f>COUNTIF(recipes!K:K,A25)</f>
        <v>1</v>
      </c>
      <c r="M25" s="3"/>
    </row>
    <row r="26" spans="1:13" s="31" customFormat="1" x14ac:dyDescent="0.2">
      <c r="A26" s="18" t="s">
        <v>45</v>
      </c>
      <c r="B26" s="35" t="s">
        <v>207</v>
      </c>
      <c r="C26" s="4" t="s">
        <v>100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6">
        <f>COUNTIF(recipes!K:K,A26)</f>
        <v>1</v>
      </c>
      <c r="M26" s="3"/>
    </row>
    <row r="27" spans="1:13" s="31" customFormat="1" x14ac:dyDescent="0.2">
      <c r="A27" s="18" t="s">
        <v>289</v>
      </c>
      <c r="B27" s="35"/>
      <c r="C27" s="4" t="s">
        <v>289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6">
        <f>COUNTIF(recipes!K:K,A27)</f>
        <v>1</v>
      </c>
      <c r="M27" s="3"/>
    </row>
    <row r="28" spans="1:13" x14ac:dyDescent="0.2">
      <c r="A28" s="18" t="s">
        <v>7</v>
      </c>
      <c r="B28" s="35" t="s">
        <v>207</v>
      </c>
      <c r="C28" s="4" t="s">
        <v>203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6">
        <f>COUNTIF(recipes!K:K,A28)</f>
        <v>2</v>
      </c>
      <c r="M28" s="3"/>
    </row>
    <row r="29" spans="1:13" s="31" customFormat="1" x14ac:dyDescent="0.2">
      <c r="A29" s="18" t="s">
        <v>83</v>
      </c>
      <c r="B29" s="35" t="s">
        <v>206</v>
      </c>
      <c r="C29" s="4" t="s">
        <v>84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6">
        <f>COUNTIF(recipes!K:K,A29)</f>
        <v>1</v>
      </c>
      <c r="M29" s="3"/>
    </row>
    <row r="30" spans="1:13" x14ac:dyDescent="0.2">
      <c r="A30" s="18" t="s">
        <v>398</v>
      </c>
      <c r="B30" s="35" t="s">
        <v>206</v>
      </c>
      <c r="C30" s="4" t="s">
        <v>79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6">
        <f>COUNTIF(recipes!K:K,A30)</f>
        <v>1</v>
      </c>
      <c r="M30" s="3"/>
    </row>
    <row r="31" spans="1:13" x14ac:dyDescent="0.2">
      <c r="A31" s="18" t="s">
        <v>87</v>
      </c>
      <c r="B31" s="35"/>
      <c r="C31" s="4" t="s">
        <v>79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6">
        <f>COUNTIF(recipes!K:K,A31)</f>
        <v>2</v>
      </c>
      <c r="M31" s="3"/>
    </row>
    <row r="32" spans="1:13" x14ac:dyDescent="0.2">
      <c r="A32" s="18" t="s">
        <v>321</v>
      </c>
      <c r="B32" s="35"/>
      <c r="C32" s="4" t="s">
        <v>321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6">
        <f>COUNTIF(recipes!K:K,A32)</f>
        <v>1</v>
      </c>
      <c r="M32" s="3"/>
    </row>
    <row r="33" spans="1:14" s="31" customFormat="1" x14ac:dyDescent="0.2">
      <c r="A33" s="18" t="s">
        <v>88</v>
      </c>
      <c r="B33" s="35"/>
      <c r="C33" s="4" t="s">
        <v>91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6">
        <f>COUNTIF(recipes!K:K,A33)</f>
        <v>1</v>
      </c>
      <c r="M33" s="3"/>
    </row>
    <row r="34" spans="1:14" s="31" customFormat="1" x14ac:dyDescent="0.2">
      <c r="A34" s="18" t="s">
        <v>320</v>
      </c>
      <c r="B34" s="35"/>
      <c r="C34" s="4" t="s">
        <v>320</v>
      </c>
      <c r="D34" s="4"/>
      <c r="E34" s="4"/>
      <c r="F34" s="4"/>
      <c r="G34" s="3">
        <f t="shared" ref="G34:G65" si="2">IF(D34&lt;&gt;0, E34/D34, 0)</f>
        <v>0</v>
      </c>
      <c r="H34" s="3">
        <f t="shared" ref="H34:H65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6">
        <f>COUNTIF(recipes!K:K,A34)</f>
        <v>1</v>
      </c>
      <c r="M34" s="3"/>
    </row>
    <row r="35" spans="1:14" x14ac:dyDescent="0.2">
      <c r="A35" s="18" t="s">
        <v>89</v>
      </c>
      <c r="B35" s="35"/>
      <c r="C35" s="4" t="s">
        <v>92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6">
        <f>COUNTIF(recipes!K:K,A35)</f>
        <v>1</v>
      </c>
      <c r="M35" s="3"/>
    </row>
    <row r="36" spans="1:14" x14ac:dyDescent="0.2">
      <c r="A36" s="18" t="s">
        <v>10</v>
      </c>
      <c r="B36" s="35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6">
        <f>COUNTIF(recipes!K:K,A36)</f>
        <v>1</v>
      </c>
      <c r="M36" s="3"/>
    </row>
    <row r="37" spans="1:14" x14ac:dyDescent="0.2">
      <c r="A37" s="18" t="s">
        <v>8</v>
      </c>
      <c r="B37" s="35"/>
      <c r="C37" s="4" t="s">
        <v>69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6">
        <f>COUNTIF(recipes!K:K,A37)</f>
        <v>5</v>
      </c>
      <c r="M37" s="3"/>
    </row>
    <row r="38" spans="1:14" x14ac:dyDescent="0.2">
      <c r="A38" s="18" t="s">
        <v>231</v>
      </c>
      <c r="B38" s="35" t="s">
        <v>206</v>
      </c>
      <c r="C38" s="4" t="s">
        <v>70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6">
        <f>COUNTIF(recipes!K:K,A38)</f>
        <v>8</v>
      </c>
      <c r="M38" s="3"/>
    </row>
    <row r="39" spans="1:14" x14ac:dyDescent="0.2">
      <c r="A39" s="18" t="s">
        <v>196</v>
      </c>
      <c r="B39" s="35"/>
      <c r="C39" s="4" t="s">
        <v>196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6">
        <f>COUNTIF(recipes!K:K,A39)</f>
        <v>1</v>
      </c>
      <c r="M39" s="3"/>
    </row>
    <row r="40" spans="1:14" s="31" customFormat="1" x14ac:dyDescent="0.2">
      <c r="A40" s="18" t="s">
        <v>441</v>
      </c>
      <c r="B40" s="35"/>
      <c r="C40" s="4" t="s">
        <v>441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6">
        <f>COUNTIF(recipes!K:K,A40)</f>
        <v>1</v>
      </c>
      <c r="M40" s="3"/>
    </row>
    <row r="41" spans="1:14" x14ac:dyDescent="0.2">
      <c r="A41" s="18" t="s">
        <v>182</v>
      </c>
      <c r="B41" s="35"/>
      <c r="C41" s="4" t="s">
        <v>182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6">
        <f>COUNTIF(recipes!K:K,A41)</f>
        <v>1</v>
      </c>
      <c r="M41" s="3"/>
    </row>
    <row r="42" spans="1:14" x14ac:dyDescent="0.2">
      <c r="A42" s="18" t="s">
        <v>225</v>
      </c>
      <c r="B42" s="35" t="s">
        <v>206</v>
      </c>
      <c r="C42" s="4" t="s">
        <v>165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6">
        <f>COUNTIF(recipes!K:K,A42)</f>
        <v>1</v>
      </c>
      <c r="M42" s="3"/>
    </row>
    <row r="43" spans="1:14" x14ac:dyDescent="0.2">
      <c r="A43" s="18" t="s">
        <v>319</v>
      </c>
      <c r="B43" s="35" t="s">
        <v>206</v>
      </c>
      <c r="C43" s="4" t="s">
        <v>165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6">
        <f>COUNTIF(recipes!K:K,A43)</f>
        <v>1</v>
      </c>
      <c r="M43" s="3"/>
    </row>
    <row r="44" spans="1:14" s="31" customFormat="1" x14ac:dyDescent="0.2">
      <c r="A44" s="18" t="s">
        <v>50</v>
      </c>
      <c r="B44" s="35" t="s">
        <v>206</v>
      </c>
      <c r="C44" s="4" t="s">
        <v>49</v>
      </c>
      <c r="D44" s="4"/>
      <c r="E44" s="4"/>
      <c r="F44" s="4"/>
      <c r="G44" s="3">
        <f t="shared" si="2"/>
        <v>0</v>
      </c>
      <c r="H44" s="3">
        <f t="shared" si="3"/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2.5</v>
      </c>
      <c r="L44" s="96">
        <f>COUNTIF(recipes!K:K,A44)</f>
        <v>1</v>
      </c>
      <c r="M44" s="3"/>
    </row>
    <row r="45" spans="1:14" x14ac:dyDescent="0.2">
      <c r="A45" s="18" t="s">
        <v>80</v>
      </c>
      <c r="B45" s="35"/>
      <c r="C45" s="4" t="s">
        <v>80</v>
      </c>
      <c r="D45" s="4">
        <v>1</v>
      </c>
      <c r="E45" s="4">
        <v>1.0999999999999999E-2</v>
      </c>
      <c r="F45" s="4">
        <v>2.2180100000000001E-2</v>
      </c>
      <c r="G45" s="3">
        <f t="shared" si="2"/>
        <v>1.0999999999999999E-2</v>
      </c>
      <c r="H45" s="3">
        <f t="shared" si="3"/>
        <v>2.2180100000000001E-2</v>
      </c>
      <c r="I45" s="3">
        <f>SUMIF(recipes!K:K,A45,recipes!R:R)</f>
        <v>0</v>
      </c>
      <c r="J45" s="3">
        <f>SUMIF(recipes!K:K,A45,recipes!S:S)</f>
        <v>0</v>
      </c>
      <c r="K45" s="3">
        <f>SUMIF(recipes!K:K,A45,recipes!T:T)</f>
        <v>0</v>
      </c>
      <c r="L45" s="96">
        <f>COUNTIF(recipes!K:K,A45)</f>
        <v>4</v>
      </c>
      <c r="M45" s="3"/>
    </row>
    <row r="46" spans="1:14" s="31" customFormat="1" x14ac:dyDescent="0.2">
      <c r="A46" s="18" t="s">
        <v>156</v>
      </c>
      <c r="B46" s="35"/>
      <c r="C46" s="4" t="s">
        <v>156</v>
      </c>
      <c r="D46" s="4"/>
      <c r="E46" s="4"/>
      <c r="F46" s="4"/>
      <c r="G46" s="3">
        <f t="shared" si="2"/>
        <v>0</v>
      </c>
      <c r="H46" s="3">
        <f t="shared" si="3"/>
        <v>0</v>
      </c>
      <c r="I46" s="3">
        <f>SUMIF(recipes!K:K,A46,recipes!R:R)</f>
        <v>0</v>
      </c>
      <c r="J46" s="3">
        <f>SUMIF(recipes!K:K,A46,recipes!S:S)</f>
        <v>3.3270220757812496E-2</v>
      </c>
      <c r="K46" s="3">
        <f>SUMIF(recipes!K:K,A46,recipes!T:T)</f>
        <v>0</v>
      </c>
      <c r="L46" s="96">
        <f>COUNTIF(recipes!K:K,A46)</f>
        <v>2</v>
      </c>
      <c r="M46" s="3"/>
      <c r="N46" s="1"/>
    </row>
    <row r="47" spans="1:14" s="31" customFormat="1" x14ac:dyDescent="0.2">
      <c r="A47" s="18" t="s">
        <v>14</v>
      </c>
      <c r="B47" s="35"/>
      <c r="C47" s="4" t="s">
        <v>14</v>
      </c>
      <c r="D47" s="4">
        <v>1</v>
      </c>
      <c r="E47" s="4">
        <v>1.0999999999999999E-2</v>
      </c>
      <c r="F47" s="4">
        <v>2.2180100000000001E-2</v>
      </c>
      <c r="G47" s="3">
        <f t="shared" si="2"/>
        <v>1.0999999999999999E-2</v>
      </c>
      <c r="H47" s="3">
        <f t="shared" si="3"/>
        <v>2.2180100000000001E-2</v>
      </c>
      <c r="I47" s="3">
        <f>SUMIF(recipes!K:K,A47,recipes!R:R)</f>
        <v>2.5666721253651922E-2</v>
      </c>
      <c r="J47" s="3">
        <f>SUMIF(recipes!K:K,A47,recipes!S:S)</f>
        <v>0</v>
      </c>
      <c r="K47" s="3">
        <f>SUMIF(recipes!K:K,A47,recipes!T:T)</f>
        <v>0</v>
      </c>
      <c r="L47" s="96">
        <f>COUNTIF(recipes!K:K,A47)</f>
        <v>3</v>
      </c>
      <c r="M47" s="3"/>
    </row>
    <row r="48" spans="1:14" x14ac:dyDescent="0.2">
      <c r="A48" s="18" t="s">
        <v>316</v>
      </c>
      <c r="B48" s="35"/>
      <c r="C48" s="4" t="s">
        <v>316</v>
      </c>
      <c r="D48" s="4">
        <v>1</v>
      </c>
      <c r="E48" s="4">
        <v>1.4E-2</v>
      </c>
      <c r="F48" s="4">
        <v>2.2180100000000001E-2</v>
      </c>
      <c r="G48" s="3">
        <f t="shared" si="2"/>
        <v>1.4E-2</v>
      </c>
      <c r="H48" s="3">
        <f t="shared" si="3"/>
        <v>2.2180100000000001E-2</v>
      </c>
      <c r="I48" s="3">
        <f>SUMIF(recipes!K:K,A48,recipes!R:R)</f>
        <v>6.9222369441667306E-2</v>
      </c>
      <c r="J48" s="3">
        <f>SUMIF(recipes!K:K,A48,recipes!S:S)</f>
        <v>0</v>
      </c>
      <c r="K48" s="3">
        <f>SUMIF(recipes!K:K,A48,recipes!T:T)</f>
        <v>0</v>
      </c>
      <c r="L48" s="96">
        <f>COUNTIF(recipes!K:K,A48)</f>
        <v>6</v>
      </c>
      <c r="M48" s="3"/>
      <c r="N48" s="31"/>
    </row>
    <row r="49" spans="1:14" x14ac:dyDescent="0.2">
      <c r="A49" s="18" t="s">
        <v>158</v>
      </c>
      <c r="B49" s="35" t="s">
        <v>206</v>
      </c>
      <c r="C49" s="4" t="s">
        <v>3</v>
      </c>
      <c r="D49" s="3">
        <v>1</v>
      </c>
      <c r="E49" s="3">
        <v>0.34</v>
      </c>
      <c r="F49" s="6"/>
      <c r="G49" s="3">
        <f t="shared" si="2"/>
        <v>0.34</v>
      </c>
      <c r="H49" s="3">
        <f t="shared" si="3"/>
        <v>0</v>
      </c>
      <c r="I49" s="3">
        <f>SUMIF(recipes!K:K,A49,recipes!R:R)</f>
        <v>7.2249999999999996</v>
      </c>
      <c r="J49" s="3">
        <f>SUMIF(recipes!K:K,A49,recipes!S:S)</f>
        <v>0.70976470949999992</v>
      </c>
      <c r="K49" s="3">
        <f>SUMIF(recipes!K:K,A49,recipes!T:T)</f>
        <v>0</v>
      </c>
      <c r="L49" s="96">
        <f>COUNTIF(recipes!K:K,A49)</f>
        <v>4</v>
      </c>
      <c r="M49" s="3"/>
    </row>
    <row r="50" spans="1:14" x14ac:dyDescent="0.2">
      <c r="A50" s="18" t="s">
        <v>430</v>
      </c>
      <c r="B50" s="35"/>
      <c r="C50" s="4" t="s">
        <v>430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1.925</v>
      </c>
      <c r="L50" s="96">
        <f>COUNTIF(recipes!K:K,A50)</f>
        <v>1</v>
      </c>
      <c r="M50" s="3"/>
    </row>
    <row r="51" spans="1:14" x14ac:dyDescent="0.2">
      <c r="A51" s="18" t="s">
        <v>394</v>
      </c>
      <c r="B51" s="35"/>
      <c r="C51" s="4" t="s">
        <v>162</v>
      </c>
      <c r="D51" s="4"/>
      <c r="E51" s="4"/>
      <c r="F51" s="4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0</v>
      </c>
      <c r="K51" s="3">
        <f>SUMIF(recipes!K:K,A51,recipes!T:T)</f>
        <v>1.25</v>
      </c>
      <c r="L51" s="96">
        <f>COUNTIF(recipes!K:K,A51)</f>
        <v>1</v>
      </c>
      <c r="M51" s="3"/>
    </row>
    <row r="52" spans="1:14" s="31" customFormat="1" x14ac:dyDescent="0.2">
      <c r="A52" s="18" t="s">
        <v>414</v>
      </c>
      <c r="B52" s="35" t="s">
        <v>206</v>
      </c>
      <c r="C52" s="4" t="s">
        <v>166</v>
      </c>
      <c r="D52" s="3">
        <v>1</v>
      </c>
      <c r="E52" s="3">
        <v>0.84399999999999997</v>
      </c>
      <c r="F52" s="3"/>
      <c r="G52" s="3">
        <f t="shared" si="2"/>
        <v>0.84399999999999997</v>
      </c>
      <c r="H52" s="3">
        <f t="shared" si="3"/>
        <v>0</v>
      </c>
      <c r="I52" s="3">
        <f>SUMIF(recipes!K:K,A52,recipes!R:R)</f>
        <v>5.5703999999999994</v>
      </c>
      <c r="J52" s="3">
        <f>SUMIF(recipes!K:K,A52,recipes!S:S)</f>
        <v>0</v>
      </c>
      <c r="K52" s="3">
        <f>SUMIF(recipes!K:K,A52,recipes!T:T)</f>
        <v>0</v>
      </c>
      <c r="L52" s="96">
        <f>COUNTIF(recipes!K:K,A52)</f>
        <v>1</v>
      </c>
      <c r="M52" s="3"/>
    </row>
    <row r="53" spans="1:14" x14ac:dyDescent="0.2">
      <c r="A53" s="18" t="s">
        <v>395</v>
      </c>
      <c r="B53" s="35" t="s">
        <v>206</v>
      </c>
      <c r="C53" s="4" t="s">
        <v>181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0</v>
      </c>
      <c r="K53" s="3">
        <f>SUMIF(recipes!K:K,A53,recipes!T:T)</f>
        <v>3</v>
      </c>
      <c r="L53" s="96">
        <f>COUNTIF(recipes!K:K,A53)</f>
        <v>1</v>
      </c>
      <c r="M53" s="3"/>
    </row>
    <row r="54" spans="1:14" s="31" customFormat="1" x14ac:dyDescent="0.2">
      <c r="A54" s="18" t="s">
        <v>60</v>
      </c>
      <c r="B54" s="35"/>
      <c r="C54" s="4" t="s">
        <v>60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4.8056985539062499E-2</v>
      </c>
      <c r="K54" s="3">
        <f>SUMIF(recipes!K:K,A54,recipes!T:T)</f>
        <v>0</v>
      </c>
      <c r="L54" s="96">
        <f>COUNTIF(recipes!K:K,A54)</f>
        <v>1</v>
      </c>
      <c r="M54" s="3"/>
    </row>
    <row r="55" spans="1:14" s="31" customFormat="1" x14ac:dyDescent="0.2">
      <c r="A55" s="18" t="s">
        <v>76</v>
      </c>
      <c r="B55" s="35"/>
      <c r="C55" s="4" t="s">
        <v>76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6">
        <f>COUNTIF(recipes!K:K,A55)</f>
        <v>1</v>
      </c>
      <c r="M55" s="3"/>
    </row>
    <row r="56" spans="1:14" x14ac:dyDescent="0.2">
      <c r="A56" s="18" t="s">
        <v>46</v>
      </c>
      <c r="B56" s="35"/>
      <c r="C56" s="4" t="s">
        <v>46</v>
      </c>
      <c r="D56" s="4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0.46578309060937501</v>
      </c>
      <c r="K56" s="3">
        <f>SUMIF(recipes!K:K,A56,recipes!T:T)</f>
        <v>0</v>
      </c>
      <c r="L56" s="96">
        <f>COUNTIF(recipes!K:K,A56)</f>
        <v>7</v>
      </c>
      <c r="M56" s="3"/>
      <c r="N56" s="31"/>
    </row>
    <row r="57" spans="1:14" s="31" customFormat="1" x14ac:dyDescent="0.2">
      <c r="A57" s="18" t="s">
        <v>77</v>
      </c>
      <c r="B57" s="35"/>
      <c r="C57" s="4" t="s">
        <v>77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5.9147059124999998E-2</v>
      </c>
      <c r="K57" s="3">
        <f>SUMIF(recipes!K:K,A57,recipes!T:T)</f>
        <v>0</v>
      </c>
      <c r="L57" s="96">
        <f>COUNTIF(recipes!K:K,A57)</f>
        <v>1</v>
      </c>
      <c r="M57" s="3"/>
    </row>
    <row r="58" spans="1:14" x14ac:dyDescent="0.2">
      <c r="A58" s="18" t="s">
        <v>6</v>
      </c>
      <c r="B58" s="35" t="s">
        <v>206</v>
      </c>
      <c r="C58" s="4" t="s">
        <v>66</v>
      </c>
      <c r="D58" s="3">
        <v>2</v>
      </c>
      <c r="E58" s="3">
        <v>0.37</v>
      </c>
      <c r="F58" s="3">
        <v>0.6</v>
      </c>
      <c r="G58" s="3">
        <f t="shared" si="2"/>
        <v>0.185</v>
      </c>
      <c r="H58" s="3">
        <f t="shared" si="3"/>
        <v>0.3</v>
      </c>
      <c r="I58" s="3">
        <f>SUMIF(recipes!K:K,A58,recipes!R:R)</f>
        <v>1.5725000000000002</v>
      </c>
      <c r="J58" s="3">
        <f>SUMIF(recipes!K:K,A58,recipes!S:S)</f>
        <v>0</v>
      </c>
      <c r="K58" s="3">
        <f>SUMIF(recipes!K:K,A58,recipes!T:T)</f>
        <v>0</v>
      </c>
      <c r="L58" s="96">
        <f>COUNTIF(recipes!K:K,A58)</f>
        <v>4</v>
      </c>
      <c r="M58" s="3"/>
    </row>
    <row r="59" spans="1:14" s="31" customFormat="1" x14ac:dyDescent="0.2">
      <c r="A59" s="18" t="s">
        <v>439</v>
      </c>
      <c r="B59" s="35" t="s">
        <v>206</v>
      </c>
      <c r="C59" s="4" t="s">
        <v>435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</v>
      </c>
      <c r="K59" s="3">
        <f>SUMIF(recipes!K:K,A59,recipes!T:T)</f>
        <v>15.4</v>
      </c>
      <c r="L59" s="96">
        <f>COUNTIF(recipes!K:K,A59)</f>
        <v>1</v>
      </c>
      <c r="M59" s="3"/>
    </row>
    <row r="60" spans="1:14" s="31" customFormat="1" x14ac:dyDescent="0.2">
      <c r="A60" s="18" t="s">
        <v>104</v>
      </c>
      <c r="B60" s="35"/>
      <c r="C60" s="4" t="s">
        <v>104</v>
      </c>
      <c r="D60" s="4">
        <v>1</v>
      </c>
      <c r="E60" s="4">
        <v>1.2E-2</v>
      </c>
      <c r="F60" s="4">
        <v>2.2180100000000001E-2</v>
      </c>
      <c r="G60" s="3">
        <f t="shared" si="2"/>
        <v>1.2E-2</v>
      </c>
      <c r="H60" s="3">
        <f t="shared" si="3"/>
        <v>2.2180100000000001E-2</v>
      </c>
      <c r="I60" s="3">
        <f>SUMIF(recipes!K:K,A60,recipes!R:R)</f>
        <v>7.3333489296148356E-3</v>
      </c>
      <c r="J60" s="3">
        <f>SUMIF(recipes!K:K,A60,recipes!S:S)</f>
        <v>0</v>
      </c>
      <c r="K60" s="3">
        <f>SUMIF(recipes!K:K,A60,recipes!T:T)</f>
        <v>0</v>
      </c>
      <c r="L60" s="96">
        <f>COUNTIF(recipes!K:K,A60)</f>
        <v>1</v>
      </c>
      <c r="M60" s="3"/>
    </row>
    <row r="61" spans="1:14" s="31" customFormat="1" x14ac:dyDescent="0.2">
      <c r="A61" s="18" t="s">
        <v>109</v>
      </c>
      <c r="B61" s="35"/>
      <c r="C61" s="4" t="s">
        <v>109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0.70976470949999992</v>
      </c>
      <c r="K61" s="3">
        <f>SUMIF(recipes!K:K,A61,recipes!T:T)</f>
        <v>0</v>
      </c>
      <c r="L61" s="96">
        <f>COUNTIF(recipes!K:K,A61)</f>
        <v>2</v>
      </c>
      <c r="M61" s="3"/>
    </row>
    <row r="62" spans="1:14" s="31" customFormat="1" x14ac:dyDescent="0.2">
      <c r="A62" s="18" t="s">
        <v>121</v>
      </c>
      <c r="B62" s="35"/>
      <c r="C62" s="4" t="s">
        <v>121</v>
      </c>
      <c r="D62" s="4"/>
      <c r="E62" s="4"/>
      <c r="F62" s="4"/>
      <c r="G62" s="3">
        <f t="shared" si="2"/>
        <v>0</v>
      </c>
      <c r="H62" s="3">
        <f t="shared" si="3"/>
        <v>0</v>
      </c>
      <c r="I62" s="3">
        <f>SUMIF(recipes!K:K,A62,recipes!R:R)</f>
        <v>0</v>
      </c>
      <c r="J62" s="3">
        <f>SUMIF(recipes!K:K,A62,recipes!S:S)</f>
        <v>0.23658823649999999</v>
      </c>
      <c r="K62" s="3">
        <f>SUMIF(recipes!K:K,A62,recipes!T:T)</f>
        <v>0</v>
      </c>
      <c r="L62" s="96">
        <f>COUNTIF(recipes!K:K,A62)</f>
        <v>1</v>
      </c>
      <c r="M62" s="3"/>
    </row>
    <row r="63" spans="1:14" s="31" customFormat="1" x14ac:dyDescent="0.2">
      <c r="A63" s="18" t="s">
        <v>438</v>
      </c>
      <c r="B63" s="35" t="s">
        <v>206</v>
      </c>
      <c r="C63" s="4" t="s">
        <v>434</v>
      </c>
      <c r="D63" s="4"/>
      <c r="E63" s="4"/>
      <c r="F63" s="4"/>
      <c r="G63" s="3">
        <f t="shared" si="2"/>
        <v>0</v>
      </c>
      <c r="H63" s="3">
        <f t="shared" si="3"/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15.4</v>
      </c>
      <c r="L63" s="96">
        <f>COUNTIF(recipes!K:K,A63)</f>
        <v>1</v>
      </c>
      <c r="M63" s="3"/>
    </row>
    <row r="64" spans="1:14" x14ac:dyDescent="0.2">
      <c r="A64" s="18" t="s">
        <v>4</v>
      </c>
      <c r="B64" s="35" t="s">
        <v>206</v>
      </c>
      <c r="C64" s="4" t="s">
        <v>67</v>
      </c>
      <c r="D64" s="3">
        <v>4</v>
      </c>
      <c r="E64" s="3">
        <v>0.9</v>
      </c>
      <c r="F64" s="3">
        <v>1.35</v>
      </c>
      <c r="G64" s="3">
        <f t="shared" si="2"/>
        <v>0.22500000000000001</v>
      </c>
      <c r="H64" s="3">
        <f t="shared" si="3"/>
        <v>0.33750000000000002</v>
      </c>
      <c r="I64" s="3">
        <f>SUMIF(recipes!K:K,A64,recipes!R:R)</f>
        <v>4.6749999999999998</v>
      </c>
      <c r="J64" s="3">
        <f>SUMIF(recipes!K:K,A64,recipes!S:S)</f>
        <v>0</v>
      </c>
      <c r="K64" s="3">
        <f>SUMIF(recipes!K:K,A64,recipes!T:T)</f>
        <v>0</v>
      </c>
      <c r="L64" s="96">
        <f>COUNTIF(recipes!K:K,A64)</f>
        <v>3</v>
      </c>
      <c r="M64" s="3"/>
    </row>
    <row r="65" spans="1:14" x14ac:dyDescent="0.2">
      <c r="A65" s="18" t="s">
        <v>399</v>
      </c>
      <c r="B65" s="35" t="s">
        <v>206</v>
      </c>
      <c r="C65" s="4" t="s">
        <v>400</v>
      </c>
      <c r="D65" s="3">
        <v>2</v>
      </c>
      <c r="E65" s="3">
        <v>0.377</v>
      </c>
      <c r="F65" s="3">
        <v>0.5</v>
      </c>
      <c r="G65" s="3">
        <f t="shared" si="2"/>
        <v>0.1885</v>
      </c>
      <c r="H65" s="3">
        <f t="shared" si="3"/>
        <v>0.25</v>
      </c>
      <c r="I65" s="3">
        <f>SUMIF(recipes!K:K,A65,recipes!R:R)</f>
        <v>0.2675812954815</v>
      </c>
      <c r="J65" s="3">
        <f>SUMIF(recipes!K:K,A65,recipes!S:S)</f>
        <v>0</v>
      </c>
      <c r="K65" s="3">
        <f>SUMIF(recipes!K:K,A65,recipes!T:T)</f>
        <v>0</v>
      </c>
      <c r="L65" s="96">
        <f>COUNTIF(recipes!K:K,A65)</f>
        <v>1</v>
      </c>
      <c r="M65" s="3"/>
    </row>
    <row r="66" spans="1:14" x14ac:dyDescent="0.2">
      <c r="A66" s="18" t="s">
        <v>11</v>
      </c>
      <c r="B66" s="35"/>
      <c r="C66" s="4" t="s">
        <v>11</v>
      </c>
      <c r="D66" s="4">
        <v>1</v>
      </c>
      <c r="E66" s="4">
        <v>2.5000000000000001E-2</v>
      </c>
      <c r="F66" s="4">
        <v>2.2180100000000001E-2</v>
      </c>
      <c r="G66" s="3">
        <f t="shared" ref="G66:G96" si="4">IF(D66&lt;&gt;0, E66/D66, 0)</f>
        <v>2.5000000000000001E-2</v>
      </c>
      <c r="H66" s="3">
        <f t="shared" ref="H66:H96" si="5">IF(D66&lt;&gt;0, F66/D66, 0)</f>
        <v>2.2180100000000001E-2</v>
      </c>
      <c r="I66" s="3">
        <f>SUMIF(recipes!K:K,A66,recipes!R:R)</f>
        <v>5.6944565551933383E-2</v>
      </c>
      <c r="J66" s="3">
        <f>SUMIF(recipes!K:K,A66,recipes!S:S)</f>
        <v>0</v>
      </c>
      <c r="K66" s="3">
        <f>SUMIF(recipes!K:K,A66,recipes!T:T)</f>
        <v>0</v>
      </c>
      <c r="L66" s="96">
        <f>COUNTIF(recipes!K:K,A66)</f>
        <v>10</v>
      </c>
      <c r="M66" s="3"/>
    </row>
    <row r="67" spans="1:14" x14ac:dyDescent="0.2">
      <c r="A67" s="18" t="s">
        <v>173</v>
      </c>
      <c r="B67" s="35"/>
      <c r="C67" s="4" t="s">
        <v>173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9.2417279882812495E-2</v>
      </c>
      <c r="K67" s="3">
        <f>SUMIF(recipes!K:K,A67,recipes!T:T)</f>
        <v>0</v>
      </c>
      <c r="L67" s="96">
        <f>COUNTIF(recipes!K:K,A67)</f>
        <v>1</v>
      </c>
      <c r="M67" s="3"/>
    </row>
    <row r="68" spans="1:14" s="31" customFormat="1" x14ac:dyDescent="0.2">
      <c r="A68" s="18" t="s">
        <v>191</v>
      </c>
      <c r="B68" s="35" t="s">
        <v>206</v>
      </c>
      <c r="C68" s="4" t="s">
        <v>93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7</v>
      </c>
      <c r="L68" s="96">
        <f>COUNTIF(recipes!K:K,A68)</f>
        <v>1</v>
      </c>
      <c r="M68" s="3"/>
    </row>
    <row r="69" spans="1:14" x14ac:dyDescent="0.2">
      <c r="A69" s="18" t="s">
        <v>112</v>
      </c>
      <c r="B69" s="35" t="s">
        <v>206</v>
      </c>
      <c r="C69" s="4" t="s">
        <v>93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0</v>
      </c>
      <c r="K69" s="3">
        <f>SUMIF(recipes!K:K,A69,recipes!T:T)</f>
        <v>7.25</v>
      </c>
      <c r="L69" s="96">
        <f>COUNTIF(recipes!K:K,A69)</f>
        <v>1</v>
      </c>
      <c r="M69" s="3"/>
    </row>
    <row r="70" spans="1:14" x14ac:dyDescent="0.2">
      <c r="A70" s="18" t="s">
        <v>94</v>
      </c>
      <c r="B70" s="35" t="s">
        <v>206</v>
      </c>
      <c r="C70" s="4" t="s">
        <v>93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96">
        <f>COUNTIF(recipes!K:K,A70)</f>
        <v>1</v>
      </c>
      <c r="M70" s="3"/>
    </row>
    <row r="71" spans="1:14" x14ac:dyDescent="0.2">
      <c r="A71" s="18" t="s">
        <v>119</v>
      </c>
      <c r="B71" s="35"/>
      <c r="C71" s="4" t="s">
        <v>119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5.9147059124999998E-2</v>
      </c>
      <c r="K71" s="3">
        <f>SUMIF(recipes!K:K,A71,recipes!T:T)</f>
        <v>0</v>
      </c>
      <c r="L71" s="96">
        <f>COUNTIF(recipes!K:K,A71)</f>
        <v>1</v>
      </c>
      <c r="M71" s="3"/>
    </row>
    <row r="72" spans="1:14" s="31" customFormat="1" x14ac:dyDescent="0.2">
      <c r="A72" s="18" t="s">
        <v>296</v>
      </c>
      <c r="B72" s="35"/>
      <c r="C72" s="4" t="s">
        <v>296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0.47317647299999999</v>
      </c>
      <c r="K72" s="3">
        <f>SUMIF(recipes!K:K,A72,recipes!T:T)</f>
        <v>0</v>
      </c>
      <c r="L72" s="96">
        <f>COUNTIF(recipes!K:K,A72)</f>
        <v>1</v>
      </c>
      <c r="M72" s="3"/>
      <c r="N72" s="1"/>
    </row>
    <row r="73" spans="1:14" x14ac:dyDescent="0.2">
      <c r="A73" s="18" t="s">
        <v>404</v>
      </c>
      <c r="B73" s="35" t="s">
        <v>206</v>
      </c>
      <c r="C73" s="4" t="s">
        <v>403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0.35488235474999996</v>
      </c>
      <c r="K73" s="3">
        <f>SUMIF(recipes!K:K,A73,recipes!T:T)</f>
        <v>0</v>
      </c>
      <c r="L73" s="96">
        <f>COUNTIF(recipes!K:K,A73)</f>
        <v>1</v>
      </c>
      <c r="M73" s="3"/>
      <c r="N73" s="31"/>
    </row>
    <row r="74" spans="1:14" x14ac:dyDescent="0.2">
      <c r="A74" s="18" t="s">
        <v>322</v>
      </c>
      <c r="B74" s="35"/>
      <c r="C74" s="4" t="s">
        <v>322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0</v>
      </c>
      <c r="L74" s="96">
        <f>COUNTIF(recipes!K:K,A74)</f>
        <v>1</v>
      </c>
      <c r="M74" s="3"/>
    </row>
    <row r="75" spans="1:14" s="31" customFormat="1" x14ac:dyDescent="0.2">
      <c r="A75" s="18" t="s">
        <v>295</v>
      </c>
      <c r="B75" s="35"/>
      <c r="C75" s="4" t="s">
        <v>295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2.9573529562499999E-2</v>
      </c>
      <c r="K75" s="3">
        <f>SUMIF(recipes!K:K,A75,recipes!T:T)</f>
        <v>0</v>
      </c>
      <c r="L75" s="96">
        <f>COUNTIF(recipes!K:K,A75)</f>
        <v>1</v>
      </c>
      <c r="M75" s="3"/>
      <c r="N75" s="1"/>
    </row>
    <row r="76" spans="1:14" s="31" customFormat="1" x14ac:dyDescent="0.2">
      <c r="A76" s="18" t="s">
        <v>171</v>
      </c>
      <c r="B76" s="35"/>
      <c r="C76" s="4" t="s">
        <v>171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4.4360294343749995E-2</v>
      </c>
      <c r="K76" s="3">
        <f>SUMIF(recipes!K:K,A76,recipes!T:T)</f>
        <v>0</v>
      </c>
      <c r="L76" s="96">
        <f>COUNTIF(recipes!K:K,A76)</f>
        <v>1</v>
      </c>
      <c r="M76" s="3"/>
    </row>
    <row r="77" spans="1:14" x14ac:dyDescent="0.2">
      <c r="A77" s="18" t="s">
        <v>174</v>
      </c>
      <c r="B77" s="35"/>
      <c r="C77" s="4" t="s">
        <v>174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4.4360294343749995E-2</v>
      </c>
      <c r="K77" s="3">
        <f>SUMIF(recipes!K:K,A77,recipes!T:T)</f>
        <v>0</v>
      </c>
      <c r="L77" s="96">
        <f>COUNTIF(recipes!K:K,A77)</f>
        <v>2</v>
      </c>
      <c r="M77" s="3"/>
      <c r="N77" s="31"/>
    </row>
    <row r="78" spans="1:14" s="31" customFormat="1" x14ac:dyDescent="0.2">
      <c r="A78" s="18" t="s">
        <v>179</v>
      </c>
      <c r="B78" s="35"/>
      <c r="C78" s="4" t="s">
        <v>179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3.75</v>
      </c>
      <c r="L78" s="96">
        <f>COUNTIF(recipes!K:K,A78)</f>
        <v>1</v>
      </c>
      <c r="M78" s="3"/>
    </row>
    <row r="79" spans="1:14" s="31" customFormat="1" x14ac:dyDescent="0.2">
      <c r="A79" s="18" t="s">
        <v>159</v>
      </c>
      <c r="B79" s="35"/>
      <c r="C79" s="4" t="s">
        <v>159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2</v>
      </c>
      <c r="L79" s="96">
        <f>COUNTIF(recipes!K:K,A79)</f>
        <v>1</v>
      </c>
      <c r="M79" s="3"/>
      <c r="N79" s="1"/>
    </row>
    <row r="80" spans="1:14" s="31" customFormat="1" x14ac:dyDescent="0.2">
      <c r="A80" s="18" t="s">
        <v>86</v>
      </c>
      <c r="B80" s="35"/>
      <c r="C80" s="4" t="s">
        <v>86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</v>
      </c>
      <c r="L80" s="96">
        <f>COUNTIF(recipes!K:K,A80)</f>
        <v>1</v>
      </c>
      <c r="M80" s="3"/>
    </row>
    <row r="81" spans="1:14" x14ac:dyDescent="0.2">
      <c r="A81" s="18" t="s">
        <v>47</v>
      </c>
      <c r="B81" s="35"/>
      <c r="C81" s="4" t="s">
        <v>47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4</v>
      </c>
      <c r="L81" s="96">
        <f>COUNTIF(recipes!K:K,A81)</f>
        <v>2</v>
      </c>
      <c r="M81" s="3"/>
      <c r="N81" s="31"/>
    </row>
    <row r="82" spans="1:14" s="31" customFormat="1" x14ac:dyDescent="0.2">
      <c r="A82" s="18" t="s">
        <v>111</v>
      </c>
      <c r="B82" s="35"/>
      <c r="C82" s="4" t="s">
        <v>111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4.75</v>
      </c>
      <c r="L82" s="96">
        <f>COUNTIF(recipes!K:K,A82)</f>
        <v>4</v>
      </c>
      <c r="M82" s="3"/>
      <c r="N82" s="1"/>
    </row>
    <row r="83" spans="1:14" x14ac:dyDescent="0.2">
      <c r="A83" s="18" t="s">
        <v>122</v>
      </c>
      <c r="B83" s="35"/>
      <c r="C83" s="4" t="s">
        <v>122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0.8872058868749999</v>
      </c>
      <c r="K83" s="3">
        <f>SUMIF(recipes!K:K,A83,recipes!T:T)</f>
        <v>0</v>
      </c>
      <c r="L83" s="96">
        <f>COUNTIF(recipes!K:K,A83)</f>
        <v>2</v>
      </c>
      <c r="M83" s="3"/>
      <c r="N83" s="31"/>
    </row>
    <row r="84" spans="1:14" x14ac:dyDescent="0.2">
      <c r="A84" s="18" t="s">
        <v>74</v>
      </c>
      <c r="B84" s="35"/>
      <c r="C84" s="4" t="s">
        <v>74</v>
      </c>
      <c r="D84" s="4"/>
      <c r="E84" s="4"/>
      <c r="F84" s="4"/>
      <c r="G84" s="3">
        <f t="shared" si="4"/>
        <v>0</v>
      </c>
      <c r="H84" s="3">
        <f t="shared" si="5"/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2</v>
      </c>
      <c r="L84" s="96">
        <f>COUNTIF(recipes!K:K,A84)</f>
        <v>1</v>
      </c>
      <c r="M84" s="3"/>
    </row>
    <row r="85" spans="1:14" s="31" customFormat="1" x14ac:dyDescent="0.2">
      <c r="A85" s="18" t="s">
        <v>290</v>
      </c>
      <c r="B85" s="35"/>
      <c r="C85" s="4" t="s">
        <v>290</v>
      </c>
      <c r="D85" s="4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0.94635294599999997</v>
      </c>
      <c r="K85" s="3">
        <f>SUMIF(recipes!K:K,A85,recipes!T:T)</f>
        <v>0</v>
      </c>
      <c r="L85" s="96">
        <f>COUNTIF(recipes!K:K,A85)</f>
        <v>1</v>
      </c>
      <c r="M85" s="3"/>
    </row>
    <row r="86" spans="1:14" x14ac:dyDescent="0.2">
      <c r="A86" s="18" t="s">
        <v>270</v>
      </c>
      <c r="B86" s="35" t="s">
        <v>206</v>
      </c>
      <c r="C86" s="4" t="s">
        <v>63</v>
      </c>
      <c r="D86" s="5"/>
      <c r="E86" s="5"/>
      <c r="F86" s="5"/>
      <c r="G86" s="3">
        <f t="shared" si="4"/>
        <v>0</v>
      </c>
      <c r="H86" s="3">
        <f t="shared" si="5"/>
        <v>0</v>
      </c>
      <c r="I86" s="3">
        <f>SUMIF(recipes!K:K,A86,recipes!R:R)</f>
        <v>0.5</v>
      </c>
      <c r="J86" s="3">
        <f>SUMIF(recipes!K:K,A86,recipes!S:S)</f>
        <v>1.0646470642499999</v>
      </c>
      <c r="K86" s="3">
        <f>SUMIF(recipes!K:K,A86,recipes!T:T)</f>
        <v>2.25</v>
      </c>
      <c r="L86" s="96">
        <f>COUNTIF(recipes!K:K,A86)</f>
        <v>3</v>
      </c>
      <c r="M86" s="3"/>
    </row>
    <row r="87" spans="1:14" x14ac:dyDescent="0.2">
      <c r="A87" s="18" t="s">
        <v>271</v>
      </c>
      <c r="B87" s="35" t="s">
        <v>206</v>
      </c>
      <c r="C87" s="4" t="s">
        <v>63</v>
      </c>
      <c r="D87" s="5"/>
      <c r="E87" s="5"/>
      <c r="F87" s="5"/>
      <c r="G87" s="3">
        <f t="shared" si="4"/>
        <v>0</v>
      </c>
      <c r="H87" s="3">
        <f t="shared" si="5"/>
        <v>0</v>
      </c>
      <c r="I87" s="3">
        <f>SUMIF(recipes!K:K,A87,recipes!R:R)</f>
        <v>0.75</v>
      </c>
      <c r="J87" s="3">
        <f>SUMIF(recipes!K:K,A87,recipes!S:S)</f>
        <v>0</v>
      </c>
      <c r="K87" s="3">
        <f>SUMIF(recipes!K:K,A87,recipes!T:T)</f>
        <v>0</v>
      </c>
      <c r="L87" s="96">
        <f>COUNTIF(recipes!K:K,A87)</f>
        <v>1</v>
      </c>
      <c r="M87" s="3"/>
    </row>
    <row r="88" spans="1:14" x14ac:dyDescent="0.2">
      <c r="A88" s="18" t="s">
        <v>315</v>
      </c>
      <c r="B88" s="35" t="s">
        <v>206</v>
      </c>
      <c r="C88" s="4" t="s">
        <v>71</v>
      </c>
      <c r="D88" s="3">
        <v>4</v>
      </c>
      <c r="E88" s="3">
        <v>0.53</v>
      </c>
      <c r="F88" s="3"/>
      <c r="G88" s="3">
        <f t="shared" si="4"/>
        <v>0.13250000000000001</v>
      </c>
      <c r="H88" s="3">
        <f t="shared" si="5"/>
        <v>0</v>
      </c>
      <c r="I88" s="3">
        <f>SUMIF(recipes!K:K,A88,recipes!R:R)</f>
        <v>1.7489999999999999</v>
      </c>
      <c r="J88" s="3">
        <f>SUMIF(recipes!K:K,A88,recipes!S:S)</f>
        <v>0</v>
      </c>
      <c r="K88" s="3">
        <f>SUMIF(recipes!K:K,A88,recipes!T:T)</f>
        <v>0</v>
      </c>
      <c r="L88" s="96">
        <f>COUNTIF(recipes!K:K,A88)</f>
        <v>1</v>
      </c>
      <c r="M88" s="3"/>
    </row>
    <row r="89" spans="1:14" x14ac:dyDescent="0.2">
      <c r="A89" s="18" t="s">
        <v>58</v>
      </c>
      <c r="B89" s="35"/>
      <c r="C89" s="4" t="s">
        <v>58</v>
      </c>
      <c r="D89" s="4"/>
      <c r="E89" s="4"/>
      <c r="F89" s="4"/>
      <c r="G89" s="3">
        <f t="shared" si="4"/>
        <v>0</v>
      </c>
      <c r="H89" s="3">
        <f t="shared" si="5"/>
        <v>0</v>
      </c>
      <c r="I89" s="3">
        <f>SUMIF(recipes!K:K,A89,recipes!R:R)</f>
        <v>0</v>
      </c>
      <c r="J89" s="3">
        <f>SUMIF(recipes!K:K,A89,recipes!S:S)</f>
        <v>9.9012941489999999</v>
      </c>
      <c r="K89" s="3">
        <f>SUMIF(recipes!K:K,A89,recipes!T:T)</f>
        <v>0</v>
      </c>
      <c r="L89" s="96">
        <f>COUNTIF(recipes!K:K,A89)</f>
        <v>5</v>
      </c>
      <c r="M89" s="3"/>
    </row>
    <row r="90" spans="1:14" x14ac:dyDescent="0.2">
      <c r="A90" s="18" t="s">
        <v>59</v>
      </c>
      <c r="B90" s="35"/>
      <c r="C90" s="4" t="s">
        <v>59</v>
      </c>
      <c r="D90" s="5"/>
      <c r="E90" s="5"/>
      <c r="F90" s="5"/>
      <c r="G90" s="3">
        <f t="shared" si="4"/>
        <v>0</v>
      </c>
      <c r="H90" s="3">
        <f t="shared" si="5"/>
        <v>0</v>
      </c>
      <c r="I90" s="3">
        <f>SUMIF(recipes!K:K,A90,recipes!R:R)</f>
        <v>4.675E-2</v>
      </c>
      <c r="J90" s="3">
        <f>SUMIF(recipes!K:K,A90,recipes!S:S)</f>
        <v>0</v>
      </c>
      <c r="K90" s="3">
        <f>SUMIF(recipes!K:K,A90,recipes!T:T)</f>
        <v>0</v>
      </c>
      <c r="L90" s="96">
        <f>COUNTIF(recipes!K:K,A90)</f>
        <v>1</v>
      </c>
      <c r="M90" s="3"/>
    </row>
    <row r="91" spans="1:14" x14ac:dyDescent="0.2">
      <c r="A91" s="18" t="s">
        <v>117</v>
      </c>
      <c r="B91" s="35"/>
      <c r="C91" s="4" t="s">
        <v>48</v>
      </c>
      <c r="D91" s="4">
        <v>1</v>
      </c>
      <c r="E91" s="4">
        <v>1</v>
      </c>
      <c r="F91" s="4">
        <v>1</v>
      </c>
      <c r="G91" s="3">
        <f t="shared" si="4"/>
        <v>1</v>
      </c>
      <c r="H91" s="3">
        <f t="shared" si="5"/>
        <v>1</v>
      </c>
      <c r="I91" s="3">
        <f>SUMIF(recipes!K:K,A91,recipes!R:R)</f>
        <v>0.65061765037499997</v>
      </c>
      <c r="J91" s="3">
        <f>SUMIF(recipes!K:K,A91,recipes!S:S)</f>
        <v>0</v>
      </c>
      <c r="K91" s="3">
        <f>SUMIF(recipes!K:K,A91,recipes!T:T)</f>
        <v>0</v>
      </c>
      <c r="L91" s="96">
        <f>COUNTIF(recipes!K:K,A91)</f>
        <v>1</v>
      </c>
      <c r="M91" s="3"/>
    </row>
    <row r="92" spans="1:14" x14ac:dyDescent="0.2">
      <c r="A92" s="18" t="s">
        <v>48</v>
      </c>
      <c r="B92" s="35"/>
      <c r="C92" s="4" t="s">
        <v>48</v>
      </c>
      <c r="D92" s="4">
        <v>1</v>
      </c>
      <c r="E92" s="4">
        <v>1</v>
      </c>
      <c r="F92" s="4">
        <v>1</v>
      </c>
      <c r="G92" s="3">
        <f t="shared" si="4"/>
        <v>1</v>
      </c>
      <c r="H92" s="3">
        <f t="shared" si="5"/>
        <v>1</v>
      </c>
      <c r="I92" s="3">
        <f>SUMIF(recipes!K:K,A92,recipes!R:R)</f>
        <v>5.5811470796249996</v>
      </c>
      <c r="J92" s="3">
        <f>SUMIF(recipes!K:K,A92,recipes!S:S)</f>
        <v>0</v>
      </c>
      <c r="K92" s="3">
        <f>SUMIF(recipes!K:K,A92,recipes!T:T)</f>
        <v>0</v>
      </c>
      <c r="L92" s="96">
        <f>COUNTIF(recipes!K:K,A92)</f>
        <v>8</v>
      </c>
      <c r="M92" s="3"/>
    </row>
    <row r="93" spans="1:14" x14ac:dyDescent="0.2">
      <c r="A93" s="18" t="s">
        <v>103</v>
      </c>
      <c r="B93" s="35" t="s">
        <v>206</v>
      </c>
      <c r="C93" s="4" t="s">
        <v>72</v>
      </c>
      <c r="D93" s="4"/>
      <c r="E93" s="4"/>
      <c r="F93" s="3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13.25</v>
      </c>
      <c r="L93" s="96">
        <f>COUNTIF(recipes!K:K,A93)</f>
        <v>1</v>
      </c>
      <c r="M93" s="3"/>
    </row>
    <row r="94" spans="1:14" x14ac:dyDescent="0.2">
      <c r="A94" s="18" t="s">
        <v>176</v>
      </c>
      <c r="B94" s="35" t="s">
        <v>206</v>
      </c>
      <c r="C94" s="4" t="s">
        <v>175</v>
      </c>
      <c r="D94" s="3">
        <v>2</v>
      </c>
      <c r="E94" s="3">
        <v>0.377</v>
      </c>
      <c r="F94" s="3">
        <v>0.5</v>
      </c>
      <c r="G94" s="3">
        <f t="shared" si="4"/>
        <v>0.1885</v>
      </c>
      <c r="H94" s="3">
        <f t="shared" si="5"/>
        <v>0.25</v>
      </c>
      <c r="I94" s="3">
        <f>SUMIF(recipes!K:K,A94,recipes!R:R)</f>
        <v>0.47125</v>
      </c>
      <c r="J94" s="3">
        <f>SUMIF(recipes!K:K,A94,recipes!S:S)</f>
        <v>0</v>
      </c>
      <c r="K94" s="3">
        <f>SUMIF(recipes!K:K,A94,recipes!T:T)</f>
        <v>0</v>
      </c>
      <c r="L94" s="96">
        <f>COUNTIF(recipes!K:K,A94)</f>
        <v>1</v>
      </c>
      <c r="M94" s="3"/>
    </row>
    <row r="95" spans="1:14" s="31" customFormat="1" x14ac:dyDescent="0.2">
      <c r="A95" s="18" t="s">
        <v>197</v>
      </c>
      <c r="B95" s="35" t="s">
        <v>206</v>
      </c>
      <c r="C95" s="4" t="s">
        <v>68</v>
      </c>
      <c r="D95" s="4"/>
      <c r="E95" s="4"/>
      <c r="F95" s="4"/>
      <c r="G95" s="3">
        <f t="shared" si="4"/>
        <v>0</v>
      </c>
      <c r="H95" s="3">
        <f t="shared" si="5"/>
        <v>0</v>
      </c>
      <c r="I95" s="3">
        <f>SUMIF(recipes!K:K,A95,recipes!R:R)</f>
        <v>0</v>
      </c>
      <c r="J95" s="3">
        <f>SUMIF(recipes!K:K,A95,recipes!S:S)</f>
        <v>0</v>
      </c>
      <c r="K95" s="3">
        <f>SUMIF(recipes!K:K,A95,recipes!T:T)</f>
        <v>4.75</v>
      </c>
      <c r="L95" s="96">
        <f>COUNTIF(recipes!K:K,A95)</f>
        <v>1</v>
      </c>
      <c r="M95" s="3"/>
    </row>
    <row r="96" spans="1:14" ht="13.5" thickBot="1" x14ac:dyDescent="0.25">
      <c r="A96" s="19" t="s">
        <v>110</v>
      </c>
      <c r="B96" s="36" t="s">
        <v>206</v>
      </c>
      <c r="C96" s="16" t="s">
        <v>68</v>
      </c>
      <c r="D96" s="109"/>
      <c r="E96" s="109"/>
      <c r="F96" s="109"/>
      <c r="G96" s="7">
        <f t="shared" si="4"/>
        <v>0</v>
      </c>
      <c r="H96" s="7">
        <f t="shared" si="5"/>
        <v>0</v>
      </c>
      <c r="I96" s="7">
        <f>SUMIF(recipes!K:K,A96,recipes!R:R)</f>
        <v>0</v>
      </c>
      <c r="J96" s="7">
        <f>SUMIF(recipes!K:K,A96,recipes!S:S)</f>
        <v>0</v>
      </c>
      <c r="K96" s="7">
        <f>SUMIF(recipes!K:K,A96,recipes!T:T)</f>
        <v>5.25</v>
      </c>
      <c r="L96" s="97">
        <f>COUNTIF(recipes!K:K,A96)</f>
        <v>1</v>
      </c>
      <c r="M96" s="3"/>
    </row>
    <row r="97" spans="1:13" ht="14.25" thickTop="1" thickBot="1" x14ac:dyDescent="0.25">
      <c r="A97" s="8" t="s">
        <v>53</v>
      </c>
      <c r="B97" s="37"/>
      <c r="M97" s="3"/>
    </row>
  </sheetData>
  <sortState ref="A2:L96">
    <sortCondition ref="C2:C96"/>
    <sortCondition ref="A2:A96"/>
  </sortState>
  <conditionalFormatting sqref="G29:J31 G68:J83 G26:J27 G57:J57 G44:J45 G34:J39 G47:J51 M48:M51 M35:M39 M58 M27:M28 M69:M84 M30:M32 G2:M11 M86:M97 G85:L96 M64:M67 G63:L66 M18:M25 G17:L24 M53:M56 G53:J55 M16 M41:M46 G41:J42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7:J67 M68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4:J84 M85">
    <cfRule type="cellIs" dxfId="95" priority="77" operator="equal">
      <formula>0</formula>
    </cfRule>
  </conditionalFormatting>
  <conditionalFormatting sqref="G58:J58 M59">
    <cfRule type="cellIs" dxfId="94" priority="75" operator="equal">
      <formula>0</formula>
    </cfRule>
  </conditionalFormatting>
  <conditionalFormatting sqref="G61:J61 M62">
    <cfRule type="cellIs" dxfId="93" priority="74" operator="equal">
      <formula>0</formula>
    </cfRule>
  </conditionalFormatting>
  <conditionalFormatting sqref="G62:J62 M63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6:J56 M57">
    <cfRule type="cellIs" dxfId="89" priority="70" operator="equal">
      <formula>0</formula>
    </cfRule>
  </conditionalFormatting>
  <conditionalFormatting sqref="G59:J59 M60">
    <cfRule type="cellIs" dxfId="88" priority="69" operator="equal">
      <formula>0</formula>
    </cfRule>
  </conditionalFormatting>
  <conditionalFormatting sqref="G60:J60 M61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6:J46 M47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8:L83 L26:L27 L57 L44:L45 L34:L39 L47:L51 L53:L55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7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4">
    <cfRule type="cellIs" dxfId="78" priority="58" operator="equal">
      <formula>0</formula>
    </cfRule>
  </conditionalFormatting>
  <conditionalFormatting sqref="L58">
    <cfRule type="cellIs" dxfId="77" priority="57" operator="equal">
      <formula>0</formula>
    </cfRule>
  </conditionalFormatting>
  <conditionalFormatting sqref="L61">
    <cfRule type="cellIs" dxfId="76" priority="56" operator="equal">
      <formula>0</formula>
    </cfRule>
  </conditionalFormatting>
  <conditionalFormatting sqref="L62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6">
    <cfRule type="cellIs" dxfId="72" priority="52" operator="equal">
      <formula>0</formula>
    </cfRule>
  </conditionalFormatting>
  <conditionalFormatting sqref="L59">
    <cfRule type="cellIs" dxfId="71" priority="51" operator="equal">
      <formula>0</formula>
    </cfRule>
  </conditionalFormatting>
  <conditionalFormatting sqref="L60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6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8:K83 K26:K27 K57 K44:K45 K34:K39 K47:K51 K53:K55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7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4">
    <cfRule type="cellIs" dxfId="62" priority="41" operator="equal">
      <formula>0</formula>
    </cfRule>
  </conditionalFormatting>
  <conditionalFormatting sqref="K58">
    <cfRule type="cellIs" dxfId="61" priority="40" operator="equal">
      <formula>0</formula>
    </cfRule>
  </conditionalFormatting>
  <conditionalFormatting sqref="K61">
    <cfRule type="cellIs" dxfId="60" priority="39" operator="equal">
      <formula>0</formula>
    </cfRule>
  </conditionalFormatting>
  <conditionalFormatting sqref="K62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6">
    <cfRule type="cellIs" dxfId="56" priority="35" operator="equal">
      <formula>0</formula>
    </cfRule>
  </conditionalFormatting>
  <conditionalFormatting sqref="K59">
    <cfRule type="cellIs" dxfId="55" priority="34" operator="equal">
      <formula>0</formula>
    </cfRule>
  </conditionalFormatting>
  <conditionalFormatting sqref="K60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6">
    <cfRule type="cellIs" dxfId="52" priority="31" operator="equal">
      <formula>0</formula>
    </cfRule>
  </conditionalFormatting>
  <conditionalFormatting sqref="L2:L11 L53:L96 L16:L39 L41:L51">
    <cfRule type="cellIs" dxfId="51" priority="29" operator="equal">
      <formula>0</formula>
    </cfRule>
  </conditionalFormatting>
  <conditionalFormatting sqref="M52 G52:J52">
    <cfRule type="cellIs" dxfId="50" priority="28" operator="equal">
      <formula>0</formula>
    </cfRule>
  </conditionalFormatting>
  <conditionalFormatting sqref="L52">
    <cfRule type="cellIs" dxfId="49" priority="27" operator="equal">
      <formula>0</formula>
    </cfRule>
  </conditionalFormatting>
  <conditionalFormatting sqref="K52">
    <cfRule type="cellIs" dxfId="48" priority="26" operator="equal">
      <formula>0</formula>
    </cfRule>
  </conditionalFormatting>
  <conditionalFormatting sqref="L52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6" xr:uid="{124AB2BC-86CC-4B23-9BC2-BB9FD1721E5B}">
      <formula1>shoppingNames</formula1>
    </dataValidation>
    <dataValidation type="list" allowBlank="1" showInputMessage="1" showErrorMessage="1" sqref="B2:B96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J84"/>
  <sheetViews>
    <sheetView zoomScale="85" zoomScaleNormal="85" workbookViewId="0">
      <selection activeCell="K14" sqref="K14"/>
    </sheetView>
  </sheetViews>
  <sheetFormatPr defaultRowHeight="12.75" x14ac:dyDescent="0.2"/>
  <cols>
    <col min="1" max="1" width="19.140625" style="1" bestFit="1" customWidth="1"/>
    <col min="2" max="3" width="6" style="2" bestFit="1" customWidth="1"/>
    <col min="4" max="4" width="6.42578125" style="2" bestFit="1" customWidth="1"/>
    <col min="5" max="5" width="6.42578125" style="98" customWidth="1"/>
    <col min="6" max="6" width="26" style="2" bestFit="1" customWidth="1"/>
    <col min="7" max="7" width="6.42578125" style="98" customWidth="1"/>
    <col min="8" max="16384" width="9.140625" style="1"/>
  </cols>
  <sheetData>
    <row r="1" spans="1:10" ht="26.25" thickBot="1" x14ac:dyDescent="0.25">
      <c r="A1" s="12" t="s">
        <v>73</v>
      </c>
      <c r="B1" s="13" t="s">
        <v>115</v>
      </c>
      <c r="C1" s="13" t="s">
        <v>116</v>
      </c>
      <c r="D1" s="13" t="s">
        <v>114</v>
      </c>
      <c r="E1" s="94" t="s">
        <v>423</v>
      </c>
      <c r="F1" s="13" t="s">
        <v>178</v>
      </c>
      <c r="G1" s="94" t="s">
        <v>424</v>
      </c>
    </row>
    <row r="2" spans="1:10" x14ac:dyDescent="0.2">
      <c r="A2" s="20" t="s">
        <v>432</v>
      </c>
      <c r="B2" s="23">
        <f>SUMIF(support!C:C,A2,support!I:I)</f>
        <v>0</v>
      </c>
      <c r="C2" s="24">
        <f>SUMIF(support!C:C,A2,support!J:J)</f>
        <v>0</v>
      </c>
      <c r="D2" s="24">
        <f>SUMIF(support!C:C,A2,support!K:K)</f>
        <v>15.4</v>
      </c>
      <c r="E2" s="99">
        <f>SUMIF(support!C:C,A2,support!L:L)</f>
        <v>1</v>
      </c>
      <c r="F2" s="107" t="s">
        <v>447</v>
      </c>
      <c r="G2" s="25" t="b">
        <f t="shared" ref="G2:G33" si="0">OR(COUNTIF(B2:D2, "&lt;&gt;0") &gt; 1, E2 = 0)</f>
        <v>0</v>
      </c>
      <c r="J2" s="1" t="s">
        <v>407</v>
      </c>
    </row>
    <row r="3" spans="1:10" x14ac:dyDescent="0.2">
      <c r="A3" s="21" t="s">
        <v>433</v>
      </c>
      <c r="B3" s="26">
        <f>SUMIF(support!C:C,A3,support!I:I)</f>
        <v>0</v>
      </c>
      <c r="C3" s="3">
        <f>SUMIF(support!C:C,A3,support!J:J)</f>
        <v>0</v>
      </c>
      <c r="D3" s="3">
        <f>SUMIF(support!C:C,A3,support!K:K)</f>
        <v>15.4</v>
      </c>
      <c r="E3" s="100">
        <f>SUMIF(support!C:C,A3,support!L:L)</f>
        <v>1</v>
      </c>
      <c r="F3" s="3"/>
      <c r="G3" s="27" t="b">
        <f t="shared" si="0"/>
        <v>0</v>
      </c>
      <c r="J3" s="1" t="s">
        <v>409</v>
      </c>
    </row>
    <row r="4" spans="1:10" x14ac:dyDescent="0.2">
      <c r="A4" s="21" t="s">
        <v>90</v>
      </c>
      <c r="B4" s="26">
        <f>SUMIF(support!C:C,A4,support!I:I)</f>
        <v>0</v>
      </c>
      <c r="C4" s="3">
        <f>SUMIF(support!C:C,A4,support!J:J)</f>
        <v>0</v>
      </c>
      <c r="D4" s="3">
        <f>SUMIF(support!C:C,A4,support!K:K)</f>
        <v>4.25</v>
      </c>
      <c r="E4" s="100">
        <f>SUMIF(support!C:C,A4,support!L:L)</f>
        <v>2</v>
      </c>
      <c r="F4" s="3"/>
      <c r="G4" s="27" t="b">
        <f t="shared" si="0"/>
        <v>0</v>
      </c>
      <c r="J4" s="1" t="s">
        <v>410</v>
      </c>
    </row>
    <row r="5" spans="1:10" x14ac:dyDescent="0.2">
      <c r="A5" s="21" t="s">
        <v>51</v>
      </c>
      <c r="B5" s="26">
        <f>SUMIF(support!C:C,A5,support!I:I)</f>
        <v>3.7333412732584614E-2</v>
      </c>
      <c r="C5" s="3">
        <f>SUMIF(support!C:C,A5,support!J:J)</f>
        <v>0</v>
      </c>
      <c r="D5" s="3">
        <f>SUMIF(support!C:C,A5,support!K:K)</f>
        <v>0</v>
      </c>
      <c r="E5" s="100">
        <f>SUMIF(support!C:C,A5,support!L:L)</f>
        <v>1</v>
      </c>
      <c r="F5" s="3"/>
      <c r="G5" s="27" t="b">
        <f t="shared" si="0"/>
        <v>0</v>
      </c>
      <c r="J5" s="1" t="s">
        <v>411</v>
      </c>
    </row>
    <row r="6" spans="1:10" x14ac:dyDescent="0.2">
      <c r="A6" s="21" t="s">
        <v>2</v>
      </c>
      <c r="B6" s="26">
        <f>SUMIF(support!C:C,A6,support!I:I)</f>
        <v>1.0954999999999999</v>
      </c>
      <c r="C6" s="3">
        <f>SUMIF(support!C:C,A6,support!J:J)</f>
        <v>0.53232353212499994</v>
      </c>
      <c r="D6" s="3">
        <f>SUMIF(support!C:C,A6,support!K:K)</f>
        <v>0</v>
      </c>
      <c r="E6" s="100">
        <f>SUMIF(support!C:C,A6,support!L:L)</f>
        <v>3</v>
      </c>
      <c r="F6" s="3"/>
      <c r="G6" s="27" t="b">
        <f t="shared" si="0"/>
        <v>1</v>
      </c>
      <c r="J6" s="31" t="s">
        <v>408</v>
      </c>
    </row>
    <row r="7" spans="1:10" s="31" customFormat="1" x14ac:dyDescent="0.2">
      <c r="A7" s="21" t="s">
        <v>65</v>
      </c>
      <c r="B7" s="26">
        <f>SUMIF(support!C:C,A7,support!I:I)</f>
        <v>3.1186210797729168</v>
      </c>
      <c r="C7" s="3">
        <f>SUMIF(support!C:C,A7,support!J:J)</f>
        <v>0</v>
      </c>
      <c r="D7" s="3">
        <f>SUMIF(support!C:C,A7,support!K:K)</f>
        <v>28.55</v>
      </c>
      <c r="E7" s="100">
        <f>SUMIF(support!C:C,A7,support!L:L)</f>
        <v>9</v>
      </c>
      <c r="F7" s="3"/>
      <c r="G7" s="27" t="b">
        <f t="shared" si="0"/>
        <v>1</v>
      </c>
    </row>
    <row r="8" spans="1:10" x14ac:dyDescent="0.2">
      <c r="A8" s="21" t="s">
        <v>187</v>
      </c>
      <c r="B8" s="26">
        <f>SUMIF(support!C:C,A8,support!I:I)</f>
        <v>0</v>
      </c>
      <c r="C8" s="3">
        <f>SUMIF(support!C:C,A8,support!J:J)</f>
        <v>0.47317647299999999</v>
      </c>
      <c r="D8" s="3">
        <f>SUMIF(support!C:C,A8,support!K:K)</f>
        <v>0</v>
      </c>
      <c r="E8" s="100">
        <f>SUMIF(support!C:C,A8,support!L:L)</f>
        <v>1</v>
      </c>
      <c r="F8" s="3"/>
      <c r="G8" s="27" t="b">
        <f t="shared" si="0"/>
        <v>0</v>
      </c>
    </row>
    <row r="9" spans="1:10" s="31" customFormat="1" x14ac:dyDescent="0.2">
      <c r="A9" s="21" t="s">
        <v>164</v>
      </c>
      <c r="B9" s="26">
        <f>SUMIF(support!C:C,A9,support!I:I)</f>
        <v>0</v>
      </c>
      <c r="C9" s="3">
        <f>SUMIF(support!C:C,A9,support!J:J)</f>
        <v>0</v>
      </c>
      <c r="D9" s="3">
        <f>SUMIF(support!C:C,A9,support!K:K)</f>
        <v>3</v>
      </c>
      <c r="E9" s="100">
        <f>SUMIF(support!C:C,A9,support!L:L)</f>
        <v>3</v>
      </c>
      <c r="F9" s="3"/>
      <c r="G9" s="27" t="b">
        <f t="shared" si="0"/>
        <v>0</v>
      </c>
    </row>
    <row r="10" spans="1:10" s="31" customFormat="1" x14ac:dyDescent="0.2">
      <c r="A10" s="21" t="s">
        <v>64</v>
      </c>
      <c r="B10" s="26">
        <f>SUMIF(support!C:C,A10,support!I:I)</f>
        <v>0</v>
      </c>
      <c r="C10" s="3">
        <f>SUMIF(support!C:C,A10,support!J:J)</f>
        <v>0</v>
      </c>
      <c r="D10" s="3">
        <f>SUMIF(support!C:C,A10,support!K:K)</f>
        <v>43.15</v>
      </c>
      <c r="E10" s="100">
        <f>SUMIF(support!C:C,A10,support!L:L)</f>
        <v>8</v>
      </c>
      <c r="F10" s="3"/>
      <c r="G10" s="27" t="b">
        <f t="shared" si="0"/>
        <v>0</v>
      </c>
    </row>
    <row r="11" spans="1:10" s="31" customFormat="1" x14ac:dyDescent="0.2">
      <c r="A11" s="21" t="s">
        <v>118</v>
      </c>
      <c r="B11" s="26">
        <f>SUMIF(support!C:C,A11,support!I:I)</f>
        <v>0</v>
      </c>
      <c r="C11" s="3">
        <f>SUMIF(support!C:C,A11,support!J:J)</f>
        <v>5.9147059124999998E-2</v>
      </c>
      <c r="D11" s="3">
        <f>SUMIF(support!C:C,A11,support!K:K)</f>
        <v>0</v>
      </c>
      <c r="E11" s="100">
        <f>SUMIF(support!C:C,A11,support!L:L)</f>
        <v>1</v>
      </c>
      <c r="F11" s="3"/>
      <c r="G11" s="27" t="b">
        <f t="shared" si="0"/>
        <v>0</v>
      </c>
    </row>
    <row r="12" spans="1:10" s="31" customFormat="1" x14ac:dyDescent="0.2">
      <c r="A12" s="21" t="s">
        <v>106</v>
      </c>
      <c r="B12" s="26">
        <f>SUMIF(support!C:C,A12,support!I:I)</f>
        <v>1.0388910983621014E-2</v>
      </c>
      <c r="C12" s="3">
        <f>SUMIF(support!C:C,A12,support!J:J)</f>
        <v>0</v>
      </c>
      <c r="D12" s="3">
        <f>SUMIF(support!C:C,A12,support!K:K)</f>
        <v>0</v>
      </c>
      <c r="E12" s="100">
        <f>SUMIF(support!C:C,A12,support!L:L)</f>
        <v>3</v>
      </c>
      <c r="F12" s="3"/>
      <c r="G12" s="27" t="b">
        <f t="shared" si="0"/>
        <v>0</v>
      </c>
    </row>
    <row r="13" spans="1:10" s="31" customFormat="1" x14ac:dyDescent="0.2">
      <c r="A13" s="21" t="s">
        <v>163</v>
      </c>
      <c r="B13" s="26">
        <f>SUMIF(support!C:C,A13,support!I:I)</f>
        <v>1.0098</v>
      </c>
      <c r="C13" s="3">
        <f>SUMIF(support!C:C,A13,support!J:J)</f>
        <v>0</v>
      </c>
      <c r="D13" s="3">
        <f>SUMIF(support!C:C,A13,support!K:K)</f>
        <v>0</v>
      </c>
      <c r="E13" s="100">
        <f>SUMIF(support!C:C,A13,support!L:L)</f>
        <v>1</v>
      </c>
      <c r="F13" s="3"/>
      <c r="G13" s="27" t="b">
        <f t="shared" si="0"/>
        <v>0</v>
      </c>
    </row>
    <row r="14" spans="1:10" x14ac:dyDescent="0.2">
      <c r="A14" s="21" t="s">
        <v>52</v>
      </c>
      <c r="B14" s="26">
        <f>SUMIF(support!C:C,A14,support!I:I)</f>
        <v>2.5666721253651919E-2</v>
      </c>
      <c r="C14" s="3">
        <f>SUMIF(support!C:C,A14,support!J:J)</f>
        <v>0</v>
      </c>
      <c r="D14" s="3">
        <f>SUMIF(support!C:C,A14,support!K:K)</f>
        <v>0</v>
      </c>
      <c r="E14" s="100">
        <f>SUMIF(support!C:C,A14,support!L:L)</f>
        <v>1</v>
      </c>
      <c r="F14" s="3"/>
      <c r="G14" s="27" t="b">
        <f t="shared" si="0"/>
        <v>0</v>
      </c>
    </row>
    <row r="15" spans="1:10" x14ac:dyDescent="0.2">
      <c r="A15" s="21" t="s">
        <v>9</v>
      </c>
      <c r="B15" s="26">
        <f>SUMIF(support!C:C,A15,support!I:I)</f>
        <v>4.2000089324157684E-2</v>
      </c>
      <c r="C15" s="3">
        <f>SUMIF(support!C:C,A15,support!J:J)</f>
        <v>0</v>
      </c>
      <c r="D15" s="3">
        <f>SUMIF(support!C:C,A15,support!K:K)</f>
        <v>0</v>
      </c>
      <c r="E15" s="100">
        <f>SUMIF(support!C:C,A15,support!L:L)</f>
        <v>2</v>
      </c>
      <c r="F15" s="3"/>
      <c r="G15" s="27" t="b">
        <f t="shared" si="0"/>
        <v>0</v>
      </c>
    </row>
    <row r="16" spans="1:10" x14ac:dyDescent="0.2">
      <c r="A16" s="21" t="s">
        <v>75</v>
      </c>
      <c r="B16" s="26">
        <f>SUMIF(support!C:C,A16,support!I:I)</f>
        <v>0</v>
      </c>
      <c r="C16" s="3">
        <f>SUMIF(support!C:C,A16,support!J:J)</f>
        <v>8.7488358289062484E-2</v>
      </c>
      <c r="D16" s="3">
        <f>SUMIF(support!C:C,A16,support!K:K)</f>
        <v>0</v>
      </c>
      <c r="E16" s="100">
        <f>SUMIF(support!C:C,A16,support!L:L)</f>
        <v>2</v>
      </c>
      <c r="F16" s="3"/>
      <c r="G16" s="27" t="b">
        <f t="shared" si="0"/>
        <v>0</v>
      </c>
    </row>
    <row r="17" spans="1:7" x14ac:dyDescent="0.2">
      <c r="A17" s="21" t="s">
        <v>105</v>
      </c>
      <c r="B17" s="26">
        <f>SUMIF(support!C:C,A17,support!I:I)</f>
        <v>1.1666691478932692E-3</v>
      </c>
      <c r="C17" s="3">
        <f>SUMIF(support!C:C,A17,support!J:J)</f>
        <v>0</v>
      </c>
      <c r="D17" s="3">
        <f>SUMIF(support!C:C,A17,support!K:K)</f>
        <v>0</v>
      </c>
      <c r="E17" s="100">
        <f>SUMIF(support!C:C,A17,support!L:L)</f>
        <v>1</v>
      </c>
      <c r="F17" s="3"/>
      <c r="G17" s="27" t="b">
        <f t="shared" si="0"/>
        <v>0</v>
      </c>
    </row>
    <row r="18" spans="1:7" x14ac:dyDescent="0.2">
      <c r="A18" s="21" t="s">
        <v>287</v>
      </c>
      <c r="B18" s="26">
        <f>SUMIF(support!C:C,A18,support!I:I)</f>
        <v>0</v>
      </c>
      <c r="C18" s="3">
        <f>SUMIF(support!C:C,A18,support!J:J)</f>
        <v>0.47317647299999999</v>
      </c>
      <c r="D18" s="3">
        <f>SUMIF(support!C:C,A18,support!K:K)</f>
        <v>0</v>
      </c>
      <c r="E18" s="100">
        <f>SUMIF(support!C:C,A18,support!L:L)</f>
        <v>1</v>
      </c>
      <c r="F18" s="3"/>
      <c r="G18" s="27" t="b">
        <f t="shared" si="0"/>
        <v>0</v>
      </c>
    </row>
    <row r="19" spans="1:7" s="31" customFormat="1" x14ac:dyDescent="0.2">
      <c r="A19" s="21" t="s">
        <v>99</v>
      </c>
      <c r="B19" s="26">
        <f>SUMIF(support!C:C,A19,support!I:I)</f>
        <v>0.28612498367337558</v>
      </c>
      <c r="C19" s="3">
        <f>SUMIF(support!C:C,A19,support!J:J)</f>
        <v>0</v>
      </c>
      <c r="D19" s="3">
        <f>SUMIF(support!C:C,A19,support!K:K)</f>
        <v>0</v>
      </c>
      <c r="E19" s="100">
        <f>SUMIF(support!C:C,A19,support!L:L)</f>
        <v>1</v>
      </c>
      <c r="F19" s="3"/>
      <c r="G19" s="27" t="b">
        <f t="shared" si="0"/>
        <v>0</v>
      </c>
    </row>
    <row r="20" spans="1:7" s="31" customFormat="1" x14ac:dyDescent="0.2">
      <c r="A20" s="21" t="s">
        <v>100</v>
      </c>
      <c r="B20" s="26">
        <f>SUMIF(support!C:C,A20,support!I:I)</f>
        <v>0.70699995965775986</v>
      </c>
      <c r="C20" s="3">
        <f>SUMIF(support!C:C,A20,support!J:J)</f>
        <v>0</v>
      </c>
      <c r="D20" s="3">
        <f>SUMIF(support!C:C,A20,support!K:K)</f>
        <v>0</v>
      </c>
      <c r="E20" s="100">
        <f>SUMIF(support!C:C,A20,support!L:L)</f>
        <v>1</v>
      </c>
      <c r="F20" s="3"/>
      <c r="G20" s="27" t="b">
        <f t="shared" si="0"/>
        <v>0</v>
      </c>
    </row>
    <row r="21" spans="1:7" x14ac:dyDescent="0.2">
      <c r="A21" s="21" t="s">
        <v>289</v>
      </c>
      <c r="B21" s="26">
        <f>SUMIF(support!C:C,A21,support!I:I)</f>
        <v>0</v>
      </c>
      <c r="C21" s="3">
        <f>SUMIF(support!C:C,A21,support!J:J)</f>
        <v>1.478676478125E-2</v>
      </c>
      <c r="D21" s="3">
        <f>SUMIF(support!C:C,A21,support!K:K)</f>
        <v>0</v>
      </c>
      <c r="E21" s="100">
        <f>SUMIF(support!C:C,A21,support!L:L)</f>
        <v>1</v>
      </c>
      <c r="F21" s="3"/>
      <c r="G21" s="27" t="b">
        <f t="shared" si="0"/>
        <v>0</v>
      </c>
    </row>
    <row r="22" spans="1:7" s="31" customFormat="1" x14ac:dyDescent="0.2">
      <c r="A22" s="21" t="s">
        <v>203</v>
      </c>
      <c r="B22" s="26">
        <f>SUMIF(support!C:C,A22,support!I:I)</f>
        <v>1.0587499395864968</v>
      </c>
      <c r="C22" s="3">
        <f>SUMIF(support!C:C,A22,support!J:J)</f>
        <v>0</v>
      </c>
      <c r="D22" s="3">
        <f>SUMIF(support!C:C,A22,support!K:K)</f>
        <v>0</v>
      </c>
      <c r="E22" s="100">
        <f>SUMIF(support!C:C,A22,support!L:L)</f>
        <v>2</v>
      </c>
      <c r="F22" s="3"/>
      <c r="G22" s="27" t="b">
        <f t="shared" si="0"/>
        <v>0</v>
      </c>
    </row>
    <row r="23" spans="1:7" x14ac:dyDescent="0.2">
      <c r="A23" s="21" t="s">
        <v>84</v>
      </c>
      <c r="B23" s="26">
        <f>SUMIF(support!C:C,A23,support!I:I)</f>
        <v>0</v>
      </c>
      <c r="C23" s="3">
        <f>SUMIF(support!C:C,A23,support!J:J)</f>
        <v>0</v>
      </c>
      <c r="D23" s="3">
        <f>SUMIF(support!C:C,A23,support!K:K)</f>
        <v>0</v>
      </c>
      <c r="E23" s="100">
        <f>SUMIF(support!C:C,A23,support!L:L)</f>
        <v>1</v>
      </c>
      <c r="F23" s="3"/>
      <c r="G23" s="27" t="b">
        <f t="shared" si="0"/>
        <v>0</v>
      </c>
    </row>
    <row r="24" spans="1:7" x14ac:dyDescent="0.2">
      <c r="A24" s="21" t="s">
        <v>79</v>
      </c>
      <c r="B24" s="26">
        <f>SUMIF(support!C:C,A24,support!I:I)</f>
        <v>0</v>
      </c>
      <c r="C24" s="3">
        <f>SUMIF(support!C:C,A24,support!J:J)</f>
        <v>2.2180147171874998E-2</v>
      </c>
      <c r="D24" s="3">
        <f>SUMIF(support!C:C,A24,support!K:K)</f>
        <v>0</v>
      </c>
      <c r="E24" s="100">
        <f>SUMIF(support!C:C,A24,support!L:L)</f>
        <v>3</v>
      </c>
      <c r="F24" s="3"/>
      <c r="G24" s="27" t="b">
        <f t="shared" si="0"/>
        <v>0</v>
      </c>
    </row>
    <row r="25" spans="1:7" x14ac:dyDescent="0.2">
      <c r="A25" s="21" t="s">
        <v>321</v>
      </c>
      <c r="B25" s="26">
        <f>SUMIF(support!C:C,A25,support!I:I)</f>
        <v>0</v>
      </c>
      <c r="C25" s="3">
        <f>SUMIF(support!C:C,A25,support!J:J)</f>
        <v>0</v>
      </c>
      <c r="D25" s="3">
        <f>SUMIF(support!C:C,A25,support!K:K)</f>
        <v>0</v>
      </c>
      <c r="E25" s="100">
        <f>SUMIF(support!C:C,A25,support!L:L)</f>
        <v>1</v>
      </c>
      <c r="F25" s="3"/>
      <c r="G25" s="27" t="b">
        <f t="shared" si="0"/>
        <v>0</v>
      </c>
    </row>
    <row r="26" spans="1:7" x14ac:dyDescent="0.2">
      <c r="A26" s="21" t="s">
        <v>91</v>
      </c>
      <c r="B26" s="26">
        <f>SUMIF(support!C:C,A26,support!I:I)</f>
        <v>0</v>
      </c>
      <c r="C26" s="3">
        <f>SUMIF(support!C:C,A26,support!J:J)</f>
        <v>0</v>
      </c>
      <c r="D26" s="3">
        <f>SUMIF(support!C:C,A26,support!K:K)</f>
        <v>2.5</v>
      </c>
      <c r="E26" s="100">
        <f>SUMIF(support!C:C,A26,support!L:L)</f>
        <v>1</v>
      </c>
      <c r="F26" s="3"/>
      <c r="G26" s="27" t="b">
        <f t="shared" si="0"/>
        <v>0</v>
      </c>
    </row>
    <row r="27" spans="1:7" x14ac:dyDescent="0.2">
      <c r="A27" s="21" t="s">
        <v>320</v>
      </c>
      <c r="B27" s="26">
        <f>SUMIF(support!C:C,A27,support!I:I)</f>
        <v>0</v>
      </c>
      <c r="C27" s="3">
        <f>SUMIF(support!C:C,A27,support!J:J)</f>
        <v>0</v>
      </c>
      <c r="D27" s="3">
        <f>SUMIF(support!C:C,A27,support!K:K)</f>
        <v>0</v>
      </c>
      <c r="E27" s="100">
        <f>SUMIF(support!C:C,A27,support!L:L)</f>
        <v>1</v>
      </c>
      <c r="F27" s="3"/>
      <c r="G27" s="27" t="b">
        <f t="shared" si="0"/>
        <v>0</v>
      </c>
    </row>
    <row r="28" spans="1:7" x14ac:dyDescent="0.2">
      <c r="A28" s="21" t="s">
        <v>92</v>
      </c>
      <c r="B28" s="26">
        <f>SUMIF(support!C:C,A28,support!I:I)</f>
        <v>0</v>
      </c>
      <c r="C28" s="3">
        <f>SUMIF(support!C:C,A28,support!J:J)</f>
        <v>0</v>
      </c>
      <c r="D28" s="3">
        <f>SUMIF(support!C:C,A28,support!K:K)</f>
        <v>2.5</v>
      </c>
      <c r="E28" s="100">
        <f>SUMIF(support!C:C,A28,support!L:L)</f>
        <v>1</v>
      </c>
      <c r="F28" s="3"/>
      <c r="G28" s="27" t="b">
        <f t="shared" si="0"/>
        <v>0</v>
      </c>
    </row>
    <row r="29" spans="1:7" x14ac:dyDescent="0.2">
      <c r="A29" s="21" t="s">
        <v>10</v>
      </c>
      <c r="B29" s="26">
        <f>SUMIF(support!C:C,A29,support!I:I)</f>
        <v>2.5000053169141483E-2</v>
      </c>
      <c r="C29" s="3">
        <f>SUMIF(support!C:C,A29,support!J:J)</f>
        <v>0</v>
      </c>
      <c r="D29" s="3">
        <f>SUMIF(support!C:C,A29,support!K:K)</f>
        <v>0</v>
      </c>
      <c r="E29" s="100">
        <f>SUMIF(support!C:C,A29,support!L:L)</f>
        <v>1</v>
      </c>
      <c r="F29" s="3"/>
      <c r="G29" s="27" t="b">
        <f t="shared" si="0"/>
        <v>0</v>
      </c>
    </row>
    <row r="30" spans="1:7" x14ac:dyDescent="0.2">
      <c r="A30" s="21" t="s">
        <v>69</v>
      </c>
      <c r="B30" s="26">
        <f>SUMIF(support!C:C,A30,support!I:I)</f>
        <v>0</v>
      </c>
      <c r="C30" s="3">
        <f>SUMIF(support!C:C,A30,support!J:J)</f>
        <v>0</v>
      </c>
      <c r="D30" s="3">
        <f>SUMIF(support!C:C,A30,support!K:K)</f>
        <v>26</v>
      </c>
      <c r="E30" s="100">
        <f>SUMIF(support!C:C,A30,support!L:L)</f>
        <v>5</v>
      </c>
      <c r="F30" s="3"/>
      <c r="G30" s="27" t="b">
        <f t="shared" si="0"/>
        <v>0</v>
      </c>
    </row>
    <row r="31" spans="1:7" x14ac:dyDescent="0.2">
      <c r="A31" s="21" t="s">
        <v>70</v>
      </c>
      <c r="B31" s="26">
        <f>SUMIF(support!C:C,A31,support!I:I)</f>
        <v>0</v>
      </c>
      <c r="C31" s="3">
        <f>SUMIF(support!C:C,A31,support!J:J)</f>
        <v>0.37706250192187496</v>
      </c>
      <c r="D31" s="3">
        <f>SUMIF(support!C:C,A31,support!K:K)</f>
        <v>0</v>
      </c>
      <c r="E31" s="100">
        <f>SUMIF(support!C:C,A31,support!L:L)</f>
        <v>8</v>
      </c>
      <c r="F31" s="3"/>
      <c r="G31" s="27" t="b">
        <f t="shared" si="0"/>
        <v>0</v>
      </c>
    </row>
    <row r="32" spans="1:7" x14ac:dyDescent="0.2">
      <c r="A32" s="21" t="s">
        <v>196</v>
      </c>
      <c r="B32" s="26">
        <f>SUMIF(support!C:C,A32,support!I:I)</f>
        <v>0</v>
      </c>
      <c r="C32" s="3">
        <f>SUMIF(support!C:C,A32,support!J:J)</f>
        <v>0.17744117737499998</v>
      </c>
      <c r="D32" s="3">
        <f>SUMIF(support!C:C,A32,support!K:K)</f>
        <v>0</v>
      </c>
      <c r="E32" s="100">
        <f>SUMIF(support!C:C,A32,support!L:L)</f>
        <v>1</v>
      </c>
      <c r="F32" s="102" t="s">
        <v>190</v>
      </c>
      <c r="G32" s="32" t="b">
        <f t="shared" si="0"/>
        <v>0</v>
      </c>
    </row>
    <row r="33" spans="1:7" s="31" customFormat="1" x14ac:dyDescent="0.2">
      <c r="A33" s="21" t="s">
        <v>441</v>
      </c>
      <c r="B33" s="26">
        <f>SUMIF(support!C:C,A33,support!I:I)</f>
        <v>0</v>
      </c>
      <c r="C33" s="3">
        <f>SUMIF(support!C:C,A33,support!J:J)</f>
        <v>0</v>
      </c>
      <c r="D33" s="3">
        <f>SUMIF(support!C:C,A33,support!K:K)</f>
        <v>0</v>
      </c>
      <c r="E33" s="100">
        <f>SUMIF(support!C:C,A33,support!L:L)</f>
        <v>1</v>
      </c>
      <c r="F33" s="3" t="s">
        <v>440</v>
      </c>
      <c r="G33" s="27" t="b">
        <f t="shared" si="0"/>
        <v>0</v>
      </c>
    </row>
    <row r="34" spans="1:7" x14ac:dyDescent="0.2">
      <c r="A34" s="21" t="s">
        <v>182</v>
      </c>
      <c r="B34" s="26">
        <f>SUMIF(support!C:C,A34,support!I:I)</f>
        <v>0.75</v>
      </c>
      <c r="C34" s="3">
        <f>SUMIF(support!C:C,A34,support!J:J)</f>
        <v>0</v>
      </c>
      <c r="D34" s="3">
        <f>SUMIF(support!C:C,A34,support!K:K)</f>
        <v>0</v>
      </c>
      <c r="E34" s="100">
        <f>SUMIF(support!C:C,A34,support!L:L)</f>
        <v>1</v>
      </c>
      <c r="F34" s="6" t="s">
        <v>183</v>
      </c>
      <c r="G34" s="27" t="b">
        <f t="shared" ref="G34:G65" si="1">OR(COUNTIF(B34:D34, "&lt;&gt;0") &gt; 1, E34 = 0)</f>
        <v>0</v>
      </c>
    </row>
    <row r="35" spans="1:7" x14ac:dyDescent="0.2">
      <c r="A35" s="21" t="s">
        <v>165</v>
      </c>
      <c r="B35" s="26">
        <f>SUMIF(support!C:C,A35,support!I:I)</f>
        <v>0</v>
      </c>
      <c r="C35" s="3">
        <f>SUMIF(support!C:C,A35,support!J:J)</f>
        <v>0</v>
      </c>
      <c r="D35" s="3">
        <f>SUMIF(support!C:C,A35,support!K:K)</f>
        <v>3.3</v>
      </c>
      <c r="E35" s="100">
        <f>SUMIF(support!C:C,A35,support!L:L)</f>
        <v>2</v>
      </c>
      <c r="F35" s="3"/>
      <c r="G35" s="27" t="b">
        <f t="shared" si="1"/>
        <v>0</v>
      </c>
    </row>
    <row r="36" spans="1:7" x14ac:dyDescent="0.2">
      <c r="A36" s="21" t="s">
        <v>49</v>
      </c>
      <c r="B36" s="26">
        <f>SUMIF(support!C:C,A36,support!I:I)</f>
        <v>0</v>
      </c>
      <c r="C36" s="3">
        <f>SUMIF(support!C:C,A36,support!J:J)</f>
        <v>0</v>
      </c>
      <c r="D36" s="3">
        <f>SUMIF(support!C:C,A36,support!K:K)</f>
        <v>2.5</v>
      </c>
      <c r="E36" s="100">
        <f>SUMIF(support!C:C,A36,support!L:L)</f>
        <v>1</v>
      </c>
      <c r="F36" s="3"/>
      <c r="G36" s="27" t="b">
        <f t="shared" si="1"/>
        <v>0</v>
      </c>
    </row>
    <row r="37" spans="1:7" s="31" customFormat="1" x14ac:dyDescent="0.2">
      <c r="A37" s="21" t="s">
        <v>80</v>
      </c>
      <c r="B37" s="26">
        <f>SUMIF(support!C:C,A37,support!I:I)</f>
        <v>0</v>
      </c>
      <c r="C37" s="3">
        <f>SUMIF(support!C:C,A37,support!J:J)</f>
        <v>0</v>
      </c>
      <c r="D37" s="3">
        <f>SUMIF(support!C:C,A37,support!K:K)</f>
        <v>0</v>
      </c>
      <c r="E37" s="100">
        <f>SUMIF(support!C:C,A37,support!L:L)</f>
        <v>4</v>
      </c>
      <c r="F37" s="3"/>
      <c r="G37" s="27" t="b">
        <f t="shared" si="1"/>
        <v>0</v>
      </c>
    </row>
    <row r="38" spans="1:7" s="31" customFormat="1" x14ac:dyDescent="0.2">
      <c r="A38" s="21" t="s">
        <v>156</v>
      </c>
      <c r="B38" s="26">
        <f>SUMIF(support!C:C,A38,support!I:I)</f>
        <v>0</v>
      </c>
      <c r="C38" s="3">
        <f>SUMIF(support!C:C,A38,support!J:J)</f>
        <v>3.3270220757812496E-2</v>
      </c>
      <c r="D38" s="3">
        <f>SUMIF(support!C:C,A38,support!K:K)</f>
        <v>0</v>
      </c>
      <c r="E38" s="100">
        <f>SUMIF(support!C:C,A38,support!L:L)</f>
        <v>2</v>
      </c>
      <c r="F38" s="3"/>
      <c r="G38" s="27" t="b">
        <f t="shared" si="1"/>
        <v>0</v>
      </c>
    </row>
    <row r="39" spans="1:7" x14ac:dyDescent="0.2">
      <c r="A39" s="21" t="s">
        <v>14</v>
      </c>
      <c r="B39" s="26">
        <f>SUMIF(support!C:C,A39,support!I:I)</f>
        <v>2.5666721253651922E-2</v>
      </c>
      <c r="C39" s="3">
        <f>SUMIF(support!C:C,A39,support!J:J)</f>
        <v>0</v>
      </c>
      <c r="D39" s="3">
        <f>SUMIF(support!C:C,A39,support!K:K)</f>
        <v>0</v>
      </c>
      <c r="E39" s="100">
        <f>SUMIF(support!C:C,A39,support!L:L)</f>
        <v>3</v>
      </c>
      <c r="F39" s="3"/>
      <c r="G39" s="27" t="b">
        <f t="shared" si="1"/>
        <v>0</v>
      </c>
    </row>
    <row r="40" spans="1:7" x14ac:dyDescent="0.2">
      <c r="A40" s="21" t="s">
        <v>316</v>
      </c>
      <c r="B40" s="26">
        <f>SUMIF(support!C:C,A40,support!I:I)</f>
        <v>6.9222369441667306E-2</v>
      </c>
      <c r="C40" s="3">
        <f>SUMIF(support!C:C,A40,support!J:J)</f>
        <v>0</v>
      </c>
      <c r="D40" s="3">
        <f>SUMIF(support!C:C,A40,support!K:K)</f>
        <v>0</v>
      </c>
      <c r="E40" s="100">
        <f>SUMIF(support!C:C,A40,support!L:L)</f>
        <v>6</v>
      </c>
      <c r="F40" s="3"/>
      <c r="G40" s="27" t="b">
        <f t="shared" si="1"/>
        <v>0</v>
      </c>
    </row>
    <row r="41" spans="1:7" s="31" customFormat="1" x14ac:dyDescent="0.2">
      <c r="A41" s="21" t="s">
        <v>3</v>
      </c>
      <c r="B41" s="26">
        <f>SUMIF(support!C:C,A41,support!I:I)</f>
        <v>7.2249999999999996</v>
      </c>
      <c r="C41" s="3">
        <f>SUMIF(support!C:C,A41,support!J:J)</f>
        <v>0.70976470949999992</v>
      </c>
      <c r="D41" s="3">
        <f>SUMIF(support!C:C,A41,support!K:K)</f>
        <v>0</v>
      </c>
      <c r="E41" s="100">
        <f>SUMIF(support!C:C,A41,support!L:L)</f>
        <v>4</v>
      </c>
      <c r="F41" s="3"/>
      <c r="G41" s="27" t="b">
        <f t="shared" si="1"/>
        <v>1</v>
      </c>
    </row>
    <row r="42" spans="1:7" x14ac:dyDescent="0.2">
      <c r="A42" s="21" t="s">
        <v>430</v>
      </c>
      <c r="B42" s="26">
        <f>SUMIF(support!C:C,A42,support!I:I)</f>
        <v>0</v>
      </c>
      <c r="C42" s="3">
        <f>SUMIF(support!C:C,A42,support!J:J)</f>
        <v>0</v>
      </c>
      <c r="D42" s="3">
        <f>SUMIF(support!C:C,A42,support!K:K)</f>
        <v>1.925</v>
      </c>
      <c r="E42" s="100">
        <f>SUMIF(support!C:C,A42,support!L:L)</f>
        <v>1</v>
      </c>
      <c r="F42" s="3"/>
      <c r="G42" s="27" t="b">
        <f t="shared" si="1"/>
        <v>0</v>
      </c>
    </row>
    <row r="43" spans="1:7" x14ac:dyDescent="0.2">
      <c r="A43" s="21" t="s">
        <v>162</v>
      </c>
      <c r="B43" s="26">
        <f>SUMIF(support!C:C,A43,support!I:I)</f>
        <v>0</v>
      </c>
      <c r="C43" s="3">
        <f>SUMIF(support!C:C,A43,support!J:J)</f>
        <v>0</v>
      </c>
      <c r="D43" s="3">
        <f>SUMIF(support!C:C,A43,support!K:K)</f>
        <v>1.25</v>
      </c>
      <c r="E43" s="100">
        <f>SUMIF(support!C:C,A43,support!L:L)</f>
        <v>1</v>
      </c>
      <c r="F43" s="3"/>
      <c r="G43" s="27" t="b">
        <f t="shared" si="1"/>
        <v>0</v>
      </c>
    </row>
    <row r="44" spans="1:7" s="31" customFormat="1" x14ac:dyDescent="0.2">
      <c r="A44" s="21" t="s">
        <v>166</v>
      </c>
      <c r="B44" s="26">
        <f>SUMIF(support!C:C,A44,support!I:I)</f>
        <v>5.5703999999999994</v>
      </c>
      <c r="C44" s="3">
        <f>SUMIF(support!C:C,A44,support!J:J)</f>
        <v>0</v>
      </c>
      <c r="D44" s="3">
        <f>SUMIF(support!C:C,A44,support!K:K)</f>
        <v>0</v>
      </c>
      <c r="E44" s="100">
        <f>SUMIF(support!C:C,A44,support!L:L)</f>
        <v>1</v>
      </c>
      <c r="F44" s="3"/>
      <c r="G44" s="27" t="b">
        <f t="shared" si="1"/>
        <v>0</v>
      </c>
    </row>
    <row r="45" spans="1:7" x14ac:dyDescent="0.2">
      <c r="A45" s="21" t="s">
        <v>181</v>
      </c>
      <c r="B45" s="26">
        <f>SUMIF(support!C:C,A45,support!I:I)</f>
        <v>0</v>
      </c>
      <c r="C45" s="3">
        <f>SUMIF(support!C:C,A45,support!J:J)</f>
        <v>0</v>
      </c>
      <c r="D45" s="3">
        <f>SUMIF(support!C:C,A45,support!K:K)</f>
        <v>3</v>
      </c>
      <c r="E45" s="100">
        <f>SUMIF(support!C:C,A45,support!L:L)</f>
        <v>1</v>
      </c>
      <c r="F45" s="6" t="s">
        <v>431</v>
      </c>
      <c r="G45" s="27" t="b">
        <f t="shared" si="1"/>
        <v>0</v>
      </c>
    </row>
    <row r="46" spans="1:7" x14ac:dyDescent="0.2">
      <c r="A46" s="21" t="s">
        <v>60</v>
      </c>
      <c r="B46" s="26">
        <f>SUMIF(support!C:C,A46,support!I:I)</f>
        <v>0</v>
      </c>
      <c r="C46" s="3">
        <f>SUMIF(support!C:C,A46,support!J:J)</f>
        <v>4.8056985539062499E-2</v>
      </c>
      <c r="D46" s="3">
        <f>SUMIF(support!C:C,A46,support!K:K)</f>
        <v>0</v>
      </c>
      <c r="E46" s="100">
        <f>SUMIF(support!C:C,A46,support!L:L)</f>
        <v>1</v>
      </c>
      <c r="F46" s="3"/>
      <c r="G46" s="27" t="b">
        <f t="shared" si="1"/>
        <v>0</v>
      </c>
    </row>
    <row r="47" spans="1:7" s="31" customFormat="1" x14ac:dyDescent="0.2">
      <c r="A47" s="21" t="s">
        <v>76</v>
      </c>
      <c r="B47" s="26">
        <f>SUMIF(support!C:C,A47,support!I:I)</f>
        <v>0</v>
      </c>
      <c r="C47" s="3">
        <f>SUMIF(support!C:C,A47,support!J:J)</f>
        <v>5.9147059124999998E-2</v>
      </c>
      <c r="D47" s="3">
        <f>SUMIF(support!C:C,A47,support!K:K)</f>
        <v>0</v>
      </c>
      <c r="E47" s="100">
        <f>SUMIF(support!C:C,A47,support!L:L)</f>
        <v>1</v>
      </c>
      <c r="F47" s="3"/>
      <c r="G47" s="27" t="b">
        <f t="shared" si="1"/>
        <v>0</v>
      </c>
    </row>
    <row r="48" spans="1:7" s="31" customFormat="1" x14ac:dyDescent="0.2">
      <c r="A48" s="21" t="s">
        <v>46</v>
      </c>
      <c r="B48" s="26">
        <f>SUMIF(support!C:C,A48,support!I:I)</f>
        <v>0</v>
      </c>
      <c r="C48" s="3">
        <f>SUMIF(support!C:C,A48,support!J:J)</f>
        <v>0.46578309060937501</v>
      </c>
      <c r="D48" s="3">
        <f>SUMIF(support!C:C,A48,support!K:K)</f>
        <v>0</v>
      </c>
      <c r="E48" s="100">
        <f>SUMIF(support!C:C,A48,support!L:L)</f>
        <v>7</v>
      </c>
      <c r="F48" s="3"/>
      <c r="G48" s="27" t="b">
        <f t="shared" si="1"/>
        <v>0</v>
      </c>
    </row>
    <row r="49" spans="1:7" x14ac:dyDescent="0.2">
      <c r="A49" s="21" t="s">
        <v>77</v>
      </c>
      <c r="B49" s="26">
        <f>SUMIF(support!C:C,A49,support!I:I)</f>
        <v>0</v>
      </c>
      <c r="C49" s="3">
        <f>SUMIF(support!C:C,A49,support!J:J)</f>
        <v>5.9147059124999998E-2</v>
      </c>
      <c r="D49" s="3">
        <f>SUMIF(support!C:C,A49,support!K:K)</f>
        <v>0</v>
      </c>
      <c r="E49" s="100">
        <f>SUMIF(support!C:C,A49,support!L:L)</f>
        <v>1</v>
      </c>
      <c r="F49" s="3"/>
      <c r="G49" s="27" t="b">
        <f t="shared" si="1"/>
        <v>0</v>
      </c>
    </row>
    <row r="50" spans="1:7" x14ac:dyDescent="0.2">
      <c r="A50" s="21" t="s">
        <v>66</v>
      </c>
      <c r="B50" s="26">
        <f>SUMIF(support!C:C,A50,support!I:I)</f>
        <v>1.5725000000000002</v>
      </c>
      <c r="C50" s="3">
        <f>SUMIF(support!C:C,A50,support!J:J)</f>
        <v>0</v>
      </c>
      <c r="D50" s="3">
        <f>SUMIF(support!C:C,A50,support!K:K)</f>
        <v>0</v>
      </c>
      <c r="E50" s="100">
        <f>SUMIF(support!C:C,A50,support!L:L)</f>
        <v>4</v>
      </c>
      <c r="F50" s="3"/>
      <c r="G50" s="27" t="b">
        <f t="shared" si="1"/>
        <v>0</v>
      </c>
    </row>
    <row r="51" spans="1:7" x14ac:dyDescent="0.2">
      <c r="A51" s="21" t="s">
        <v>435</v>
      </c>
      <c r="B51" s="26">
        <f>SUMIF(support!C:C,A51,support!I:I)</f>
        <v>0</v>
      </c>
      <c r="C51" s="3">
        <f>SUMIF(support!C:C,A51,support!J:J)</f>
        <v>0</v>
      </c>
      <c r="D51" s="3">
        <f>SUMIF(support!C:C,A51,support!K:K)</f>
        <v>15.4</v>
      </c>
      <c r="E51" s="100">
        <f>SUMIF(support!C:C,A51,support!L:L)</f>
        <v>1</v>
      </c>
      <c r="F51" s="3"/>
      <c r="G51" s="27" t="b">
        <f t="shared" si="1"/>
        <v>0</v>
      </c>
    </row>
    <row r="52" spans="1:7" x14ac:dyDescent="0.2">
      <c r="A52" s="21" t="s">
        <v>104</v>
      </c>
      <c r="B52" s="26">
        <f>SUMIF(support!C:C,A52,support!I:I)</f>
        <v>7.3333489296148356E-3</v>
      </c>
      <c r="C52" s="3">
        <f>SUMIF(support!C:C,A52,support!J:J)</f>
        <v>0</v>
      </c>
      <c r="D52" s="3">
        <f>SUMIF(support!C:C,A52,support!K:K)</f>
        <v>0</v>
      </c>
      <c r="E52" s="100">
        <f>SUMIF(support!C:C,A52,support!L:L)</f>
        <v>1</v>
      </c>
      <c r="F52" s="3"/>
      <c r="G52" s="27" t="b">
        <f t="shared" si="1"/>
        <v>0</v>
      </c>
    </row>
    <row r="53" spans="1:7" x14ac:dyDescent="0.2">
      <c r="A53" s="21" t="s">
        <v>109</v>
      </c>
      <c r="B53" s="26">
        <f>SUMIF(support!C:C,A53,support!I:I)</f>
        <v>0</v>
      </c>
      <c r="C53" s="3">
        <f>SUMIF(support!C:C,A53,support!J:J)</f>
        <v>0.70976470949999992</v>
      </c>
      <c r="D53" s="3">
        <f>SUMIF(support!C:C,A53,support!K:K)</f>
        <v>0</v>
      </c>
      <c r="E53" s="100">
        <f>SUMIF(support!C:C,A53,support!L:L)</f>
        <v>2</v>
      </c>
      <c r="F53" s="3"/>
      <c r="G53" s="27" t="b">
        <f t="shared" si="1"/>
        <v>0</v>
      </c>
    </row>
    <row r="54" spans="1:7" x14ac:dyDescent="0.2">
      <c r="A54" s="21" t="s">
        <v>121</v>
      </c>
      <c r="B54" s="26">
        <f>SUMIF(support!C:C,A54,support!I:I)</f>
        <v>0</v>
      </c>
      <c r="C54" s="3">
        <f>SUMIF(support!C:C,A54,support!J:J)</f>
        <v>0.23658823649999999</v>
      </c>
      <c r="D54" s="3">
        <f>SUMIF(support!C:C,A54,support!K:K)</f>
        <v>0</v>
      </c>
      <c r="E54" s="100">
        <f>SUMIF(support!C:C,A54,support!L:L)</f>
        <v>1</v>
      </c>
      <c r="F54" s="3"/>
      <c r="G54" s="27" t="b">
        <f t="shared" si="1"/>
        <v>0</v>
      </c>
    </row>
    <row r="55" spans="1:7" x14ac:dyDescent="0.2">
      <c r="A55" s="21" t="s">
        <v>434</v>
      </c>
      <c r="B55" s="26">
        <f>SUMIF(support!C:C,A55,support!I:I)</f>
        <v>0</v>
      </c>
      <c r="C55" s="3">
        <f>SUMIF(support!C:C,A55,support!J:J)</f>
        <v>0</v>
      </c>
      <c r="D55" s="3">
        <f>SUMIF(support!C:C,A55,support!K:K)</f>
        <v>15.4</v>
      </c>
      <c r="E55" s="100">
        <f>SUMIF(support!C:C,A55,support!L:L)</f>
        <v>1</v>
      </c>
      <c r="F55" s="3"/>
      <c r="G55" s="27" t="b">
        <f t="shared" si="1"/>
        <v>0</v>
      </c>
    </row>
    <row r="56" spans="1:7" s="31" customFormat="1" x14ac:dyDescent="0.2">
      <c r="A56" s="21" t="s">
        <v>67</v>
      </c>
      <c r="B56" s="26">
        <f>SUMIF(support!C:C,A56,support!I:I)</f>
        <v>4.6749999999999998</v>
      </c>
      <c r="C56" s="3">
        <f>SUMIF(support!C:C,A56,support!J:J)</f>
        <v>0</v>
      </c>
      <c r="D56" s="3">
        <f>SUMIF(support!C:C,A56,support!K:K)</f>
        <v>0</v>
      </c>
      <c r="E56" s="100">
        <f>SUMIF(support!C:C,A56,support!L:L)</f>
        <v>3</v>
      </c>
      <c r="F56" s="3"/>
      <c r="G56" s="27" t="b">
        <f t="shared" si="1"/>
        <v>0</v>
      </c>
    </row>
    <row r="57" spans="1:7" s="31" customFormat="1" x14ac:dyDescent="0.2">
      <c r="A57" s="21" t="s">
        <v>400</v>
      </c>
      <c r="B57" s="26">
        <f>SUMIF(support!C:C,A57,support!I:I)</f>
        <v>0.2675812954815</v>
      </c>
      <c r="C57" s="3">
        <f>SUMIF(support!C:C,A57,support!J:J)</f>
        <v>0</v>
      </c>
      <c r="D57" s="3">
        <f>SUMIF(support!C:C,A57,support!K:K)</f>
        <v>0</v>
      </c>
      <c r="E57" s="100">
        <f>SUMIF(support!C:C,A57,support!L:L)</f>
        <v>1</v>
      </c>
      <c r="F57" s="3"/>
      <c r="G57" s="27" t="b">
        <f t="shared" si="1"/>
        <v>0</v>
      </c>
    </row>
    <row r="58" spans="1:7" s="31" customFormat="1" x14ac:dyDescent="0.2">
      <c r="A58" s="21" t="s">
        <v>11</v>
      </c>
      <c r="B58" s="26">
        <f>SUMIF(support!C:C,A58,support!I:I)</f>
        <v>5.6944565551933383E-2</v>
      </c>
      <c r="C58" s="3">
        <f>SUMIF(support!C:C,A58,support!J:J)</f>
        <v>0</v>
      </c>
      <c r="D58" s="3">
        <f>SUMIF(support!C:C,A58,support!K:K)</f>
        <v>0</v>
      </c>
      <c r="E58" s="100">
        <f>SUMIF(support!C:C,A58,support!L:L)</f>
        <v>10</v>
      </c>
      <c r="F58" s="3"/>
      <c r="G58" s="27" t="b">
        <f t="shared" si="1"/>
        <v>0</v>
      </c>
    </row>
    <row r="59" spans="1:7" s="31" customFormat="1" x14ac:dyDescent="0.2">
      <c r="A59" s="21" t="s">
        <v>173</v>
      </c>
      <c r="B59" s="26">
        <f>SUMIF(support!C:C,A59,support!I:I)</f>
        <v>0</v>
      </c>
      <c r="C59" s="3">
        <f>SUMIF(support!C:C,A59,support!J:J)</f>
        <v>9.2417279882812495E-2</v>
      </c>
      <c r="D59" s="3">
        <f>SUMIF(support!C:C,A59,support!K:K)</f>
        <v>0</v>
      </c>
      <c r="E59" s="100">
        <f>SUMIF(support!C:C,A59,support!L:L)</f>
        <v>1</v>
      </c>
      <c r="F59" s="3"/>
      <c r="G59" s="27" t="b">
        <f t="shared" si="1"/>
        <v>0</v>
      </c>
    </row>
    <row r="60" spans="1:7" s="31" customFormat="1" x14ac:dyDescent="0.2">
      <c r="A60" s="21" t="s">
        <v>93</v>
      </c>
      <c r="B60" s="26">
        <f>SUMIF(support!C:C,A60,support!I:I)</f>
        <v>0</v>
      </c>
      <c r="C60" s="3">
        <f>SUMIF(support!C:C,A60,support!J:J)</f>
        <v>0</v>
      </c>
      <c r="D60" s="3">
        <f>SUMIF(support!C:C,A60,support!K:K)</f>
        <v>14.25</v>
      </c>
      <c r="E60" s="100">
        <f>SUMIF(support!C:C,A60,support!L:L)</f>
        <v>3</v>
      </c>
      <c r="F60" s="3"/>
      <c r="G60" s="27" t="b">
        <f t="shared" si="1"/>
        <v>0</v>
      </c>
    </row>
    <row r="61" spans="1:7" s="31" customFormat="1" x14ac:dyDescent="0.2">
      <c r="A61" s="21" t="s">
        <v>119</v>
      </c>
      <c r="B61" s="26">
        <f>SUMIF(support!C:C,A61,support!I:I)</f>
        <v>0</v>
      </c>
      <c r="C61" s="3">
        <f>SUMIF(support!C:C,A61,support!J:J)</f>
        <v>5.9147059124999998E-2</v>
      </c>
      <c r="D61" s="3">
        <f>SUMIF(support!C:C,A61,support!K:K)</f>
        <v>0</v>
      </c>
      <c r="E61" s="100">
        <f>SUMIF(support!C:C,A61,support!L:L)</f>
        <v>1</v>
      </c>
      <c r="F61" s="102" t="s">
        <v>190</v>
      </c>
      <c r="G61" s="32" t="b">
        <f t="shared" si="1"/>
        <v>0</v>
      </c>
    </row>
    <row r="62" spans="1:7" x14ac:dyDescent="0.2">
      <c r="A62" s="21" t="s">
        <v>296</v>
      </c>
      <c r="B62" s="26">
        <f>SUMIF(support!C:C,A62,support!I:I)</f>
        <v>0</v>
      </c>
      <c r="C62" s="3">
        <f>SUMIF(support!C:C,A62,support!J:J)</f>
        <v>0.47317647299999999</v>
      </c>
      <c r="D62" s="3">
        <f>SUMIF(support!C:C,A62,support!K:K)</f>
        <v>0</v>
      </c>
      <c r="E62" s="100">
        <f>SUMIF(support!C:C,A62,support!L:L)</f>
        <v>1</v>
      </c>
      <c r="F62" s="3"/>
      <c r="G62" s="27" t="b">
        <f t="shared" si="1"/>
        <v>0</v>
      </c>
    </row>
    <row r="63" spans="1:7" s="31" customFormat="1" x14ac:dyDescent="0.2">
      <c r="A63" s="21" t="s">
        <v>403</v>
      </c>
      <c r="B63" s="26">
        <f>SUMIF(support!C:C,A63,support!I:I)</f>
        <v>0</v>
      </c>
      <c r="C63" s="3">
        <f>SUMIF(support!C:C,A63,support!J:J)</f>
        <v>0.35488235474999996</v>
      </c>
      <c r="D63" s="3">
        <f>SUMIF(support!C:C,A63,support!K:K)</f>
        <v>0</v>
      </c>
      <c r="E63" s="100">
        <f>SUMIF(support!C:C,A63,support!L:L)</f>
        <v>1</v>
      </c>
      <c r="F63" s="3"/>
      <c r="G63" s="27" t="b">
        <f t="shared" si="1"/>
        <v>0</v>
      </c>
    </row>
    <row r="64" spans="1:7" x14ac:dyDescent="0.2">
      <c r="A64" s="21" t="s">
        <v>322</v>
      </c>
      <c r="B64" s="26">
        <f>SUMIF(support!C:C,A64,support!I:I)</f>
        <v>0</v>
      </c>
      <c r="C64" s="3">
        <f>SUMIF(support!C:C,A64,support!J:J)</f>
        <v>0</v>
      </c>
      <c r="D64" s="3">
        <f>SUMIF(support!C:C,A64,support!K:K)</f>
        <v>0</v>
      </c>
      <c r="E64" s="100">
        <f>SUMIF(support!C:C,A64,support!L:L)</f>
        <v>1</v>
      </c>
      <c r="F64" s="3"/>
      <c r="G64" s="27" t="b">
        <f t="shared" si="1"/>
        <v>0</v>
      </c>
    </row>
    <row r="65" spans="1:7" x14ac:dyDescent="0.2">
      <c r="A65" s="21" t="s">
        <v>295</v>
      </c>
      <c r="B65" s="26">
        <f>SUMIF(support!C:C,A65,support!I:I)</f>
        <v>0</v>
      </c>
      <c r="C65" s="3">
        <f>SUMIF(support!C:C,A65,support!J:J)</f>
        <v>2.9573529562499999E-2</v>
      </c>
      <c r="D65" s="3">
        <f>SUMIF(support!C:C,A65,support!K:K)</f>
        <v>0</v>
      </c>
      <c r="E65" s="100">
        <f>SUMIF(support!C:C,A65,support!L:L)</f>
        <v>1</v>
      </c>
      <c r="F65" s="3"/>
      <c r="G65" s="27" t="b">
        <f t="shared" si="1"/>
        <v>0</v>
      </c>
    </row>
    <row r="66" spans="1:7" x14ac:dyDescent="0.2">
      <c r="A66" s="21" t="s">
        <v>171</v>
      </c>
      <c r="B66" s="26">
        <f>SUMIF(support!C:C,A66,support!I:I)</f>
        <v>0</v>
      </c>
      <c r="C66" s="3">
        <f>SUMIF(support!C:C,A66,support!J:J)</f>
        <v>4.4360294343749995E-2</v>
      </c>
      <c r="D66" s="3">
        <f>SUMIF(support!C:C,A66,support!K:K)</f>
        <v>0</v>
      </c>
      <c r="E66" s="100">
        <f>SUMIF(support!C:C,A66,support!L:L)</f>
        <v>1</v>
      </c>
      <c r="F66" s="3"/>
      <c r="G66" s="27" t="b">
        <f t="shared" ref="G66:G83" si="2">OR(COUNTIF(B66:D66, "&lt;&gt;0") &gt; 1, E66 = 0)</f>
        <v>0</v>
      </c>
    </row>
    <row r="67" spans="1:7" s="31" customFormat="1" x14ac:dyDescent="0.2">
      <c r="A67" s="21" t="s">
        <v>174</v>
      </c>
      <c r="B67" s="26">
        <f>SUMIF(support!C:C,A67,support!I:I)</f>
        <v>0</v>
      </c>
      <c r="C67" s="3">
        <f>SUMIF(support!C:C,A67,support!J:J)</f>
        <v>4.4360294343749995E-2</v>
      </c>
      <c r="D67" s="3">
        <f>SUMIF(support!C:C,A67,support!K:K)</f>
        <v>0</v>
      </c>
      <c r="E67" s="100">
        <f>SUMIF(support!C:C,A67,support!L:L)</f>
        <v>2</v>
      </c>
      <c r="F67" s="3"/>
      <c r="G67" s="27" t="b">
        <f t="shared" si="2"/>
        <v>0</v>
      </c>
    </row>
    <row r="68" spans="1:7" x14ac:dyDescent="0.2">
      <c r="A68" s="21" t="s">
        <v>179</v>
      </c>
      <c r="B68" s="26">
        <f>SUMIF(support!C:C,A68,support!I:I)</f>
        <v>0</v>
      </c>
      <c r="C68" s="3">
        <f>SUMIF(support!C:C,A68,support!J:J)</f>
        <v>0</v>
      </c>
      <c r="D68" s="3">
        <f>SUMIF(support!C:C,A68,support!K:K)</f>
        <v>3.75</v>
      </c>
      <c r="E68" s="100">
        <f>SUMIF(support!C:C,A68,support!L:L)</f>
        <v>1</v>
      </c>
      <c r="F68" s="3" t="s">
        <v>180</v>
      </c>
      <c r="G68" s="27" t="b">
        <f t="shared" si="2"/>
        <v>0</v>
      </c>
    </row>
    <row r="69" spans="1:7" s="31" customFormat="1" x14ac:dyDescent="0.2">
      <c r="A69" s="21" t="s">
        <v>159</v>
      </c>
      <c r="B69" s="26">
        <f>SUMIF(support!C:C,A69,support!I:I)</f>
        <v>0</v>
      </c>
      <c r="C69" s="3">
        <f>SUMIF(support!C:C,A69,support!J:J)</f>
        <v>0</v>
      </c>
      <c r="D69" s="3">
        <f>SUMIF(support!C:C,A69,support!K:K)</f>
        <v>2</v>
      </c>
      <c r="E69" s="100">
        <f>SUMIF(support!C:C,A69,support!L:L)</f>
        <v>1</v>
      </c>
      <c r="F69" s="3"/>
      <c r="G69" s="27" t="b">
        <f t="shared" si="2"/>
        <v>0</v>
      </c>
    </row>
    <row r="70" spans="1:7" x14ac:dyDescent="0.2">
      <c r="A70" s="21" t="s">
        <v>86</v>
      </c>
      <c r="B70" s="26">
        <f>SUMIF(support!C:C,A70,support!I:I)</f>
        <v>0</v>
      </c>
      <c r="C70" s="3">
        <f>SUMIF(support!C:C,A70,support!J:J)</f>
        <v>0</v>
      </c>
      <c r="D70" s="3">
        <f>SUMIF(support!C:C,A70,support!K:K)</f>
        <v>4</v>
      </c>
      <c r="E70" s="100">
        <f>SUMIF(support!C:C,A70,support!L:L)</f>
        <v>1</v>
      </c>
      <c r="F70" s="3"/>
      <c r="G70" s="27" t="b">
        <f t="shared" si="2"/>
        <v>0</v>
      </c>
    </row>
    <row r="71" spans="1:7" s="31" customFormat="1" x14ac:dyDescent="0.2">
      <c r="A71" s="21" t="s">
        <v>47</v>
      </c>
      <c r="B71" s="26">
        <f>SUMIF(support!C:C,A71,support!I:I)</f>
        <v>0</v>
      </c>
      <c r="C71" s="3">
        <f>SUMIF(support!C:C,A71,support!J:J)</f>
        <v>0</v>
      </c>
      <c r="D71" s="3">
        <f>SUMIF(support!C:C,A71,support!K:K)</f>
        <v>4</v>
      </c>
      <c r="E71" s="100">
        <f>SUMIF(support!C:C,A71,support!L:L)</f>
        <v>2</v>
      </c>
      <c r="F71" s="3"/>
      <c r="G71" s="27" t="b">
        <f t="shared" si="2"/>
        <v>0</v>
      </c>
    </row>
    <row r="72" spans="1:7" x14ac:dyDescent="0.2">
      <c r="A72" s="21" t="s">
        <v>111</v>
      </c>
      <c r="B72" s="26">
        <f>SUMIF(support!C:C,A72,support!I:I)</f>
        <v>0</v>
      </c>
      <c r="C72" s="3">
        <f>SUMIF(support!C:C,A72,support!J:J)</f>
        <v>0</v>
      </c>
      <c r="D72" s="3">
        <f>SUMIF(support!C:C,A72,support!K:K)</f>
        <v>4.75</v>
      </c>
      <c r="E72" s="100">
        <f>SUMIF(support!C:C,A72,support!L:L)</f>
        <v>4</v>
      </c>
      <c r="F72" s="3" t="s">
        <v>405</v>
      </c>
      <c r="G72" s="27" t="b">
        <f t="shared" si="2"/>
        <v>0</v>
      </c>
    </row>
    <row r="73" spans="1:7" x14ac:dyDescent="0.2">
      <c r="A73" s="21" t="s">
        <v>122</v>
      </c>
      <c r="B73" s="26">
        <f>SUMIF(support!C:C,A73,support!I:I)</f>
        <v>0</v>
      </c>
      <c r="C73" s="3">
        <f>SUMIF(support!C:C,A73,support!J:J)</f>
        <v>0.8872058868749999</v>
      </c>
      <c r="D73" s="3">
        <f>SUMIF(support!C:C,A73,support!K:K)</f>
        <v>0</v>
      </c>
      <c r="E73" s="100">
        <f>SUMIF(support!C:C,A73,support!L:L)</f>
        <v>2</v>
      </c>
      <c r="F73" s="3" t="s">
        <v>405</v>
      </c>
      <c r="G73" s="27" t="b">
        <f t="shared" si="2"/>
        <v>0</v>
      </c>
    </row>
    <row r="74" spans="1:7" s="31" customFormat="1" x14ac:dyDescent="0.2">
      <c r="A74" s="21" t="s">
        <v>74</v>
      </c>
      <c r="B74" s="26">
        <f>SUMIF(support!C:C,A74,support!I:I)</f>
        <v>0</v>
      </c>
      <c r="C74" s="3">
        <f>SUMIF(support!C:C,A74,support!J:J)</f>
        <v>0</v>
      </c>
      <c r="D74" s="3">
        <f>SUMIF(support!C:C,A74,support!K:K)</f>
        <v>2</v>
      </c>
      <c r="E74" s="100">
        <f>SUMIF(support!C:C,A74,support!L:L)</f>
        <v>1</v>
      </c>
      <c r="F74" s="3"/>
      <c r="G74" s="27" t="b">
        <f t="shared" si="2"/>
        <v>0</v>
      </c>
    </row>
    <row r="75" spans="1:7" x14ac:dyDescent="0.2">
      <c r="A75" s="21" t="s">
        <v>290</v>
      </c>
      <c r="B75" s="26">
        <f>SUMIF(support!C:C,A75,support!I:I)</f>
        <v>0</v>
      </c>
      <c r="C75" s="3">
        <f>SUMIF(support!C:C,A75,support!J:J)</f>
        <v>0.94635294599999997</v>
      </c>
      <c r="D75" s="3">
        <f>SUMIF(support!C:C,A75,support!K:K)</f>
        <v>0</v>
      </c>
      <c r="E75" s="100">
        <f>SUMIF(support!C:C,A75,support!L:L)</f>
        <v>1</v>
      </c>
      <c r="F75" s="6" t="s">
        <v>306</v>
      </c>
      <c r="G75" s="27" t="b">
        <f t="shared" si="2"/>
        <v>0</v>
      </c>
    </row>
    <row r="76" spans="1:7" x14ac:dyDescent="0.2">
      <c r="A76" s="21" t="s">
        <v>63</v>
      </c>
      <c r="B76" s="26">
        <f>SUMIF(support!C:C,A76,support!I:I)</f>
        <v>1.25</v>
      </c>
      <c r="C76" s="3">
        <f>SUMIF(support!C:C,A76,support!J:J)</f>
        <v>1.0646470642499999</v>
      </c>
      <c r="D76" s="3">
        <f>SUMIF(support!C:C,A76,support!K:K)</f>
        <v>2.25</v>
      </c>
      <c r="E76" s="100">
        <f>SUMIF(support!C:C,A76,support!L:L)</f>
        <v>4</v>
      </c>
      <c r="F76" s="3"/>
      <c r="G76" s="27" t="b">
        <f t="shared" si="2"/>
        <v>1</v>
      </c>
    </row>
    <row r="77" spans="1:7" x14ac:dyDescent="0.2">
      <c r="A77" s="21" t="s">
        <v>71</v>
      </c>
      <c r="B77" s="26">
        <f>SUMIF(support!C:C,A77,support!I:I)</f>
        <v>1.7489999999999999</v>
      </c>
      <c r="C77" s="3">
        <f>SUMIF(support!C:C,A77,support!J:J)</f>
        <v>0</v>
      </c>
      <c r="D77" s="3">
        <f>SUMIF(support!C:C,A77,support!K:K)</f>
        <v>0</v>
      </c>
      <c r="E77" s="100">
        <f>SUMIF(support!C:C,A77,support!L:L)</f>
        <v>1</v>
      </c>
      <c r="F77" s="3"/>
      <c r="G77" s="27" t="b">
        <f t="shared" si="2"/>
        <v>0</v>
      </c>
    </row>
    <row r="78" spans="1:7" x14ac:dyDescent="0.2">
      <c r="A78" s="21" t="s">
        <v>58</v>
      </c>
      <c r="B78" s="26">
        <f>SUMIF(support!C:C,A78,support!I:I)</f>
        <v>0</v>
      </c>
      <c r="C78" s="3">
        <f>SUMIF(support!C:C,A78,support!J:J)</f>
        <v>9.9012941489999999</v>
      </c>
      <c r="D78" s="3">
        <f>SUMIF(support!C:C,A78,support!K:K)</f>
        <v>0</v>
      </c>
      <c r="E78" s="100">
        <f>SUMIF(support!C:C,A78,support!L:L)</f>
        <v>5</v>
      </c>
      <c r="F78" s="6" t="s">
        <v>304</v>
      </c>
      <c r="G78" s="27" t="b">
        <f t="shared" si="2"/>
        <v>0</v>
      </c>
    </row>
    <row r="79" spans="1:7" x14ac:dyDescent="0.2">
      <c r="A79" s="21" t="s">
        <v>59</v>
      </c>
      <c r="B79" s="26">
        <f>SUMIF(support!C:C,A79,support!I:I)</f>
        <v>4.675E-2</v>
      </c>
      <c r="C79" s="3">
        <f>SUMIF(support!C:C,A79,support!J:J)</f>
        <v>0</v>
      </c>
      <c r="D79" s="3">
        <f>SUMIF(support!C:C,A79,support!K:K)</f>
        <v>0</v>
      </c>
      <c r="E79" s="100">
        <f>SUMIF(support!C:C,A79,support!L:L)</f>
        <v>1</v>
      </c>
      <c r="F79" s="3"/>
      <c r="G79" s="27" t="b">
        <f t="shared" si="2"/>
        <v>0</v>
      </c>
    </row>
    <row r="80" spans="1:7" x14ac:dyDescent="0.2">
      <c r="A80" s="21" t="s">
        <v>48</v>
      </c>
      <c r="B80" s="26">
        <f>SUMIF(support!C:C,A80,support!I:I)</f>
        <v>6.2317647299999992</v>
      </c>
      <c r="C80" s="3">
        <f>SUMIF(support!C:C,A80,support!J:J)</f>
        <v>0</v>
      </c>
      <c r="D80" s="3">
        <f>SUMIF(support!C:C,A80,support!K:K)</f>
        <v>0</v>
      </c>
      <c r="E80" s="100">
        <f>SUMIF(support!C:C,A80,support!L:L)</f>
        <v>9</v>
      </c>
      <c r="F80" s="3"/>
      <c r="G80" s="27" t="b">
        <f t="shared" si="2"/>
        <v>0</v>
      </c>
    </row>
    <row r="81" spans="1:7" x14ac:dyDescent="0.2">
      <c r="A81" s="21" t="s">
        <v>72</v>
      </c>
      <c r="B81" s="26">
        <f>SUMIF(support!C:C,A81,support!I:I)</f>
        <v>0</v>
      </c>
      <c r="C81" s="3">
        <f>SUMIF(support!C:C,A81,support!J:J)</f>
        <v>0</v>
      </c>
      <c r="D81" s="3">
        <f>SUMIF(support!C:C,A81,support!K:K)</f>
        <v>13.25</v>
      </c>
      <c r="E81" s="100">
        <f>SUMIF(support!C:C,A81,support!L:L)</f>
        <v>1</v>
      </c>
      <c r="F81" s="3"/>
      <c r="G81" s="27" t="b">
        <f t="shared" si="2"/>
        <v>0</v>
      </c>
    </row>
    <row r="82" spans="1:7" x14ac:dyDescent="0.2">
      <c r="A82" s="21" t="s">
        <v>175</v>
      </c>
      <c r="B82" s="26">
        <f>SUMIF(support!C:C,A82,support!I:I)</f>
        <v>0.47125</v>
      </c>
      <c r="C82" s="3">
        <f>SUMIF(support!C:C,A82,support!J:J)</f>
        <v>0</v>
      </c>
      <c r="D82" s="3">
        <f>SUMIF(support!C:C,A82,support!K:K)</f>
        <v>0</v>
      </c>
      <c r="E82" s="100">
        <f>SUMIF(support!C:C,A82,support!L:L)</f>
        <v>1</v>
      </c>
      <c r="F82" s="3"/>
      <c r="G82" s="27" t="b">
        <f t="shared" si="2"/>
        <v>0</v>
      </c>
    </row>
    <row r="83" spans="1:7" ht="13.5" thickBot="1" x14ac:dyDescent="0.25">
      <c r="A83" s="22" t="s">
        <v>68</v>
      </c>
      <c r="B83" s="28">
        <f>SUMIF(support!C:C,A83,support!I:I)</f>
        <v>0</v>
      </c>
      <c r="C83" s="29">
        <f>SUMIF(support!C:C,A83,support!J:J)</f>
        <v>0</v>
      </c>
      <c r="D83" s="29">
        <f>SUMIF(support!C:C,A83,support!K:K)</f>
        <v>10</v>
      </c>
      <c r="E83" s="101">
        <f>SUMIF(support!C:C,A83,support!L:L)</f>
        <v>2</v>
      </c>
      <c r="F83" s="29"/>
      <c r="G83" s="30" t="b">
        <f t="shared" si="2"/>
        <v>0</v>
      </c>
    </row>
    <row r="84" spans="1:7" ht="13.5" thickBot="1" x14ac:dyDescent="0.25">
      <c r="A84" s="8" t="s">
        <v>113</v>
      </c>
    </row>
  </sheetData>
  <sortState ref="A2:G83">
    <sortCondition ref="A2:A83"/>
  </sortState>
  <conditionalFormatting sqref="B20:D32 B62:D73 B38:D43 B84:E1048576 G1 G84:G1048576 B75:D83 B1:E8 E45:E83 B45:D55 E13:E32 B13:D18 E34:E43 B34:D36">
    <cfRule type="cellIs" dxfId="22" priority="39" operator="equal">
      <formula>0</formula>
    </cfRule>
  </conditionalFormatting>
  <conditionalFormatting sqref="B19:D19">
    <cfRule type="cellIs" dxfId="21" priority="38" operator="equal">
      <formula>0</formula>
    </cfRule>
  </conditionalFormatting>
  <conditionalFormatting sqref="B74:D74">
    <cfRule type="cellIs" dxfId="20" priority="37" operator="equal">
      <formula>0</formula>
    </cfRule>
  </conditionalFormatting>
  <conditionalFormatting sqref="B58:D58">
    <cfRule type="cellIs" dxfId="19" priority="36" operator="equal">
      <formula>0</formula>
    </cfRule>
  </conditionalFormatting>
  <conditionalFormatting sqref="B59:D59">
    <cfRule type="cellIs" dxfId="18" priority="35" operator="equal">
      <formula>0</formula>
    </cfRule>
  </conditionalFormatting>
  <conditionalFormatting sqref="B61:D61">
    <cfRule type="cellIs" dxfId="17" priority="34" operator="equal">
      <formula>0</formula>
    </cfRule>
  </conditionalFormatting>
  <conditionalFormatting sqref="B57:D57">
    <cfRule type="cellIs" dxfId="16" priority="33" operator="equal">
      <formula>0</formula>
    </cfRule>
  </conditionalFormatting>
  <conditionalFormatting sqref="B56:D56">
    <cfRule type="cellIs" dxfId="15" priority="31" operator="equal">
      <formula>0</formula>
    </cfRule>
  </conditionalFormatting>
  <conditionalFormatting sqref="B37:D37">
    <cfRule type="cellIs" dxfId="14" priority="30" operator="equal">
      <formula>0</formula>
    </cfRule>
  </conditionalFormatting>
  <conditionalFormatting sqref="B60:D60">
    <cfRule type="cellIs" dxfId="13" priority="29" operator="equal">
      <formula>0</formula>
    </cfRule>
  </conditionalFormatting>
  <conditionalFormatting sqref="G2:G8 G45:G83 G13:G32 G34:G43">
    <cfRule type="cellIs" dxfId="12" priority="13" operator="equal">
      <formula>TRUE</formula>
    </cfRule>
  </conditionalFormatting>
  <conditionalFormatting sqref="B44:E44">
    <cfRule type="cellIs" dxfId="11" priority="12" operator="equal">
      <formula>0</formula>
    </cfRule>
  </conditionalFormatting>
  <conditionalFormatting sqref="G44">
    <cfRule type="cellIs" dxfId="10" priority="11" operator="equal">
      <formula>TRUE</formula>
    </cfRule>
  </conditionalFormatting>
  <conditionalFormatting sqref="B11:E11">
    <cfRule type="cellIs" dxfId="9" priority="10" operator="equal">
      <formula>0</formula>
    </cfRule>
  </conditionalFormatting>
  <conditionalFormatting sqref="G11">
    <cfRule type="cellIs" dxfId="8" priority="9" operator="equal">
      <formula>TRUE</formula>
    </cfRule>
  </conditionalFormatting>
  <conditionalFormatting sqref="G12">
    <cfRule type="cellIs" dxfId="7" priority="7" operator="equal">
      <formula>TRUE</formula>
    </cfRule>
  </conditionalFormatting>
  <conditionalFormatting sqref="B12:E12">
    <cfRule type="cellIs" dxfId="6" priority="8" operator="equal">
      <formula>0</formula>
    </cfRule>
  </conditionalFormatting>
  <conditionalFormatting sqref="G9">
    <cfRule type="cellIs" dxfId="5" priority="5" operator="equal">
      <formula>TRUE</formula>
    </cfRule>
  </conditionalFormatting>
  <conditionalFormatting sqref="G10">
    <cfRule type="cellIs" dxfId="4" priority="3" operator="equal">
      <formula>TRUE</formula>
    </cfRule>
  </conditionalFormatting>
  <conditionalFormatting sqref="B9:E9">
    <cfRule type="cellIs" dxfId="3" priority="6" operator="equal">
      <formula>0</formula>
    </cfRule>
  </conditionalFormatting>
  <conditionalFormatting sqref="B10:E10">
    <cfRule type="cellIs" dxfId="2" priority="4" operator="equal">
      <formula>0</formula>
    </cfRule>
  </conditionalFormatting>
  <conditionalFormatting sqref="G33">
    <cfRule type="cellIs" dxfId="1" priority="1" operator="equal">
      <formula>TRUE</formula>
    </cfRule>
  </conditionalFormatting>
  <conditionalFormatting sqref="B33:E33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2018-11-07T08:11:20Z</dcterms:modified>
</cp:coreProperties>
</file>