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F1480878-65E8-4E50-BBE9-1C5148FBB696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support!$G$2:$G$90</definedName>
    <definedName name="itemMlPerQty">support!$H$2:$H$90</definedName>
    <definedName name="itemNames">support!$A$2:$A$90</definedName>
    <definedName name="itemPrepMethods">support!$B$2:$B$90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recipes!$F$43</definedName>
    <definedName name="recipe01TotScale">recipes!$F$46</definedName>
    <definedName name="recipe02DayScale">recipes!$F$65</definedName>
    <definedName name="recipe02TotScale">recipes!$F$68</definedName>
    <definedName name="recipe03DayScale">recipes!$F$128</definedName>
    <definedName name="recipe03TotScale">recipes!$F$131</definedName>
    <definedName name="recipe04DayScale">recipes!$F$335</definedName>
    <definedName name="recipe04TotScale">recipes!$F$338</definedName>
    <definedName name="recipe05DayScale">recipes!$F$184</definedName>
    <definedName name="recipe05TotScale">recipes!$F$187</definedName>
    <definedName name="recipe06DayScale">recipes!$F$216</definedName>
    <definedName name="recipe06TotScale">recipes!$F$219</definedName>
    <definedName name="recipe07DayScale">recipes!$F$242</definedName>
    <definedName name="recipe07TotScale">recipes!$F$245</definedName>
    <definedName name="recipe08DayScale">recipes!$F$91</definedName>
    <definedName name="recipe08TotScale">recipes!$F$94</definedName>
    <definedName name="recipe09DayScale">recipes!$F$301</definedName>
    <definedName name="recipe09TotScale">recipes!$F$304</definedName>
    <definedName name="recipe10DayScale">recipes!$F$151</definedName>
    <definedName name="recipe10TotScale">recipes!$F$154</definedName>
    <definedName name="recipe11DayScale">recipes!$F$367</definedName>
    <definedName name="recipe11TotScale">recipes!$F$370</definedName>
    <definedName name="recipe12DayScale">recipes!$F$268</definedName>
    <definedName name="recipe12TotScale">recipes!$F$271</definedName>
    <definedName name="recipe13DayScale">recipes!$F$21</definedName>
    <definedName name="recipe13TotScale">recipes!$F$24</definedName>
    <definedName name="recipe14DayScale">recipes!$F$4</definedName>
    <definedName name="recipe14TotScale">recipes!$F$6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shopping!$A$2:$A$77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1" i="2" l="1"/>
  <c r="G89" i="1"/>
  <c r="M101" i="2"/>
  <c r="R101" i="2"/>
  <c r="I89" i="1"/>
  <c r="Q352" i="2"/>
  <c r="G90" i="1"/>
  <c r="M352" i="2"/>
  <c r="R352" i="2"/>
  <c r="I90" i="1"/>
  <c r="B77" i="3"/>
  <c r="H89" i="1"/>
  <c r="N101" i="2"/>
  <c r="S101" i="2"/>
  <c r="J89" i="1"/>
  <c r="H90" i="1"/>
  <c r="N352" i="2"/>
  <c r="S352" i="2"/>
  <c r="J90" i="1"/>
  <c r="C77" i="3"/>
  <c r="T101" i="2"/>
  <c r="K89" i="1"/>
  <c r="T352" i="2"/>
  <c r="K90" i="1"/>
  <c r="D77" i="3"/>
  <c r="L89" i="1"/>
  <c r="L90" i="1"/>
  <c r="E77" i="3"/>
  <c r="G77" i="3"/>
  <c r="Q166" i="2"/>
  <c r="G88" i="1"/>
  <c r="M166" i="2"/>
  <c r="R166" i="2"/>
  <c r="I88" i="1"/>
  <c r="B76" i="3"/>
  <c r="H88" i="1"/>
  <c r="N166" i="2"/>
  <c r="S166" i="2"/>
  <c r="J88" i="1"/>
  <c r="C76" i="3"/>
  <c r="T166" i="2"/>
  <c r="K88" i="1"/>
  <c r="D76" i="3"/>
  <c r="L88" i="1"/>
  <c r="E76" i="3"/>
  <c r="G76" i="3"/>
  <c r="Q246" i="2"/>
  <c r="G87" i="1"/>
  <c r="M246" i="2"/>
  <c r="R246" i="2"/>
  <c r="I87" i="1"/>
  <c r="B75" i="3"/>
  <c r="H87" i="1"/>
  <c r="N246" i="2"/>
  <c r="S246" i="2"/>
  <c r="J87" i="1"/>
  <c r="C75" i="3"/>
  <c r="T246" i="2"/>
  <c r="K87" i="1"/>
  <c r="D75" i="3"/>
  <c r="L87" i="1"/>
  <c r="E75" i="3"/>
  <c r="G75" i="3"/>
  <c r="H85" i="1"/>
  <c r="N218" i="2"/>
  <c r="G85" i="1"/>
  <c r="M218" i="2"/>
  <c r="O218" i="2"/>
  <c r="P218" i="2"/>
  <c r="Q218" i="2"/>
  <c r="R218" i="2"/>
  <c r="I85" i="1"/>
  <c r="H86" i="1"/>
  <c r="N79" i="2"/>
  <c r="G86" i="1"/>
  <c r="M79" i="2"/>
  <c r="O79" i="2"/>
  <c r="P79" i="2"/>
  <c r="Q79" i="2"/>
  <c r="R79" i="2"/>
  <c r="N104" i="2"/>
  <c r="M104" i="2"/>
  <c r="O104" i="2"/>
  <c r="P104" i="2"/>
  <c r="Q104" i="2"/>
  <c r="R104" i="2"/>
  <c r="N164" i="2"/>
  <c r="M164" i="2"/>
  <c r="O164" i="2"/>
  <c r="P164" i="2"/>
  <c r="Q164" i="2"/>
  <c r="R164" i="2"/>
  <c r="N380" i="2"/>
  <c r="M380" i="2"/>
  <c r="O380" i="2"/>
  <c r="P380" i="2"/>
  <c r="Q380" i="2"/>
  <c r="R380" i="2"/>
  <c r="I86" i="1"/>
  <c r="B74" i="3"/>
  <c r="S218" i="2"/>
  <c r="J85" i="1"/>
  <c r="S79" i="2"/>
  <c r="S104" i="2"/>
  <c r="S164" i="2"/>
  <c r="S380" i="2"/>
  <c r="J86" i="1"/>
  <c r="C74" i="3"/>
  <c r="T218" i="2"/>
  <c r="K85" i="1"/>
  <c r="T79" i="2"/>
  <c r="T104" i="2"/>
  <c r="T164" i="2"/>
  <c r="T380" i="2"/>
  <c r="K86" i="1"/>
  <c r="D74" i="3"/>
  <c r="L85" i="1"/>
  <c r="L86" i="1"/>
  <c r="E74" i="3"/>
  <c r="G74" i="3"/>
  <c r="O257" i="2"/>
  <c r="Q257" i="2"/>
  <c r="R257" i="2"/>
  <c r="I84" i="1"/>
  <c r="B73" i="3"/>
  <c r="S257" i="2"/>
  <c r="J84" i="1"/>
  <c r="C73" i="3"/>
  <c r="T257" i="2"/>
  <c r="K84" i="1"/>
  <c r="D73" i="3"/>
  <c r="L84" i="1"/>
  <c r="E73" i="3"/>
  <c r="G73" i="3"/>
  <c r="H83" i="1"/>
  <c r="N135" i="2"/>
  <c r="O135" i="2"/>
  <c r="P135" i="2"/>
  <c r="Q135" i="2"/>
  <c r="R135" i="2"/>
  <c r="N185" i="2"/>
  <c r="O185" i="2"/>
  <c r="P185" i="2"/>
  <c r="Q185" i="2"/>
  <c r="R185" i="2"/>
  <c r="N249" i="2"/>
  <c r="O249" i="2"/>
  <c r="P249" i="2"/>
  <c r="Q249" i="2"/>
  <c r="R249" i="2"/>
  <c r="N317" i="2"/>
  <c r="O317" i="2"/>
  <c r="P317" i="2"/>
  <c r="Q317" i="2"/>
  <c r="R317" i="2"/>
  <c r="Q5" i="2"/>
  <c r="G17" i="1"/>
  <c r="M5" i="2"/>
  <c r="R5" i="2"/>
  <c r="Q6" i="2"/>
  <c r="G7" i="1"/>
  <c r="M6" i="2"/>
  <c r="R6" i="2"/>
  <c r="Q7" i="2"/>
  <c r="G13" i="1"/>
  <c r="M7" i="2"/>
  <c r="R7" i="2"/>
  <c r="Q8" i="2"/>
  <c r="G40" i="1"/>
  <c r="M8" i="2"/>
  <c r="R8" i="2"/>
  <c r="Q9" i="2"/>
  <c r="G48" i="1"/>
  <c r="M9" i="2"/>
  <c r="R9" i="2"/>
  <c r="Q10" i="2"/>
  <c r="G32" i="1"/>
  <c r="M10" i="2"/>
  <c r="R10" i="2"/>
  <c r="Q11" i="2"/>
  <c r="G30" i="1"/>
  <c r="M11" i="2"/>
  <c r="R11" i="2"/>
  <c r="Q12" i="2"/>
  <c r="G68" i="1"/>
  <c r="M12" i="2"/>
  <c r="R12" i="2"/>
  <c r="Q15" i="2"/>
  <c r="G82" i="1"/>
  <c r="M15" i="2"/>
  <c r="R15" i="2"/>
  <c r="Q22" i="2"/>
  <c r="G35" i="1"/>
  <c r="M22" i="2"/>
  <c r="R22" i="2"/>
  <c r="H36" i="1"/>
  <c r="N23" i="2"/>
  <c r="O23" i="2"/>
  <c r="P23" i="2"/>
  <c r="Q23" i="2"/>
  <c r="R23" i="2"/>
  <c r="H28" i="1"/>
  <c r="N24" i="2"/>
  <c r="O24" i="2"/>
  <c r="P24" i="2"/>
  <c r="Q24" i="2"/>
  <c r="R24" i="2"/>
  <c r="H80" i="1"/>
  <c r="N25" i="2"/>
  <c r="O25" i="2"/>
  <c r="P25" i="2"/>
  <c r="Q25" i="2"/>
  <c r="R25" i="2"/>
  <c r="H5" i="1"/>
  <c r="N28" i="2"/>
  <c r="G5" i="1"/>
  <c r="M28" i="2"/>
  <c r="O28" i="2"/>
  <c r="P28" i="2"/>
  <c r="Q28" i="2"/>
  <c r="R28" i="2"/>
  <c r="H46" i="1"/>
  <c r="N29" i="2"/>
  <c r="O29" i="2"/>
  <c r="P29" i="2"/>
  <c r="Q29" i="2"/>
  <c r="R29" i="2"/>
  <c r="H4" i="1"/>
  <c r="N30" i="2"/>
  <c r="O30" i="2"/>
  <c r="P30" i="2"/>
  <c r="Q30" i="2"/>
  <c r="R30" i="2"/>
  <c r="H59" i="1"/>
  <c r="N31" i="2"/>
  <c r="G59" i="1"/>
  <c r="M31" i="2"/>
  <c r="O31" i="2"/>
  <c r="P31" i="2"/>
  <c r="Q31" i="2"/>
  <c r="R31" i="2"/>
  <c r="H77" i="1"/>
  <c r="N34" i="2"/>
  <c r="O34" i="2"/>
  <c r="P34" i="2"/>
  <c r="Q34" i="2"/>
  <c r="R34" i="2"/>
  <c r="H37" i="1"/>
  <c r="N37" i="2"/>
  <c r="O37" i="2"/>
  <c r="P37" i="2"/>
  <c r="Q37" i="2"/>
  <c r="R37" i="2"/>
  <c r="H67" i="1"/>
  <c r="N38" i="2"/>
  <c r="O38" i="2"/>
  <c r="P38" i="2"/>
  <c r="Q38" i="2"/>
  <c r="R38" i="2"/>
  <c r="H43" i="1"/>
  <c r="N39" i="2"/>
  <c r="O39" i="2"/>
  <c r="P39" i="2"/>
  <c r="Q39" i="2"/>
  <c r="R39" i="2"/>
  <c r="O44" i="2"/>
  <c r="Q44" i="2"/>
  <c r="R44" i="2"/>
  <c r="H26" i="1"/>
  <c r="N45" i="2"/>
  <c r="G26" i="1"/>
  <c r="M45" i="2"/>
  <c r="O45" i="2"/>
  <c r="P45" i="2"/>
  <c r="Q45" i="2"/>
  <c r="R45" i="2"/>
  <c r="Q48" i="2"/>
  <c r="M48" i="2"/>
  <c r="R48" i="2"/>
  <c r="Q49" i="2"/>
  <c r="G54" i="1"/>
  <c r="M49" i="2"/>
  <c r="R49" i="2"/>
  <c r="H19" i="1"/>
  <c r="N52" i="2"/>
  <c r="G19" i="1"/>
  <c r="M52" i="2"/>
  <c r="O52" i="2"/>
  <c r="P52" i="2"/>
  <c r="Q52" i="2"/>
  <c r="R52" i="2"/>
  <c r="H34" i="1"/>
  <c r="N53" i="2"/>
  <c r="G34" i="1"/>
  <c r="M53" i="2"/>
  <c r="O53" i="2"/>
  <c r="P53" i="2"/>
  <c r="Q53" i="2"/>
  <c r="R53" i="2"/>
  <c r="H45" i="1"/>
  <c r="N54" i="2"/>
  <c r="G45" i="1"/>
  <c r="M54" i="2"/>
  <c r="O54" i="2"/>
  <c r="P54" i="2"/>
  <c r="Q54" i="2"/>
  <c r="R54" i="2"/>
  <c r="H44" i="1"/>
  <c r="N55" i="2"/>
  <c r="G44" i="1"/>
  <c r="M55" i="2"/>
  <c r="O55" i="2"/>
  <c r="P55" i="2"/>
  <c r="Q55" i="2"/>
  <c r="R55" i="2"/>
  <c r="H60" i="1"/>
  <c r="N56" i="2"/>
  <c r="G60" i="1"/>
  <c r="M56" i="2"/>
  <c r="O56" i="2"/>
  <c r="P56" i="2"/>
  <c r="Q56" i="2"/>
  <c r="R56" i="2"/>
  <c r="H23" i="1"/>
  <c r="N66" i="2"/>
  <c r="G23" i="1"/>
  <c r="M66" i="2"/>
  <c r="O66" i="2"/>
  <c r="P66" i="2"/>
  <c r="Q66" i="2"/>
  <c r="R66" i="2"/>
  <c r="Q69" i="2"/>
  <c r="G12" i="1"/>
  <c r="M69" i="2"/>
  <c r="R69" i="2"/>
  <c r="Q70" i="2"/>
  <c r="G6" i="1"/>
  <c r="M70" i="2"/>
  <c r="R70" i="2"/>
  <c r="N71" i="2"/>
  <c r="M71" i="2"/>
  <c r="O71" i="2"/>
  <c r="P71" i="2"/>
  <c r="Q71" i="2"/>
  <c r="R71" i="2"/>
  <c r="H55" i="1"/>
  <c r="N74" i="2"/>
  <c r="G55" i="1"/>
  <c r="M74" i="2"/>
  <c r="O74" i="2"/>
  <c r="P74" i="2"/>
  <c r="Q74" i="2"/>
  <c r="R74" i="2"/>
  <c r="N75" i="2"/>
  <c r="M75" i="2"/>
  <c r="O75" i="2"/>
  <c r="P75" i="2"/>
  <c r="Q75" i="2"/>
  <c r="R75" i="2"/>
  <c r="H21" i="1"/>
  <c r="N76" i="2"/>
  <c r="G21" i="1"/>
  <c r="M76" i="2"/>
  <c r="O76" i="2"/>
  <c r="P76" i="2"/>
  <c r="Q76" i="2"/>
  <c r="R76" i="2"/>
  <c r="H16" i="1"/>
  <c r="N77" i="2"/>
  <c r="G16" i="1"/>
  <c r="M77" i="2"/>
  <c r="O77" i="2"/>
  <c r="P77" i="2"/>
  <c r="Q77" i="2"/>
  <c r="R77" i="2"/>
  <c r="Q78" i="2"/>
  <c r="G2" i="1"/>
  <c r="M78" i="2"/>
  <c r="R78" i="2"/>
  <c r="G39" i="1"/>
  <c r="M84" i="2"/>
  <c r="O84" i="2"/>
  <c r="H39" i="1"/>
  <c r="N84" i="2"/>
  <c r="P84" i="2"/>
  <c r="Q84" i="2"/>
  <c r="R84" i="2"/>
  <c r="H24" i="1"/>
  <c r="N92" i="2"/>
  <c r="G24" i="1"/>
  <c r="M92" i="2"/>
  <c r="O92" i="2"/>
  <c r="P92" i="2"/>
  <c r="Q92" i="2"/>
  <c r="R92" i="2"/>
  <c r="N96" i="2"/>
  <c r="M96" i="2"/>
  <c r="O96" i="2"/>
  <c r="P96" i="2"/>
  <c r="Q96" i="2"/>
  <c r="R96" i="2"/>
  <c r="H52" i="1"/>
  <c r="N97" i="2"/>
  <c r="O97" i="2"/>
  <c r="P97" i="2"/>
  <c r="Q97" i="2"/>
  <c r="R97" i="2"/>
  <c r="Q100" i="2"/>
  <c r="G75" i="1"/>
  <c r="M100" i="2"/>
  <c r="R100" i="2"/>
  <c r="N105" i="2"/>
  <c r="M105" i="2"/>
  <c r="O105" i="2"/>
  <c r="P105" i="2"/>
  <c r="Q105" i="2"/>
  <c r="R105" i="2"/>
  <c r="Q106" i="2"/>
  <c r="G41" i="1"/>
  <c r="M106" i="2"/>
  <c r="R106" i="2"/>
  <c r="N107" i="2"/>
  <c r="O107" i="2"/>
  <c r="P107" i="2"/>
  <c r="Q107" i="2"/>
  <c r="R107" i="2"/>
  <c r="N115" i="2"/>
  <c r="O115" i="2"/>
  <c r="P115" i="2"/>
  <c r="Q115" i="2"/>
  <c r="R115" i="2"/>
  <c r="H18" i="1"/>
  <c r="N118" i="2"/>
  <c r="G18" i="1"/>
  <c r="M118" i="2"/>
  <c r="O118" i="2"/>
  <c r="P118" i="2"/>
  <c r="Q118" i="2"/>
  <c r="R118" i="2"/>
  <c r="H3" i="1"/>
  <c r="N119" i="2"/>
  <c r="G3" i="1"/>
  <c r="M119" i="2"/>
  <c r="O119" i="2"/>
  <c r="P119" i="2"/>
  <c r="Q119" i="2"/>
  <c r="R119" i="2"/>
  <c r="N129" i="2"/>
  <c r="O129" i="2"/>
  <c r="P129" i="2"/>
  <c r="Q129" i="2"/>
  <c r="R129" i="2"/>
  <c r="Q130" i="2"/>
  <c r="M130" i="2"/>
  <c r="R130" i="2"/>
  <c r="Q131" i="2"/>
  <c r="M131" i="2"/>
  <c r="R131" i="2"/>
  <c r="Q134" i="2"/>
  <c r="M134" i="2"/>
  <c r="R134" i="2"/>
  <c r="Q136" i="2"/>
  <c r="G31" i="1"/>
  <c r="M136" i="2"/>
  <c r="R136" i="2"/>
  <c r="Q137" i="2"/>
  <c r="G33" i="1"/>
  <c r="M137" i="2"/>
  <c r="R137" i="2"/>
  <c r="Q138" i="2"/>
  <c r="M138" i="2"/>
  <c r="R138" i="2"/>
  <c r="O141" i="2"/>
  <c r="Q141" i="2"/>
  <c r="R141" i="2"/>
  <c r="O153" i="2"/>
  <c r="Q153" i="2"/>
  <c r="R153" i="2"/>
  <c r="H70" i="1"/>
  <c r="N154" i="2"/>
  <c r="O154" i="2"/>
  <c r="P154" i="2"/>
  <c r="Q154" i="2"/>
  <c r="R154" i="2"/>
  <c r="H61" i="1"/>
  <c r="N157" i="2"/>
  <c r="O157" i="2"/>
  <c r="P157" i="2"/>
  <c r="Q157" i="2"/>
  <c r="R157" i="2"/>
  <c r="H71" i="1"/>
  <c r="N158" i="2"/>
  <c r="O158" i="2"/>
  <c r="P158" i="2"/>
  <c r="Q158" i="2"/>
  <c r="R158" i="2"/>
  <c r="Q159" i="2"/>
  <c r="M159" i="2"/>
  <c r="R159" i="2"/>
  <c r="N160" i="2"/>
  <c r="O160" i="2"/>
  <c r="P160" i="2"/>
  <c r="Q160" i="2"/>
  <c r="R160" i="2"/>
  <c r="Q161" i="2"/>
  <c r="G10" i="1"/>
  <c r="M161" i="2"/>
  <c r="R161" i="2"/>
  <c r="Q165" i="2"/>
  <c r="G4" i="1"/>
  <c r="M165" i="2"/>
  <c r="R165" i="2"/>
  <c r="Q167" i="2"/>
  <c r="M167" i="2"/>
  <c r="R167" i="2"/>
  <c r="Q168" i="2"/>
  <c r="G72" i="1"/>
  <c r="M168" i="2"/>
  <c r="R168" i="2"/>
  <c r="Q171" i="2"/>
  <c r="G49" i="1"/>
  <c r="M171" i="2"/>
  <c r="R171" i="2"/>
  <c r="O172" i="2"/>
  <c r="Q172" i="2"/>
  <c r="R172" i="2"/>
  <c r="Q173" i="2"/>
  <c r="G76" i="1"/>
  <c r="M173" i="2"/>
  <c r="R173" i="2"/>
  <c r="H9" i="1"/>
  <c r="N178" i="2"/>
  <c r="O178" i="2"/>
  <c r="P178" i="2"/>
  <c r="Q178" i="2"/>
  <c r="R178" i="2"/>
  <c r="Q188" i="2"/>
  <c r="G46" i="1"/>
  <c r="M188" i="2"/>
  <c r="R188" i="2"/>
  <c r="Q189" i="2"/>
  <c r="M189" i="2"/>
  <c r="R189" i="2"/>
  <c r="Q197" i="2"/>
  <c r="G78" i="1"/>
  <c r="M197" i="2"/>
  <c r="R197" i="2"/>
  <c r="H20" i="1"/>
  <c r="N198" i="2"/>
  <c r="O198" i="2"/>
  <c r="P198" i="2"/>
  <c r="Q198" i="2"/>
  <c r="R198" i="2"/>
  <c r="H53" i="1"/>
  <c r="N199" i="2"/>
  <c r="O199" i="2"/>
  <c r="P199" i="2"/>
  <c r="Q199" i="2"/>
  <c r="R199" i="2"/>
  <c r="N202" i="2"/>
  <c r="M202" i="2"/>
  <c r="O202" i="2"/>
  <c r="P202" i="2"/>
  <c r="Q202" i="2"/>
  <c r="R202" i="2"/>
  <c r="H51" i="1"/>
  <c r="N203" i="2"/>
  <c r="O203" i="2"/>
  <c r="P203" i="2"/>
  <c r="Q203" i="2"/>
  <c r="R203" i="2"/>
  <c r="H56" i="1"/>
  <c r="N217" i="2"/>
  <c r="O217" i="2"/>
  <c r="P217" i="2"/>
  <c r="Q217" i="2"/>
  <c r="R217" i="2"/>
  <c r="H15" i="1"/>
  <c r="N221" i="2"/>
  <c r="O221" i="2"/>
  <c r="P221" i="2"/>
  <c r="Q221" i="2"/>
  <c r="R221" i="2"/>
  <c r="H65" i="1"/>
  <c r="N222" i="2"/>
  <c r="O222" i="2"/>
  <c r="P222" i="2"/>
  <c r="Q222" i="2"/>
  <c r="R222" i="2"/>
  <c r="Q225" i="2"/>
  <c r="G80" i="1"/>
  <c r="M225" i="2"/>
  <c r="R225" i="2"/>
  <c r="Q228" i="2"/>
  <c r="M228" i="2"/>
  <c r="R228" i="2"/>
  <c r="Q229" i="2"/>
  <c r="M229" i="2"/>
  <c r="R229" i="2"/>
  <c r="N230" i="2"/>
  <c r="O230" i="2"/>
  <c r="P230" i="2"/>
  <c r="Q230" i="2"/>
  <c r="R230" i="2"/>
  <c r="Q233" i="2"/>
  <c r="M233" i="2"/>
  <c r="R233" i="2"/>
  <c r="Q234" i="2"/>
  <c r="M234" i="2"/>
  <c r="R234" i="2"/>
  <c r="H57" i="1"/>
  <c r="N235" i="2"/>
  <c r="O235" i="2"/>
  <c r="P235" i="2"/>
  <c r="Q235" i="2"/>
  <c r="R235" i="2"/>
  <c r="N236" i="2"/>
  <c r="O236" i="2"/>
  <c r="P236" i="2"/>
  <c r="Q236" i="2"/>
  <c r="R236" i="2"/>
  <c r="N243" i="2"/>
  <c r="O243" i="2"/>
  <c r="P243" i="2"/>
  <c r="Q243" i="2"/>
  <c r="R243" i="2"/>
  <c r="Q244" i="2"/>
  <c r="G8" i="1"/>
  <c r="M244" i="2"/>
  <c r="R244" i="2"/>
  <c r="Q245" i="2"/>
  <c r="G14" i="1"/>
  <c r="M245" i="2"/>
  <c r="R245" i="2"/>
  <c r="O254" i="2"/>
  <c r="Q254" i="2"/>
  <c r="R254" i="2"/>
  <c r="H50" i="1"/>
  <c r="N260" i="2"/>
  <c r="O260" i="2"/>
  <c r="P260" i="2"/>
  <c r="Q260" i="2"/>
  <c r="R260" i="2"/>
  <c r="H22" i="1"/>
  <c r="N271" i="2"/>
  <c r="O271" i="2"/>
  <c r="P271" i="2"/>
  <c r="Q271" i="2"/>
  <c r="R271" i="2"/>
  <c r="Q272" i="2"/>
  <c r="G58" i="1"/>
  <c r="M272" i="2"/>
  <c r="R272" i="2"/>
  <c r="Q275" i="2"/>
  <c r="M275" i="2"/>
  <c r="R275" i="2"/>
  <c r="Q276" i="2"/>
  <c r="M276" i="2"/>
  <c r="R276" i="2"/>
  <c r="H25" i="1"/>
  <c r="N277" i="2"/>
  <c r="O277" i="2"/>
  <c r="P277" i="2"/>
  <c r="Q277" i="2"/>
  <c r="R277" i="2"/>
  <c r="H79" i="1"/>
  <c r="N280" i="2"/>
  <c r="O280" i="2"/>
  <c r="P280" i="2"/>
  <c r="Q280" i="2"/>
  <c r="R280" i="2"/>
  <c r="H69" i="1"/>
  <c r="N289" i="2"/>
  <c r="O289" i="2"/>
  <c r="P289" i="2"/>
  <c r="Q289" i="2"/>
  <c r="R289" i="2"/>
  <c r="N290" i="2"/>
  <c r="O290" i="2"/>
  <c r="P290" i="2"/>
  <c r="Q290" i="2"/>
  <c r="R290" i="2"/>
  <c r="N291" i="2"/>
  <c r="M291" i="2"/>
  <c r="O291" i="2"/>
  <c r="P291" i="2"/>
  <c r="Q291" i="2"/>
  <c r="R291" i="2"/>
  <c r="N292" i="2"/>
  <c r="M292" i="2"/>
  <c r="O292" i="2"/>
  <c r="P292" i="2"/>
  <c r="Q292" i="2"/>
  <c r="R292" i="2"/>
  <c r="H66" i="1"/>
  <c r="N293" i="2"/>
  <c r="O293" i="2"/>
  <c r="P293" i="2"/>
  <c r="Q293" i="2"/>
  <c r="R293" i="2"/>
  <c r="Q304" i="2"/>
  <c r="M304" i="2"/>
  <c r="R304" i="2"/>
  <c r="N307" i="2"/>
  <c r="O307" i="2"/>
  <c r="P307" i="2"/>
  <c r="Q307" i="2"/>
  <c r="R307" i="2"/>
  <c r="N308" i="2"/>
  <c r="O308" i="2"/>
  <c r="P308" i="2"/>
  <c r="Q308" i="2"/>
  <c r="R308" i="2"/>
  <c r="Q309" i="2"/>
  <c r="G11" i="1"/>
  <c r="M309" i="2"/>
  <c r="R309" i="2"/>
  <c r="N310" i="2"/>
  <c r="M310" i="2"/>
  <c r="O310" i="2"/>
  <c r="P310" i="2"/>
  <c r="Q310" i="2"/>
  <c r="R310" i="2"/>
  <c r="N311" i="2"/>
  <c r="M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Q318" i="2"/>
  <c r="M318" i="2"/>
  <c r="R318" i="2"/>
  <c r="Q319" i="2"/>
  <c r="M319" i="2"/>
  <c r="R319" i="2"/>
  <c r="Q320" i="2"/>
  <c r="G73" i="1"/>
  <c r="M320" i="2"/>
  <c r="R320" i="2"/>
  <c r="Q325" i="2"/>
  <c r="M325" i="2"/>
  <c r="R325" i="2"/>
  <c r="Q326" i="2"/>
  <c r="G47" i="1"/>
  <c r="M326" i="2"/>
  <c r="R326" i="2"/>
  <c r="N336" i="2"/>
  <c r="O336" i="2"/>
  <c r="P336" i="2"/>
  <c r="Q336" i="2"/>
  <c r="R336" i="2"/>
  <c r="Q337" i="2"/>
  <c r="M337" i="2"/>
  <c r="R337" i="2"/>
  <c r="Q338" i="2"/>
  <c r="M338" i="2"/>
  <c r="R338" i="2"/>
  <c r="N339" i="2"/>
  <c r="O339" i="2"/>
  <c r="P339" i="2"/>
  <c r="Q339" i="2"/>
  <c r="R339" i="2"/>
  <c r="N340" i="2"/>
  <c r="O340" i="2"/>
  <c r="P340" i="2"/>
  <c r="Q340" i="2"/>
  <c r="R340" i="2"/>
  <c r="N343" i="2"/>
  <c r="O343" i="2"/>
  <c r="P343" i="2"/>
  <c r="Q343" i="2"/>
  <c r="R343" i="2"/>
  <c r="N344" i="2"/>
  <c r="O344" i="2"/>
  <c r="P344" i="2"/>
  <c r="Q344" i="2"/>
  <c r="R344" i="2"/>
  <c r="Q347" i="2"/>
  <c r="M347" i="2"/>
  <c r="R347" i="2"/>
  <c r="Q348" i="2"/>
  <c r="M348" i="2"/>
  <c r="R348" i="2"/>
  <c r="Q351" i="2"/>
  <c r="M351" i="2"/>
  <c r="R351" i="2"/>
  <c r="Q353" i="2"/>
  <c r="G63" i="1"/>
  <c r="M353" i="2"/>
  <c r="R353" i="2"/>
  <c r="N354" i="2"/>
  <c r="M354" i="2"/>
  <c r="O354" i="2"/>
  <c r="P354" i="2"/>
  <c r="Q354" i="2"/>
  <c r="R354" i="2"/>
  <c r="Q357" i="2"/>
  <c r="M357" i="2"/>
  <c r="R357" i="2"/>
  <c r="Q358" i="2"/>
  <c r="G74" i="1"/>
  <c r="M358" i="2"/>
  <c r="R358" i="2"/>
  <c r="N370" i="2"/>
  <c r="M370" i="2"/>
  <c r="O370" i="2"/>
  <c r="P370" i="2"/>
  <c r="Q370" i="2"/>
  <c r="R370" i="2"/>
  <c r="N373" i="2"/>
  <c r="O373" i="2"/>
  <c r="P373" i="2"/>
  <c r="Q373" i="2"/>
  <c r="R373" i="2"/>
  <c r="Q374" i="2"/>
  <c r="M374" i="2"/>
  <c r="R374" i="2"/>
  <c r="N375" i="2"/>
  <c r="M375" i="2"/>
  <c r="O375" i="2"/>
  <c r="P375" i="2"/>
  <c r="Q375" i="2"/>
  <c r="R375" i="2"/>
  <c r="N376" i="2"/>
  <c r="M376" i="2"/>
  <c r="O376" i="2"/>
  <c r="P376" i="2"/>
  <c r="Q376" i="2"/>
  <c r="R376" i="2"/>
  <c r="N377" i="2"/>
  <c r="O377" i="2"/>
  <c r="P377" i="2"/>
  <c r="Q377" i="2"/>
  <c r="R377" i="2"/>
  <c r="Q381" i="2"/>
  <c r="M381" i="2"/>
  <c r="R381" i="2"/>
  <c r="Q382" i="2"/>
  <c r="M382" i="2"/>
  <c r="R382" i="2"/>
  <c r="Q383" i="2"/>
  <c r="G62" i="1"/>
  <c r="M383" i="2"/>
  <c r="R383" i="2"/>
  <c r="Q386" i="2"/>
  <c r="M386" i="2"/>
  <c r="R386" i="2"/>
  <c r="I83" i="1"/>
  <c r="B72" i="3"/>
  <c r="S135" i="2"/>
  <c r="S185" i="2"/>
  <c r="S249" i="2"/>
  <c r="S317" i="2"/>
  <c r="S5" i="2"/>
  <c r="H7" i="1"/>
  <c r="N6" i="2"/>
  <c r="S6" i="2"/>
  <c r="H13" i="1"/>
  <c r="N7" i="2"/>
  <c r="S7" i="2"/>
  <c r="H40" i="1"/>
  <c r="N8" i="2"/>
  <c r="S8" i="2"/>
  <c r="S9" i="2"/>
  <c r="H32" i="1"/>
  <c r="N10" i="2"/>
  <c r="S10" i="2"/>
  <c r="H30" i="1"/>
  <c r="N11" i="2"/>
  <c r="S11" i="2"/>
  <c r="H68" i="1"/>
  <c r="N12" i="2"/>
  <c r="S12" i="2"/>
  <c r="S15" i="2"/>
  <c r="H35" i="1"/>
  <c r="N22" i="2"/>
  <c r="S22" i="2"/>
  <c r="S23" i="2"/>
  <c r="S24" i="2"/>
  <c r="S25" i="2"/>
  <c r="S28" i="2"/>
  <c r="S29" i="2"/>
  <c r="S30" i="2"/>
  <c r="S31" i="2"/>
  <c r="S34" i="2"/>
  <c r="S37" i="2"/>
  <c r="S38" i="2"/>
  <c r="S39" i="2"/>
  <c r="S44" i="2"/>
  <c r="S45" i="2"/>
  <c r="N48" i="2"/>
  <c r="S48" i="2"/>
  <c r="S49" i="2"/>
  <c r="S52" i="2"/>
  <c r="S53" i="2"/>
  <c r="S54" i="2"/>
  <c r="S55" i="2"/>
  <c r="S56" i="2"/>
  <c r="S66" i="2"/>
  <c r="H12" i="1"/>
  <c r="N69" i="2"/>
  <c r="S69" i="2"/>
  <c r="H6" i="1"/>
  <c r="N70" i="2"/>
  <c r="S70" i="2"/>
  <c r="S71" i="2"/>
  <c r="S74" i="2"/>
  <c r="S75" i="2"/>
  <c r="S76" i="2"/>
  <c r="S77" i="2"/>
  <c r="H2" i="1"/>
  <c r="N78" i="2"/>
  <c r="S78" i="2"/>
  <c r="S84" i="2"/>
  <c r="S92" i="2"/>
  <c r="S96" i="2"/>
  <c r="S97" i="2"/>
  <c r="H75" i="1"/>
  <c r="N100" i="2"/>
  <c r="S100" i="2"/>
  <c r="S105" i="2"/>
  <c r="H41" i="1"/>
  <c r="N106" i="2"/>
  <c r="S106" i="2"/>
  <c r="S107" i="2"/>
  <c r="S115" i="2"/>
  <c r="S118" i="2"/>
  <c r="S119" i="2"/>
  <c r="S129" i="2"/>
  <c r="N130" i="2"/>
  <c r="S130" i="2"/>
  <c r="N131" i="2"/>
  <c r="S131" i="2"/>
  <c r="N134" i="2"/>
  <c r="S134" i="2"/>
  <c r="H31" i="1"/>
  <c r="N136" i="2"/>
  <c r="S136" i="2"/>
  <c r="H33" i="1"/>
  <c r="N137" i="2"/>
  <c r="S137" i="2"/>
  <c r="N138" i="2"/>
  <c r="S138" i="2"/>
  <c r="S141" i="2"/>
  <c r="S153" i="2"/>
  <c r="S154" i="2"/>
  <c r="S157" i="2"/>
  <c r="S158" i="2"/>
  <c r="S159" i="2"/>
  <c r="S160" i="2"/>
  <c r="H10" i="1"/>
  <c r="N161" i="2"/>
  <c r="S161" i="2"/>
  <c r="S165" i="2"/>
  <c r="N167" i="2"/>
  <c r="S167" i="2"/>
  <c r="H72" i="1"/>
  <c r="N168" i="2"/>
  <c r="S168" i="2"/>
  <c r="H49" i="1"/>
  <c r="N171" i="2"/>
  <c r="S171" i="2"/>
  <c r="S172" i="2"/>
  <c r="H76" i="1"/>
  <c r="N173" i="2"/>
  <c r="S173" i="2"/>
  <c r="S178" i="2"/>
  <c r="S188" i="2"/>
  <c r="S189" i="2"/>
  <c r="H78" i="1"/>
  <c r="N197" i="2"/>
  <c r="S197" i="2"/>
  <c r="S198" i="2"/>
  <c r="S199" i="2"/>
  <c r="S202" i="2"/>
  <c r="S203" i="2"/>
  <c r="S217" i="2"/>
  <c r="S221" i="2"/>
  <c r="S222" i="2"/>
  <c r="N225" i="2"/>
  <c r="S225" i="2"/>
  <c r="N228" i="2"/>
  <c r="S228" i="2"/>
  <c r="S229" i="2"/>
  <c r="S230" i="2"/>
  <c r="S233" i="2"/>
  <c r="N234" i="2"/>
  <c r="S234" i="2"/>
  <c r="S235" i="2"/>
  <c r="S236" i="2"/>
  <c r="S243" i="2"/>
  <c r="H8" i="1"/>
  <c r="N244" i="2"/>
  <c r="S244" i="2"/>
  <c r="H14" i="1"/>
  <c r="N245" i="2"/>
  <c r="S245" i="2"/>
  <c r="S254" i="2"/>
  <c r="S260" i="2"/>
  <c r="S271" i="2"/>
  <c r="S272" i="2"/>
  <c r="N275" i="2"/>
  <c r="S275" i="2"/>
  <c r="N276" i="2"/>
  <c r="S276" i="2"/>
  <c r="S277" i="2"/>
  <c r="S280" i="2"/>
  <c r="S289" i="2"/>
  <c r="S290" i="2"/>
  <c r="S291" i="2"/>
  <c r="S292" i="2"/>
  <c r="S293" i="2"/>
  <c r="N304" i="2"/>
  <c r="S304" i="2"/>
  <c r="S307" i="2"/>
  <c r="S308" i="2"/>
  <c r="H11" i="1"/>
  <c r="N309" i="2"/>
  <c r="S309" i="2"/>
  <c r="S310" i="2"/>
  <c r="S311" i="2"/>
  <c r="S312" i="2"/>
  <c r="S313" i="2"/>
  <c r="S314" i="2"/>
  <c r="S318" i="2"/>
  <c r="S319" i="2"/>
  <c r="H73" i="1"/>
  <c r="N320" i="2"/>
  <c r="S320" i="2"/>
  <c r="N325" i="2"/>
  <c r="S325" i="2"/>
  <c r="H47" i="1"/>
  <c r="N326" i="2"/>
  <c r="S326" i="2"/>
  <c r="S336" i="2"/>
  <c r="N337" i="2"/>
  <c r="S337" i="2"/>
  <c r="S338" i="2"/>
  <c r="S339" i="2"/>
  <c r="S340" i="2"/>
  <c r="S343" i="2"/>
  <c r="S344" i="2"/>
  <c r="S347" i="2"/>
  <c r="S348" i="2"/>
  <c r="N351" i="2"/>
  <c r="S351" i="2"/>
  <c r="H63" i="1"/>
  <c r="N353" i="2"/>
  <c r="S353" i="2"/>
  <c r="S354" i="2"/>
  <c r="N357" i="2"/>
  <c r="S357" i="2"/>
  <c r="H74" i="1"/>
  <c r="N358" i="2"/>
  <c r="S358" i="2"/>
  <c r="S370" i="2"/>
  <c r="S373" i="2"/>
  <c r="N374" i="2"/>
  <c r="S374" i="2"/>
  <c r="S375" i="2"/>
  <c r="S376" i="2"/>
  <c r="S377" i="2"/>
  <c r="S381" i="2"/>
  <c r="N382" i="2"/>
  <c r="S382" i="2"/>
  <c r="H62" i="1"/>
  <c r="N383" i="2"/>
  <c r="S383" i="2"/>
  <c r="N386" i="2"/>
  <c r="S386" i="2"/>
  <c r="J83" i="1"/>
  <c r="C72" i="3"/>
  <c r="T135" i="2"/>
  <c r="T185" i="2"/>
  <c r="T249" i="2"/>
  <c r="T317" i="2"/>
  <c r="T5" i="2"/>
  <c r="T6" i="2"/>
  <c r="T7" i="2"/>
  <c r="T8" i="2"/>
  <c r="T9" i="2"/>
  <c r="T10" i="2"/>
  <c r="T11" i="2"/>
  <c r="T12" i="2"/>
  <c r="T15" i="2"/>
  <c r="T22" i="2"/>
  <c r="T23" i="2"/>
  <c r="T24" i="2"/>
  <c r="T25" i="2"/>
  <c r="T28" i="2"/>
  <c r="T29" i="2"/>
  <c r="T30" i="2"/>
  <c r="T31" i="2"/>
  <c r="T34" i="2"/>
  <c r="T37" i="2"/>
  <c r="T38" i="2"/>
  <c r="T39" i="2"/>
  <c r="T44" i="2"/>
  <c r="T45" i="2"/>
  <c r="T48" i="2"/>
  <c r="T49" i="2"/>
  <c r="T52" i="2"/>
  <c r="T53" i="2"/>
  <c r="T54" i="2"/>
  <c r="T55" i="2"/>
  <c r="T56" i="2"/>
  <c r="T66" i="2"/>
  <c r="T69" i="2"/>
  <c r="T70" i="2"/>
  <c r="T71" i="2"/>
  <c r="T74" i="2"/>
  <c r="T75" i="2"/>
  <c r="T76" i="2"/>
  <c r="T77" i="2"/>
  <c r="T78" i="2"/>
  <c r="T84" i="2"/>
  <c r="T92" i="2"/>
  <c r="T96" i="2"/>
  <c r="T97" i="2"/>
  <c r="T100" i="2"/>
  <c r="T105" i="2"/>
  <c r="T106" i="2"/>
  <c r="T107" i="2"/>
  <c r="T115" i="2"/>
  <c r="T118" i="2"/>
  <c r="T119" i="2"/>
  <c r="T129" i="2"/>
  <c r="T130" i="2"/>
  <c r="T131" i="2"/>
  <c r="T134" i="2"/>
  <c r="T136" i="2"/>
  <c r="T137" i="2"/>
  <c r="T138" i="2"/>
  <c r="T141" i="2"/>
  <c r="T153" i="2"/>
  <c r="T154" i="2"/>
  <c r="T157" i="2"/>
  <c r="T158" i="2"/>
  <c r="T159" i="2"/>
  <c r="T160" i="2"/>
  <c r="T161" i="2"/>
  <c r="T165" i="2"/>
  <c r="T167" i="2"/>
  <c r="T168" i="2"/>
  <c r="T171" i="2"/>
  <c r="T172" i="2"/>
  <c r="T173" i="2"/>
  <c r="T178" i="2"/>
  <c r="T188" i="2"/>
  <c r="T189" i="2"/>
  <c r="T197" i="2"/>
  <c r="T198" i="2"/>
  <c r="T199" i="2"/>
  <c r="T202" i="2"/>
  <c r="T203" i="2"/>
  <c r="T217" i="2"/>
  <c r="T221" i="2"/>
  <c r="T222" i="2"/>
  <c r="T225" i="2"/>
  <c r="T228" i="2"/>
  <c r="T229" i="2"/>
  <c r="T230" i="2"/>
  <c r="T233" i="2"/>
  <c r="T234" i="2"/>
  <c r="T235" i="2"/>
  <c r="T236" i="2"/>
  <c r="T243" i="2"/>
  <c r="T244" i="2"/>
  <c r="T245" i="2"/>
  <c r="T254" i="2"/>
  <c r="T260" i="2"/>
  <c r="T271" i="2"/>
  <c r="T272" i="2"/>
  <c r="T275" i="2"/>
  <c r="T276" i="2"/>
  <c r="T277" i="2"/>
  <c r="T280" i="2"/>
  <c r="T289" i="2"/>
  <c r="T290" i="2"/>
  <c r="T291" i="2"/>
  <c r="T292" i="2"/>
  <c r="T293" i="2"/>
  <c r="T304" i="2"/>
  <c r="T307" i="2"/>
  <c r="T308" i="2"/>
  <c r="T309" i="2"/>
  <c r="T310" i="2"/>
  <c r="T311" i="2"/>
  <c r="T312" i="2"/>
  <c r="T313" i="2"/>
  <c r="T314" i="2"/>
  <c r="T318" i="2"/>
  <c r="T319" i="2"/>
  <c r="T320" i="2"/>
  <c r="T325" i="2"/>
  <c r="T326" i="2"/>
  <c r="T336" i="2"/>
  <c r="T337" i="2"/>
  <c r="T338" i="2"/>
  <c r="T339" i="2"/>
  <c r="T340" i="2"/>
  <c r="T343" i="2"/>
  <c r="T344" i="2"/>
  <c r="T347" i="2"/>
  <c r="T348" i="2"/>
  <c r="T351" i="2"/>
  <c r="T353" i="2"/>
  <c r="T354" i="2"/>
  <c r="T357" i="2"/>
  <c r="T358" i="2"/>
  <c r="T370" i="2"/>
  <c r="T373" i="2"/>
  <c r="T374" i="2"/>
  <c r="T375" i="2"/>
  <c r="T376" i="2"/>
  <c r="T377" i="2"/>
  <c r="T381" i="2"/>
  <c r="T382" i="2"/>
  <c r="T383" i="2"/>
  <c r="T386" i="2"/>
  <c r="K83" i="1"/>
  <c r="D72" i="3"/>
  <c r="L83" i="1"/>
  <c r="E72" i="3"/>
  <c r="G72" i="3"/>
  <c r="I82" i="1"/>
  <c r="B71" i="3"/>
  <c r="J82" i="1"/>
  <c r="C71" i="3"/>
  <c r="K82" i="1"/>
  <c r="D71" i="3"/>
  <c r="L82" i="1"/>
  <c r="E71" i="3"/>
  <c r="G71" i="3"/>
  <c r="I80" i="1"/>
  <c r="I81" i="1"/>
  <c r="B70" i="3"/>
  <c r="J80" i="1"/>
  <c r="J81" i="1"/>
  <c r="C70" i="3"/>
  <c r="K80" i="1"/>
  <c r="K81" i="1"/>
  <c r="D70" i="3"/>
  <c r="L80" i="1"/>
  <c r="L81" i="1"/>
  <c r="E70" i="3"/>
  <c r="G70" i="3"/>
  <c r="I79" i="1"/>
  <c r="B69" i="3"/>
  <c r="J79" i="1"/>
  <c r="C69" i="3"/>
  <c r="K79" i="1"/>
  <c r="D69" i="3"/>
  <c r="L79" i="1"/>
  <c r="E69" i="3"/>
  <c r="G69" i="3"/>
  <c r="I78" i="1"/>
  <c r="B68" i="3"/>
  <c r="J78" i="1"/>
  <c r="C68" i="3"/>
  <c r="K78" i="1"/>
  <c r="D68" i="3"/>
  <c r="L78" i="1"/>
  <c r="E68" i="3"/>
  <c r="G68" i="3"/>
  <c r="I77" i="1"/>
  <c r="B67" i="3"/>
  <c r="J77" i="1"/>
  <c r="C67" i="3"/>
  <c r="K77" i="1"/>
  <c r="D67" i="3"/>
  <c r="L77" i="1"/>
  <c r="E67" i="3"/>
  <c r="G67" i="3"/>
  <c r="I76" i="1"/>
  <c r="B66" i="3"/>
  <c r="J76" i="1"/>
  <c r="C66" i="3"/>
  <c r="K76" i="1"/>
  <c r="D66" i="3"/>
  <c r="L76" i="1"/>
  <c r="E66" i="3"/>
  <c r="G66" i="3"/>
  <c r="I75" i="1"/>
  <c r="B65" i="3"/>
  <c r="J75" i="1"/>
  <c r="C65" i="3"/>
  <c r="K75" i="1"/>
  <c r="D65" i="3"/>
  <c r="L75" i="1"/>
  <c r="E65" i="3"/>
  <c r="G65" i="3"/>
  <c r="I74" i="1"/>
  <c r="B64" i="3"/>
  <c r="J74" i="1"/>
  <c r="C64" i="3"/>
  <c r="K74" i="1"/>
  <c r="D64" i="3"/>
  <c r="L74" i="1"/>
  <c r="E64" i="3"/>
  <c r="G64" i="3"/>
  <c r="I73" i="1"/>
  <c r="B63" i="3"/>
  <c r="J73" i="1"/>
  <c r="C63" i="3"/>
  <c r="K73" i="1"/>
  <c r="D63" i="3"/>
  <c r="L73" i="1"/>
  <c r="E63" i="3"/>
  <c r="G63" i="3"/>
  <c r="I72" i="1"/>
  <c r="B62" i="3"/>
  <c r="J72" i="1"/>
  <c r="C62" i="3"/>
  <c r="K72" i="1"/>
  <c r="D62" i="3"/>
  <c r="L72" i="1"/>
  <c r="E62" i="3"/>
  <c r="G62" i="3"/>
  <c r="I71" i="1"/>
  <c r="B61" i="3"/>
  <c r="J71" i="1"/>
  <c r="C61" i="3"/>
  <c r="K71" i="1"/>
  <c r="D61" i="3"/>
  <c r="L71" i="1"/>
  <c r="E61" i="3"/>
  <c r="G61" i="3"/>
  <c r="I70" i="1"/>
  <c r="B60" i="3"/>
  <c r="J70" i="1"/>
  <c r="C60" i="3"/>
  <c r="K70" i="1"/>
  <c r="D60" i="3"/>
  <c r="L70" i="1"/>
  <c r="E60" i="3"/>
  <c r="G60" i="3"/>
  <c r="I69" i="1"/>
  <c r="B59" i="3"/>
  <c r="J69" i="1"/>
  <c r="C59" i="3"/>
  <c r="K69" i="1"/>
  <c r="D59" i="3"/>
  <c r="L69" i="1"/>
  <c r="E59" i="3"/>
  <c r="G59" i="3"/>
  <c r="I68" i="1"/>
  <c r="B58" i="3"/>
  <c r="J68" i="1"/>
  <c r="C58" i="3"/>
  <c r="K68" i="1"/>
  <c r="D58" i="3"/>
  <c r="L68" i="1"/>
  <c r="E58" i="3"/>
  <c r="G58" i="3"/>
  <c r="I67" i="1"/>
  <c r="B57" i="3"/>
  <c r="J67" i="1"/>
  <c r="C57" i="3"/>
  <c r="K67" i="1"/>
  <c r="D57" i="3"/>
  <c r="L67" i="1"/>
  <c r="E57" i="3"/>
  <c r="G57" i="3"/>
  <c r="I66" i="1"/>
  <c r="B56" i="3"/>
  <c r="J66" i="1"/>
  <c r="C56" i="3"/>
  <c r="K66" i="1"/>
  <c r="D56" i="3"/>
  <c r="L66" i="1"/>
  <c r="E56" i="3"/>
  <c r="G56" i="3"/>
  <c r="I65" i="1"/>
  <c r="B55" i="3"/>
  <c r="J65" i="1"/>
  <c r="C55" i="3"/>
  <c r="K65" i="1"/>
  <c r="D55" i="3"/>
  <c r="L65" i="1"/>
  <c r="E55" i="3"/>
  <c r="G55" i="3"/>
  <c r="I62" i="1"/>
  <c r="I63" i="1"/>
  <c r="I64" i="1"/>
  <c r="B54" i="3"/>
  <c r="J62" i="1"/>
  <c r="J63" i="1"/>
  <c r="J64" i="1"/>
  <c r="C54" i="3"/>
  <c r="K62" i="1"/>
  <c r="K63" i="1"/>
  <c r="K64" i="1"/>
  <c r="D54" i="3"/>
  <c r="L62" i="1"/>
  <c r="L63" i="1"/>
  <c r="L64" i="1"/>
  <c r="E54" i="3"/>
  <c r="G54" i="3"/>
  <c r="I61" i="1"/>
  <c r="B53" i="3"/>
  <c r="J61" i="1"/>
  <c r="C53" i="3"/>
  <c r="K61" i="1"/>
  <c r="D53" i="3"/>
  <c r="L61" i="1"/>
  <c r="E53" i="3"/>
  <c r="G53" i="3"/>
  <c r="I60" i="1"/>
  <c r="B52" i="3"/>
  <c r="J60" i="1"/>
  <c r="C52" i="3"/>
  <c r="K60" i="1"/>
  <c r="D52" i="3"/>
  <c r="L60" i="1"/>
  <c r="E52" i="3"/>
  <c r="G52" i="3"/>
  <c r="I59" i="1"/>
  <c r="B51" i="3"/>
  <c r="J59" i="1"/>
  <c r="C51" i="3"/>
  <c r="K59" i="1"/>
  <c r="D51" i="3"/>
  <c r="L59" i="1"/>
  <c r="E51" i="3"/>
  <c r="G51" i="3"/>
  <c r="I58" i="1"/>
  <c r="B50" i="3"/>
  <c r="J58" i="1"/>
  <c r="C50" i="3"/>
  <c r="K58" i="1"/>
  <c r="D50" i="3"/>
  <c r="L58" i="1"/>
  <c r="E50" i="3"/>
  <c r="G50" i="3"/>
  <c r="I57" i="1"/>
  <c r="B49" i="3"/>
  <c r="J57" i="1"/>
  <c r="C49" i="3"/>
  <c r="K57" i="1"/>
  <c r="D49" i="3"/>
  <c r="L57" i="1"/>
  <c r="E49" i="3"/>
  <c r="G49" i="3"/>
  <c r="I56" i="1"/>
  <c r="B48" i="3"/>
  <c r="J56" i="1"/>
  <c r="C48" i="3"/>
  <c r="K56" i="1"/>
  <c r="D48" i="3"/>
  <c r="L56" i="1"/>
  <c r="E48" i="3"/>
  <c r="G48" i="3"/>
  <c r="I55" i="1"/>
  <c r="B47" i="3"/>
  <c r="J55" i="1"/>
  <c r="C47" i="3"/>
  <c r="K55" i="1"/>
  <c r="D47" i="3"/>
  <c r="L55" i="1"/>
  <c r="E47" i="3"/>
  <c r="G47" i="3"/>
  <c r="I54" i="1"/>
  <c r="B46" i="3"/>
  <c r="J54" i="1"/>
  <c r="C46" i="3"/>
  <c r="K54" i="1"/>
  <c r="D46" i="3"/>
  <c r="L54" i="1"/>
  <c r="E46" i="3"/>
  <c r="G46" i="3"/>
  <c r="I53" i="1"/>
  <c r="B45" i="3"/>
  <c r="J53" i="1"/>
  <c r="C45" i="3"/>
  <c r="K53" i="1"/>
  <c r="D45" i="3"/>
  <c r="L53" i="1"/>
  <c r="E45" i="3"/>
  <c r="G45" i="3"/>
  <c r="I52" i="1"/>
  <c r="B44" i="3"/>
  <c r="J52" i="1"/>
  <c r="C44" i="3"/>
  <c r="K52" i="1"/>
  <c r="D44" i="3"/>
  <c r="L52" i="1"/>
  <c r="E44" i="3"/>
  <c r="G44" i="3"/>
  <c r="I51" i="1"/>
  <c r="B43" i="3"/>
  <c r="J51" i="1"/>
  <c r="C43" i="3"/>
  <c r="K51" i="1"/>
  <c r="D43" i="3"/>
  <c r="L51" i="1"/>
  <c r="E43" i="3"/>
  <c r="G43" i="3"/>
  <c r="I50" i="1"/>
  <c r="B42" i="3"/>
  <c r="J50" i="1"/>
  <c r="C42" i="3"/>
  <c r="K50" i="1"/>
  <c r="D42" i="3"/>
  <c r="L50" i="1"/>
  <c r="E42" i="3"/>
  <c r="G42" i="3"/>
  <c r="I49" i="1"/>
  <c r="B41" i="3"/>
  <c r="J49" i="1"/>
  <c r="C41" i="3"/>
  <c r="K49" i="1"/>
  <c r="D41" i="3"/>
  <c r="L49" i="1"/>
  <c r="E41" i="3"/>
  <c r="G41" i="3"/>
  <c r="I48" i="1"/>
  <c r="B40" i="3"/>
  <c r="J48" i="1"/>
  <c r="C40" i="3"/>
  <c r="K48" i="1"/>
  <c r="D40" i="3"/>
  <c r="L48" i="1"/>
  <c r="E40" i="3"/>
  <c r="G40" i="3"/>
  <c r="I47" i="1"/>
  <c r="B39" i="3"/>
  <c r="J47" i="1"/>
  <c r="C39" i="3"/>
  <c r="K47" i="1"/>
  <c r="D39" i="3"/>
  <c r="L47" i="1"/>
  <c r="E39" i="3"/>
  <c r="G39" i="3"/>
  <c r="I46" i="1"/>
  <c r="B38" i="3"/>
  <c r="J46" i="1"/>
  <c r="C38" i="3"/>
  <c r="K46" i="1"/>
  <c r="D38" i="3"/>
  <c r="L46" i="1"/>
  <c r="E38" i="3"/>
  <c r="G38" i="3"/>
  <c r="I45" i="1"/>
  <c r="B37" i="3"/>
  <c r="J45" i="1"/>
  <c r="C37" i="3"/>
  <c r="K45" i="1"/>
  <c r="D37" i="3"/>
  <c r="L45" i="1"/>
  <c r="E37" i="3"/>
  <c r="G37" i="3"/>
  <c r="I44" i="1"/>
  <c r="B36" i="3"/>
  <c r="J44" i="1"/>
  <c r="C36" i="3"/>
  <c r="K44" i="1"/>
  <c r="D36" i="3"/>
  <c r="L44" i="1"/>
  <c r="E36" i="3"/>
  <c r="G36" i="3"/>
  <c r="I43" i="1"/>
  <c r="B35" i="3"/>
  <c r="J43" i="1"/>
  <c r="C35" i="3"/>
  <c r="K43" i="1"/>
  <c r="D35" i="3"/>
  <c r="L43" i="1"/>
  <c r="E35" i="3"/>
  <c r="G35" i="3"/>
  <c r="I42" i="1"/>
  <c r="B34" i="3"/>
  <c r="J42" i="1"/>
  <c r="C34" i="3"/>
  <c r="K42" i="1"/>
  <c r="D34" i="3"/>
  <c r="L42" i="1"/>
  <c r="E34" i="3"/>
  <c r="G34" i="3"/>
  <c r="I41" i="1"/>
  <c r="B33" i="3"/>
  <c r="J41" i="1"/>
  <c r="C33" i="3"/>
  <c r="K41" i="1"/>
  <c r="D33" i="3"/>
  <c r="L41" i="1"/>
  <c r="E33" i="3"/>
  <c r="G33" i="3"/>
  <c r="I39" i="1"/>
  <c r="I40" i="1"/>
  <c r="B32" i="3"/>
  <c r="J39" i="1"/>
  <c r="J40" i="1"/>
  <c r="C32" i="3"/>
  <c r="K39" i="1"/>
  <c r="K40" i="1"/>
  <c r="D32" i="3"/>
  <c r="L39" i="1"/>
  <c r="L40" i="1"/>
  <c r="E32" i="3"/>
  <c r="G32" i="3"/>
  <c r="I38" i="1"/>
  <c r="B31" i="3"/>
  <c r="J38" i="1"/>
  <c r="C31" i="3"/>
  <c r="K38" i="1"/>
  <c r="D31" i="3"/>
  <c r="L38" i="1"/>
  <c r="E31" i="3"/>
  <c r="G31" i="3"/>
  <c r="I37" i="1"/>
  <c r="B30" i="3"/>
  <c r="J37" i="1"/>
  <c r="C30" i="3"/>
  <c r="K37" i="1"/>
  <c r="D30" i="3"/>
  <c r="L37" i="1"/>
  <c r="E30" i="3"/>
  <c r="G30" i="3"/>
  <c r="I36" i="1"/>
  <c r="B29" i="3"/>
  <c r="J36" i="1"/>
  <c r="C29" i="3"/>
  <c r="K36" i="1"/>
  <c r="D29" i="3"/>
  <c r="L36" i="1"/>
  <c r="E29" i="3"/>
  <c r="G29" i="3"/>
  <c r="I35" i="1"/>
  <c r="B28" i="3"/>
  <c r="J35" i="1"/>
  <c r="C28" i="3"/>
  <c r="K35" i="1"/>
  <c r="D28" i="3"/>
  <c r="L35" i="1"/>
  <c r="E28" i="3"/>
  <c r="G28" i="3"/>
  <c r="I34" i="1"/>
  <c r="B27" i="3"/>
  <c r="J34" i="1"/>
  <c r="C27" i="3"/>
  <c r="K34" i="1"/>
  <c r="D27" i="3"/>
  <c r="L34" i="1"/>
  <c r="E27" i="3"/>
  <c r="G27" i="3"/>
  <c r="I33" i="1"/>
  <c r="B26" i="3"/>
  <c r="J33" i="1"/>
  <c r="C26" i="3"/>
  <c r="K33" i="1"/>
  <c r="D26" i="3"/>
  <c r="L33" i="1"/>
  <c r="E26" i="3"/>
  <c r="G26" i="3"/>
  <c r="I32" i="1"/>
  <c r="B25" i="3"/>
  <c r="J32" i="1"/>
  <c r="C25" i="3"/>
  <c r="K32" i="1"/>
  <c r="D25" i="3"/>
  <c r="L32" i="1"/>
  <c r="E25" i="3"/>
  <c r="G25" i="3"/>
  <c r="I31" i="1"/>
  <c r="B24" i="3"/>
  <c r="J31" i="1"/>
  <c r="C24" i="3"/>
  <c r="K31" i="1"/>
  <c r="D24" i="3"/>
  <c r="L31" i="1"/>
  <c r="E24" i="3"/>
  <c r="G24" i="3"/>
  <c r="I30" i="1"/>
  <c r="B23" i="3"/>
  <c r="J30" i="1"/>
  <c r="C23" i="3"/>
  <c r="K30" i="1"/>
  <c r="D23" i="3"/>
  <c r="L30" i="1"/>
  <c r="E23" i="3"/>
  <c r="G23" i="3"/>
  <c r="I28" i="1"/>
  <c r="I29" i="1"/>
  <c r="B22" i="3"/>
  <c r="J28" i="1"/>
  <c r="J29" i="1"/>
  <c r="C22" i="3"/>
  <c r="K28" i="1"/>
  <c r="K29" i="1"/>
  <c r="D22" i="3"/>
  <c r="L28" i="1"/>
  <c r="L29" i="1"/>
  <c r="E22" i="3"/>
  <c r="G22" i="3"/>
  <c r="I27" i="1"/>
  <c r="B21" i="3"/>
  <c r="J27" i="1"/>
  <c r="C21" i="3"/>
  <c r="K27" i="1"/>
  <c r="D21" i="3"/>
  <c r="L27" i="1"/>
  <c r="E21" i="3"/>
  <c r="G21" i="3"/>
  <c r="I26" i="1"/>
  <c r="B20" i="3"/>
  <c r="J26" i="1"/>
  <c r="C20" i="3"/>
  <c r="K26" i="1"/>
  <c r="D20" i="3"/>
  <c r="L26" i="1"/>
  <c r="E20" i="3"/>
  <c r="G20" i="3"/>
  <c r="I25" i="1"/>
  <c r="B19" i="3"/>
  <c r="J25" i="1"/>
  <c r="C19" i="3"/>
  <c r="K25" i="1"/>
  <c r="D19" i="3"/>
  <c r="L25" i="1"/>
  <c r="E19" i="3"/>
  <c r="G19" i="3"/>
  <c r="I24" i="1"/>
  <c r="B18" i="3"/>
  <c r="J24" i="1"/>
  <c r="C18" i="3"/>
  <c r="K24" i="1"/>
  <c r="D18" i="3"/>
  <c r="L24" i="1"/>
  <c r="E18" i="3"/>
  <c r="G18" i="3"/>
  <c r="I23" i="1"/>
  <c r="B17" i="3"/>
  <c r="J23" i="1"/>
  <c r="C17" i="3"/>
  <c r="K23" i="1"/>
  <c r="D17" i="3"/>
  <c r="L23" i="1"/>
  <c r="E17" i="3"/>
  <c r="G17" i="3"/>
  <c r="I22" i="1"/>
  <c r="B16" i="3"/>
  <c r="J22" i="1"/>
  <c r="C16" i="3"/>
  <c r="K22" i="1"/>
  <c r="D16" i="3"/>
  <c r="L22" i="1"/>
  <c r="E16" i="3"/>
  <c r="G16" i="3"/>
  <c r="I21" i="1"/>
  <c r="B15" i="3"/>
  <c r="J21" i="1"/>
  <c r="C15" i="3"/>
  <c r="K21" i="1"/>
  <c r="D15" i="3"/>
  <c r="L21" i="1"/>
  <c r="E15" i="3"/>
  <c r="G15" i="3"/>
  <c r="I20" i="1"/>
  <c r="B14" i="3"/>
  <c r="J20" i="1"/>
  <c r="C14" i="3"/>
  <c r="K20" i="1"/>
  <c r="D14" i="3"/>
  <c r="L20" i="1"/>
  <c r="E14" i="3"/>
  <c r="G14" i="3"/>
  <c r="I19" i="1"/>
  <c r="B13" i="3"/>
  <c r="J19" i="1"/>
  <c r="C13" i="3"/>
  <c r="K19" i="1"/>
  <c r="D13" i="3"/>
  <c r="L19" i="1"/>
  <c r="E13" i="3"/>
  <c r="G13" i="3"/>
  <c r="I18" i="1"/>
  <c r="B12" i="3"/>
  <c r="J18" i="1"/>
  <c r="C12" i="3"/>
  <c r="K18" i="1"/>
  <c r="D12" i="3"/>
  <c r="L18" i="1"/>
  <c r="E12" i="3"/>
  <c r="G12" i="3"/>
  <c r="I17" i="1"/>
  <c r="B11" i="3"/>
  <c r="J17" i="1"/>
  <c r="C11" i="3"/>
  <c r="K17" i="1"/>
  <c r="D11" i="3"/>
  <c r="L17" i="1"/>
  <c r="E11" i="3"/>
  <c r="G11" i="3"/>
  <c r="I16" i="1"/>
  <c r="B10" i="3"/>
  <c r="J16" i="1"/>
  <c r="C10" i="3"/>
  <c r="K16" i="1"/>
  <c r="D10" i="3"/>
  <c r="L16" i="1"/>
  <c r="E10" i="3"/>
  <c r="G10" i="3"/>
  <c r="I15" i="1"/>
  <c r="B9" i="3"/>
  <c r="J15" i="1"/>
  <c r="C9" i="3"/>
  <c r="K15" i="1"/>
  <c r="D9" i="3"/>
  <c r="L15" i="1"/>
  <c r="E9" i="3"/>
  <c r="G9" i="3"/>
  <c r="I11" i="1"/>
  <c r="I12" i="1"/>
  <c r="I13" i="1"/>
  <c r="I14" i="1"/>
  <c r="B8" i="3"/>
  <c r="J11" i="1"/>
  <c r="J12" i="1"/>
  <c r="J13" i="1"/>
  <c r="J14" i="1"/>
  <c r="C8" i="3"/>
  <c r="K11" i="1"/>
  <c r="K12" i="1"/>
  <c r="K13" i="1"/>
  <c r="K14" i="1"/>
  <c r="D8" i="3"/>
  <c r="L11" i="1"/>
  <c r="L12" i="1"/>
  <c r="L13" i="1"/>
  <c r="L14" i="1"/>
  <c r="E8" i="3"/>
  <c r="G8" i="3"/>
  <c r="I10" i="1"/>
  <c r="B7" i="3"/>
  <c r="J10" i="1"/>
  <c r="C7" i="3"/>
  <c r="K10" i="1"/>
  <c r="D7" i="3"/>
  <c r="L10" i="1"/>
  <c r="E7" i="3"/>
  <c r="G7" i="3"/>
  <c r="I9" i="1"/>
  <c r="B6" i="3"/>
  <c r="J9" i="1"/>
  <c r="C6" i="3"/>
  <c r="K9" i="1"/>
  <c r="D6" i="3"/>
  <c r="L9" i="1"/>
  <c r="E6" i="3"/>
  <c r="G6" i="3"/>
  <c r="I5" i="1"/>
  <c r="I6" i="1"/>
  <c r="I7" i="1"/>
  <c r="I2" i="1"/>
  <c r="I3" i="1"/>
  <c r="I4" i="1"/>
  <c r="I8" i="1"/>
  <c r="B5" i="3"/>
  <c r="J5" i="1"/>
  <c r="J6" i="1"/>
  <c r="J7" i="1"/>
  <c r="J2" i="1"/>
  <c r="J3" i="1"/>
  <c r="J4" i="1"/>
  <c r="J8" i="1"/>
  <c r="C5" i="3"/>
  <c r="K5" i="1"/>
  <c r="K6" i="1"/>
  <c r="K7" i="1"/>
  <c r="K2" i="1"/>
  <c r="K3" i="1"/>
  <c r="K4" i="1"/>
  <c r="K8" i="1"/>
  <c r="D5" i="3"/>
  <c r="L5" i="1"/>
  <c r="L6" i="1"/>
  <c r="L7" i="1"/>
  <c r="L2" i="1"/>
  <c r="L3" i="1"/>
  <c r="L4" i="1"/>
  <c r="L8" i="1"/>
  <c r="E5" i="3"/>
  <c r="G5" i="3"/>
  <c r="B4" i="3"/>
  <c r="C4" i="3"/>
  <c r="D4" i="3"/>
  <c r="E4" i="3"/>
  <c r="G4" i="3"/>
  <c r="B3" i="3"/>
  <c r="C3" i="3"/>
  <c r="D3" i="3"/>
  <c r="E3" i="3"/>
  <c r="G3" i="3"/>
  <c r="B2" i="3"/>
  <c r="C2" i="3"/>
  <c r="D2" i="3"/>
  <c r="E2" i="3"/>
  <c r="G2" i="3"/>
  <c r="F21" i="2"/>
  <c r="F23" i="2"/>
  <c r="F24" i="2"/>
  <c r="G67" i="1"/>
  <c r="M38" i="2"/>
  <c r="AA37" i="2"/>
  <c r="AD37" i="2"/>
  <c r="AC37" i="2"/>
  <c r="AB37" i="2"/>
  <c r="V37" i="2"/>
  <c r="Y37" i="2"/>
  <c r="X37" i="2"/>
  <c r="W37" i="2"/>
  <c r="G37" i="1"/>
  <c r="M37" i="2"/>
  <c r="D37" i="2"/>
  <c r="C37" i="2"/>
  <c r="B37" i="2"/>
  <c r="AA38" i="2"/>
  <c r="AD38" i="2"/>
  <c r="AC38" i="2"/>
  <c r="AB38" i="2"/>
  <c r="V38" i="2"/>
  <c r="Y38" i="2"/>
  <c r="X38" i="2"/>
  <c r="W38" i="2"/>
  <c r="D38" i="2"/>
  <c r="C38" i="2"/>
  <c r="B38" i="2"/>
  <c r="F4" i="2"/>
  <c r="F5" i="2"/>
  <c r="F6" i="2"/>
  <c r="G28" i="1"/>
  <c r="F366" i="2"/>
  <c r="F367" i="2"/>
  <c r="F369" i="2"/>
  <c r="F370" i="2"/>
  <c r="F150" i="2"/>
  <c r="F151" i="2"/>
  <c r="F153" i="2"/>
  <c r="F154" i="2"/>
  <c r="F303" i="2"/>
  <c r="F300" i="2"/>
  <c r="F301" i="2"/>
  <c r="F304" i="2"/>
  <c r="F267" i="2"/>
  <c r="F268" i="2"/>
  <c r="F270" i="2"/>
  <c r="F271" i="2"/>
  <c r="F241" i="2"/>
  <c r="F242" i="2"/>
  <c r="F244" i="2"/>
  <c r="F245" i="2"/>
  <c r="F215" i="2"/>
  <c r="F216" i="2"/>
  <c r="F218" i="2"/>
  <c r="F219" i="2"/>
  <c r="F186" i="2"/>
  <c r="F183" i="2"/>
  <c r="F184" i="2"/>
  <c r="F187" i="2"/>
  <c r="F334" i="2"/>
  <c r="F335" i="2"/>
  <c r="F337" i="2"/>
  <c r="F338" i="2"/>
  <c r="F127" i="2"/>
  <c r="F128" i="2"/>
  <c r="F130" i="2"/>
  <c r="F131" i="2"/>
  <c r="V130" i="2"/>
  <c r="W130" i="2"/>
  <c r="F90" i="2"/>
  <c r="F91" i="2"/>
  <c r="F93" i="2"/>
  <c r="F94" i="2"/>
  <c r="F64" i="2"/>
  <c r="F65" i="2"/>
  <c r="F67" i="2"/>
  <c r="F68" i="2"/>
  <c r="F42" i="2"/>
  <c r="F43" i="2"/>
  <c r="F45" i="2"/>
  <c r="F46" i="2"/>
  <c r="G43" i="1"/>
  <c r="M39" i="2"/>
  <c r="O22" i="2"/>
  <c r="P22" i="2"/>
  <c r="K8" i="5"/>
  <c r="K7" i="5"/>
  <c r="K6" i="5"/>
  <c r="K5" i="5"/>
  <c r="K4" i="5"/>
  <c r="K3" i="5"/>
  <c r="D12" i="2"/>
  <c r="D11" i="2"/>
  <c r="D10" i="2"/>
  <c r="D9" i="2"/>
  <c r="D8" i="2"/>
  <c r="D7" i="2"/>
  <c r="D6" i="2"/>
  <c r="D5" i="2"/>
  <c r="D15" i="2"/>
  <c r="D39" i="2"/>
  <c r="D34" i="2"/>
  <c r="D31" i="2"/>
  <c r="D30" i="2"/>
  <c r="D29" i="2"/>
  <c r="D28" i="2"/>
  <c r="D25" i="2"/>
  <c r="D24" i="2"/>
  <c r="D23" i="2"/>
  <c r="D22" i="2"/>
  <c r="AA12" i="2"/>
  <c r="AD12" i="2"/>
  <c r="AC12" i="2"/>
  <c r="AB12" i="2"/>
  <c r="V12" i="2"/>
  <c r="Y12" i="2"/>
  <c r="X12" i="2"/>
  <c r="W12" i="2"/>
  <c r="P12" i="2"/>
  <c r="O12" i="2"/>
  <c r="C12" i="2"/>
  <c r="B12" i="2"/>
  <c r="AA11" i="2"/>
  <c r="AD11" i="2"/>
  <c r="AC11" i="2"/>
  <c r="AB11" i="2"/>
  <c r="V11" i="2"/>
  <c r="Y11" i="2"/>
  <c r="X11" i="2"/>
  <c r="W11" i="2"/>
  <c r="P11" i="2"/>
  <c r="O11" i="2"/>
  <c r="C11" i="2"/>
  <c r="B11" i="2"/>
  <c r="AA10" i="2"/>
  <c r="AD10" i="2"/>
  <c r="AC10" i="2"/>
  <c r="AB10" i="2"/>
  <c r="V10" i="2"/>
  <c r="Y10" i="2"/>
  <c r="X10" i="2"/>
  <c r="W10" i="2"/>
  <c r="P10" i="2"/>
  <c r="O10" i="2"/>
  <c r="C10" i="2"/>
  <c r="B10" i="2"/>
  <c r="AA9" i="2"/>
  <c r="AD9" i="2"/>
  <c r="AC9" i="2"/>
  <c r="AB9" i="2"/>
  <c r="V9" i="2"/>
  <c r="Y9" i="2"/>
  <c r="X9" i="2"/>
  <c r="W9" i="2"/>
  <c r="H48" i="1"/>
  <c r="N9" i="2"/>
  <c r="P9" i="2"/>
  <c r="O9" i="2"/>
  <c r="C9" i="2"/>
  <c r="B9" i="2"/>
  <c r="AA8" i="2"/>
  <c r="AD8" i="2"/>
  <c r="AC8" i="2"/>
  <c r="AB8" i="2"/>
  <c r="V8" i="2"/>
  <c r="Y8" i="2"/>
  <c r="X8" i="2"/>
  <c r="W8" i="2"/>
  <c r="P8" i="2"/>
  <c r="O8" i="2"/>
  <c r="C8" i="2"/>
  <c r="B8" i="2"/>
  <c r="AA7" i="2"/>
  <c r="AD7" i="2"/>
  <c r="AC7" i="2"/>
  <c r="AB7" i="2"/>
  <c r="V7" i="2"/>
  <c r="Y7" i="2"/>
  <c r="X7" i="2"/>
  <c r="W7" i="2"/>
  <c r="P7" i="2"/>
  <c r="O7" i="2"/>
  <c r="C7" i="2"/>
  <c r="B7" i="2"/>
  <c r="AA6" i="2"/>
  <c r="AD6" i="2"/>
  <c r="AC6" i="2"/>
  <c r="AB6" i="2"/>
  <c r="V6" i="2"/>
  <c r="Y6" i="2"/>
  <c r="X6" i="2"/>
  <c r="W6" i="2"/>
  <c r="P6" i="2"/>
  <c r="O6" i="2"/>
  <c r="C6" i="2"/>
  <c r="B6" i="2"/>
  <c r="AA5" i="2"/>
  <c r="AD5" i="2"/>
  <c r="AC5" i="2"/>
  <c r="AB5" i="2"/>
  <c r="V5" i="2"/>
  <c r="Y5" i="2"/>
  <c r="X5" i="2"/>
  <c r="W5" i="2"/>
  <c r="H17" i="1"/>
  <c r="N5" i="2"/>
  <c r="P5" i="2"/>
  <c r="O5" i="2"/>
  <c r="C5" i="2"/>
  <c r="B5" i="2"/>
  <c r="O15" i="2"/>
  <c r="H82" i="1"/>
  <c r="N15" i="2"/>
  <c r="P15" i="2"/>
  <c r="AA15" i="2"/>
  <c r="AD15" i="2"/>
  <c r="AC15" i="2"/>
  <c r="AB15" i="2"/>
  <c r="V15" i="2"/>
  <c r="Y15" i="2"/>
  <c r="X15" i="2"/>
  <c r="W15" i="2"/>
  <c r="C15" i="2"/>
  <c r="B15" i="2"/>
  <c r="D290" i="2"/>
  <c r="G66" i="1"/>
  <c r="M293" i="2"/>
  <c r="G20" i="1"/>
  <c r="M290" i="2"/>
  <c r="G69" i="1"/>
  <c r="M289" i="2"/>
  <c r="AA289" i="2"/>
  <c r="AD289" i="2"/>
  <c r="AC289" i="2"/>
  <c r="AB289" i="2"/>
  <c r="V289" i="2"/>
  <c r="Y289" i="2"/>
  <c r="X289" i="2"/>
  <c r="W289" i="2"/>
  <c r="D289" i="2"/>
  <c r="C289" i="2"/>
  <c r="B289" i="2"/>
  <c r="AA291" i="2"/>
  <c r="AD291" i="2"/>
  <c r="AC291" i="2"/>
  <c r="AB291" i="2"/>
  <c r="V291" i="2"/>
  <c r="Y291" i="2"/>
  <c r="X291" i="2"/>
  <c r="W291" i="2"/>
  <c r="D291" i="2"/>
  <c r="C291" i="2"/>
  <c r="B291" i="2"/>
  <c r="AA290" i="2"/>
  <c r="AD290" i="2"/>
  <c r="AC290" i="2"/>
  <c r="AB290" i="2"/>
  <c r="V290" i="2"/>
  <c r="Y290" i="2"/>
  <c r="X290" i="2"/>
  <c r="W290" i="2"/>
  <c r="C290" i="2"/>
  <c r="B290" i="2"/>
  <c r="AA292" i="2"/>
  <c r="AD292" i="2"/>
  <c r="AC292" i="2"/>
  <c r="AB292" i="2"/>
  <c r="V292" i="2"/>
  <c r="Y292" i="2"/>
  <c r="X292" i="2"/>
  <c r="W292" i="2"/>
  <c r="D292" i="2"/>
  <c r="C292" i="2"/>
  <c r="B292" i="2"/>
  <c r="AA293" i="2"/>
  <c r="AD293" i="2"/>
  <c r="AC293" i="2"/>
  <c r="AB293" i="2"/>
  <c r="V293" i="2"/>
  <c r="Y293" i="2"/>
  <c r="X293" i="2"/>
  <c r="W293" i="2"/>
  <c r="D293" i="2"/>
  <c r="C293" i="2"/>
  <c r="B293" i="2"/>
  <c r="G79" i="1"/>
  <c r="M280" i="2"/>
  <c r="AA280" i="2"/>
  <c r="AD280" i="2"/>
  <c r="AC280" i="2"/>
  <c r="AB280" i="2"/>
  <c r="V280" i="2"/>
  <c r="Y280" i="2"/>
  <c r="X280" i="2"/>
  <c r="W280" i="2"/>
  <c r="D280" i="2"/>
  <c r="C280" i="2"/>
  <c r="B280" i="2"/>
  <c r="G25" i="1"/>
  <c r="M277" i="2"/>
  <c r="AA276" i="2"/>
  <c r="AD276" i="2"/>
  <c r="AC276" i="2"/>
  <c r="AB276" i="2"/>
  <c r="V276" i="2"/>
  <c r="Y276" i="2"/>
  <c r="X276" i="2"/>
  <c r="W276" i="2"/>
  <c r="O276" i="2"/>
  <c r="P276" i="2"/>
  <c r="D276" i="2"/>
  <c r="C276" i="2"/>
  <c r="B276" i="2"/>
  <c r="AA275" i="2"/>
  <c r="AD275" i="2"/>
  <c r="AC275" i="2"/>
  <c r="AB275" i="2"/>
  <c r="V275" i="2"/>
  <c r="Y275" i="2"/>
  <c r="X275" i="2"/>
  <c r="O275" i="2"/>
  <c r="P275" i="2"/>
  <c r="W275" i="2"/>
  <c r="D275" i="2"/>
  <c r="C275" i="2"/>
  <c r="B275" i="2"/>
  <c r="AA277" i="2"/>
  <c r="AD277" i="2"/>
  <c r="AC277" i="2"/>
  <c r="AB277" i="2"/>
  <c r="V277" i="2"/>
  <c r="Y277" i="2"/>
  <c r="X277" i="2"/>
  <c r="W277" i="2"/>
  <c r="D277" i="2"/>
  <c r="C277" i="2"/>
  <c r="B277" i="2"/>
  <c r="AA272" i="2"/>
  <c r="AD272" i="2"/>
  <c r="AC272" i="2"/>
  <c r="AB272" i="2"/>
  <c r="V272" i="2"/>
  <c r="Y272" i="2"/>
  <c r="X272" i="2"/>
  <c r="W272" i="2"/>
  <c r="H58" i="1"/>
  <c r="N272" i="2"/>
  <c r="O272" i="2"/>
  <c r="P272" i="2"/>
  <c r="D272" i="2"/>
  <c r="C272" i="2"/>
  <c r="B272" i="2"/>
  <c r="G22" i="1"/>
  <c r="AA271" i="2"/>
  <c r="AD271" i="2"/>
  <c r="AC271" i="2"/>
  <c r="AB271" i="2"/>
  <c r="V271" i="2"/>
  <c r="Y271" i="2"/>
  <c r="X271" i="2"/>
  <c r="W271" i="2"/>
  <c r="M271" i="2"/>
  <c r="D271" i="2"/>
  <c r="C271" i="2"/>
  <c r="B271" i="2"/>
  <c r="AA208" i="2"/>
  <c r="AD208" i="2"/>
  <c r="AC208" i="2"/>
  <c r="AB208" i="2"/>
  <c r="V208" i="2"/>
  <c r="Y208" i="2"/>
  <c r="X208" i="2"/>
  <c r="W208" i="2"/>
  <c r="D208" i="2"/>
  <c r="C208" i="2"/>
  <c r="AA190" i="2"/>
  <c r="AD190" i="2"/>
  <c r="AC190" i="2"/>
  <c r="AB190" i="2"/>
  <c r="V190" i="2"/>
  <c r="Y190" i="2"/>
  <c r="X190" i="2"/>
  <c r="W190" i="2"/>
  <c r="D190" i="2"/>
  <c r="C190" i="2"/>
  <c r="B338" i="2"/>
  <c r="C338" i="2"/>
  <c r="D338" i="2"/>
  <c r="H54" i="1"/>
  <c r="N338" i="2"/>
  <c r="O338" i="2"/>
  <c r="P338" i="2"/>
  <c r="V338" i="2"/>
  <c r="W338" i="2"/>
  <c r="X338" i="2"/>
  <c r="Y338" i="2"/>
  <c r="AA338" i="2"/>
  <c r="AB338" i="2"/>
  <c r="AC338" i="2"/>
  <c r="AD338" i="2"/>
  <c r="D112" i="2"/>
  <c r="D111" i="2"/>
  <c r="D110" i="2"/>
  <c r="D95" i="2"/>
  <c r="D49" i="2"/>
  <c r="O171" i="2"/>
  <c r="P171" i="2"/>
  <c r="O358" i="2"/>
  <c r="P358" i="2"/>
  <c r="D389" i="2"/>
  <c r="D388" i="2"/>
  <c r="D387" i="2"/>
  <c r="D386" i="2"/>
  <c r="D383" i="2"/>
  <c r="D382" i="2"/>
  <c r="D381" i="2"/>
  <c r="D380" i="2"/>
  <c r="D377" i="2"/>
  <c r="D376" i="2"/>
  <c r="D375" i="2"/>
  <c r="D374" i="2"/>
  <c r="D373" i="2"/>
  <c r="D370" i="2"/>
  <c r="D180" i="2"/>
  <c r="D179" i="2"/>
  <c r="D178" i="2"/>
  <c r="D173" i="2"/>
  <c r="D172" i="2"/>
  <c r="D171" i="2"/>
  <c r="D168" i="2"/>
  <c r="D167" i="2"/>
  <c r="D166" i="2"/>
  <c r="D165" i="2"/>
  <c r="D164" i="2"/>
  <c r="D161" i="2"/>
  <c r="D160" i="2"/>
  <c r="D159" i="2"/>
  <c r="D158" i="2"/>
  <c r="D157" i="2"/>
  <c r="D154" i="2"/>
  <c r="D153" i="2"/>
  <c r="D152" i="2"/>
  <c r="D329" i="2"/>
  <c r="D328" i="2"/>
  <c r="D327" i="2"/>
  <c r="D326" i="2"/>
  <c r="D325" i="2"/>
  <c r="D320" i="2"/>
  <c r="D319" i="2"/>
  <c r="D318" i="2"/>
  <c r="D317" i="2"/>
  <c r="D314" i="2"/>
  <c r="D313" i="2"/>
  <c r="D312" i="2"/>
  <c r="D311" i="2"/>
  <c r="D310" i="2"/>
  <c r="D309" i="2"/>
  <c r="D308" i="2"/>
  <c r="D304" i="2"/>
  <c r="D307" i="2"/>
  <c r="D124" i="2"/>
  <c r="D119" i="2"/>
  <c r="D118" i="2"/>
  <c r="D115" i="2"/>
  <c r="D107" i="2"/>
  <c r="D106" i="2"/>
  <c r="D105" i="2"/>
  <c r="D104" i="2"/>
  <c r="D101" i="2"/>
  <c r="D100" i="2"/>
  <c r="D97" i="2"/>
  <c r="D96" i="2"/>
  <c r="D92" i="2"/>
  <c r="D264" i="2"/>
  <c r="D263" i="2"/>
  <c r="D260" i="2"/>
  <c r="D257" i="2"/>
  <c r="D254" i="2"/>
  <c r="D249" i="2"/>
  <c r="D246" i="2"/>
  <c r="D245" i="2"/>
  <c r="D244" i="2"/>
  <c r="D243" i="2"/>
  <c r="D238" i="2"/>
  <c r="D237" i="2"/>
  <c r="D236" i="2"/>
  <c r="D235" i="2"/>
  <c r="D234" i="2"/>
  <c r="D233" i="2"/>
  <c r="D230" i="2"/>
  <c r="D228" i="2"/>
  <c r="D229" i="2"/>
  <c r="D225" i="2"/>
  <c r="D222" i="2"/>
  <c r="D221" i="2"/>
  <c r="D218" i="2"/>
  <c r="D217" i="2"/>
  <c r="D212" i="2"/>
  <c r="D209" i="2"/>
  <c r="D199" i="2"/>
  <c r="D203" i="2"/>
  <c r="D198" i="2"/>
  <c r="D202" i="2"/>
  <c r="D197" i="2"/>
  <c r="D185" i="2"/>
  <c r="D189" i="2"/>
  <c r="D188" i="2"/>
  <c r="D361" i="2"/>
  <c r="D360" i="2"/>
  <c r="D359" i="2"/>
  <c r="D358" i="2"/>
  <c r="D357" i="2"/>
  <c r="D354" i="2"/>
  <c r="D353" i="2"/>
  <c r="D352" i="2"/>
  <c r="D351" i="2"/>
  <c r="D348" i="2"/>
  <c r="D347" i="2"/>
  <c r="D344" i="2"/>
  <c r="D343" i="2"/>
  <c r="D340" i="2"/>
  <c r="D339" i="2"/>
  <c r="D337" i="2"/>
  <c r="D336" i="2"/>
  <c r="D147" i="2"/>
  <c r="D141" i="2"/>
  <c r="D146" i="2"/>
  <c r="D138" i="2"/>
  <c r="D137" i="2"/>
  <c r="D136" i="2"/>
  <c r="D135" i="2"/>
  <c r="D134" i="2"/>
  <c r="D129" i="2"/>
  <c r="D131" i="2"/>
  <c r="D130" i="2"/>
  <c r="D84" i="2"/>
  <c r="D79" i="2"/>
  <c r="D78" i="2"/>
  <c r="D77" i="2"/>
  <c r="D76" i="2"/>
  <c r="D75" i="2"/>
  <c r="D74" i="2"/>
  <c r="D71" i="2"/>
  <c r="D70" i="2"/>
  <c r="D69" i="2"/>
  <c r="D66" i="2"/>
  <c r="D59" i="2"/>
  <c r="D61" i="2"/>
  <c r="D56" i="2"/>
  <c r="D60" i="2"/>
  <c r="D55" i="2"/>
  <c r="D54" i="2"/>
  <c r="D53" i="2"/>
  <c r="D52" i="2"/>
  <c r="D48" i="2"/>
  <c r="D44" i="2"/>
  <c r="D45" i="2"/>
  <c r="AA389" i="2"/>
  <c r="AD389" i="2"/>
  <c r="AC389" i="2"/>
  <c r="AB389" i="2"/>
  <c r="V389" i="2"/>
  <c r="Y389" i="2"/>
  <c r="X389" i="2"/>
  <c r="W389" i="2"/>
  <c r="AA388" i="2"/>
  <c r="AD388" i="2"/>
  <c r="AC388" i="2"/>
  <c r="AB388" i="2"/>
  <c r="V388" i="2"/>
  <c r="Y388" i="2"/>
  <c r="X388" i="2"/>
  <c r="W388" i="2"/>
  <c r="AA386" i="2"/>
  <c r="AD386" i="2"/>
  <c r="AC386" i="2"/>
  <c r="AB386" i="2"/>
  <c r="V386" i="2"/>
  <c r="Y386" i="2"/>
  <c r="X386" i="2"/>
  <c r="W386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80" i="2"/>
  <c r="AD380" i="2"/>
  <c r="AC380" i="2"/>
  <c r="AB380" i="2"/>
  <c r="V380" i="2"/>
  <c r="Y380" i="2"/>
  <c r="X380" i="2"/>
  <c r="W380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4" i="2"/>
  <c r="AD374" i="2"/>
  <c r="AC374" i="2"/>
  <c r="AB374" i="2"/>
  <c r="V374" i="2"/>
  <c r="Y374" i="2"/>
  <c r="X374" i="2"/>
  <c r="W374" i="2"/>
  <c r="AA373" i="2"/>
  <c r="AD373" i="2"/>
  <c r="AC373" i="2"/>
  <c r="AB373" i="2"/>
  <c r="V373" i="2"/>
  <c r="Y373" i="2"/>
  <c r="X373" i="2"/>
  <c r="W373" i="2"/>
  <c r="AA370" i="2"/>
  <c r="AD370" i="2"/>
  <c r="AC370" i="2"/>
  <c r="AB370" i="2"/>
  <c r="V370" i="2"/>
  <c r="Y370" i="2"/>
  <c r="X370" i="2"/>
  <c r="W370" i="2"/>
  <c r="AA180" i="2"/>
  <c r="AD180" i="2"/>
  <c r="AC180" i="2"/>
  <c r="AB180" i="2"/>
  <c r="V180" i="2"/>
  <c r="Y180" i="2"/>
  <c r="X180" i="2"/>
  <c r="W180" i="2"/>
  <c r="AA178" i="2"/>
  <c r="AD178" i="2"/>
  <c r="AC178" i="2"/>
  <c r="AB178" i="2"/>
  <c r="V178" i="2"/>
  <c r="Y178" i="2"/>
  <c r="X178" i="2"/>
  <c r="W178" i="2"/>
  <c r="AA173" i="2"/>
  <c r="AD173" i="2"/>
  <c r="AC173" i="2"/>
  <c r="AB173" i="2"/>
  <c r="V173" i="2"/>
  <c r="Y173" i="2"/>
  <c r="X173" i="2"/>
  <c r="W173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68" i="2"/>
  <c r="AD168" i="2"/>
  <c r="AC168" i="2"/>
  <c r="AB168" i="2"/>
  <c r="V168" i="2"/>
  <c r="Y168" i="2"/>
  <c r="X168" i="2"/>
  <c r="W168" i="2"/>
  <c r="AA167" i="2"/>
  <c r="AD167" i="2"/>
  <c r="AC167" i="2"/>
  <c r="AB167" i="2"/>
  <c r="V167" i="2"/>
  <c r="Y167" i="2"/>
  <c r="X167" i="2"/>
  <c r="W167" i="2"/>
  <c r="AA166" i="2"/>
  <c r="AD166" i="2"/>
  <c r="AC166" i="2"/>
  <c r="AB166" i="2"/>
  <c r="V166" i="2"/>
  <c r="Y166" i="2"/>
  <c r="X166" i="2"/>
  <c r="W166" i="2"/>
  <c r="AA165" i="2"/>
  <c r="AD165" i="2"/>
  <c r="AC165" i="2"/>
  <c r="AB165" i="2"/>
  <c r="V165" i="2"/>
  <c r="Y165" i="2"/>
  <c r="X165" i="2"/>
  <c r="W165" i="2"/>
  <c r="AA164" i="2"/>
  <c r="AD164" i="2"/>
  <c r="AC164" i="2"/>
  <c r="AB164" i="2"/>
  <c r="V164" i="2"/>
  <c r="Y164" i="2"/>
  <c r="X164" i="2"/>
  <c r="W164" i="2"/>
  <c r="AA161" i="2"/>
  <c r="AD161" i="2"/>
  <c r="AC161" i="2"/>
  <c r="AB161" i="2"/>
  <c r="V161" i="2"/>
  <c r="Y161" i="2"/>
  <c r="X161" i="2"/>
  <c r="W161" i="2"/>
  <c r="AA160" i="2"/>
  <c r="AD160" i="2"/>
  <c r="AC160" i="2"/>
  <c r="AB160" i="2"/>
  <c r="V160" i="2"/>
  <c r="Y160" i="2"/>
  <c r="X160" i="2"/>
  <c r="W160" i="2"/>
  <c r="AA159" i="2"/>
  <c r="AD159" i="2"/>
  <c r="AC159" i="2"/>
  <c r="AB159" i="2"/>
  <c r="V159" i="2"/>
  <c r="Y159" i="2"/>
  <c r="X159" i="2"/>
  <c r="W159" i="2"/>
  <c r="AA158" i="2"/>
  <c r="AD158" i="2"/>
  <c r="AC158" i="2"/>
  <c r="AB158" i="2"/>
  <c r="V158" i="2"/>
  <c r="Y158" i="2"/>
  <c r="X158" i="2"/>
  <c r="W158" i="2"/>
  <c r="AA157" i="2"/>
  <c r="AD157" i="2"/>
  <c r="AC157" i="2"/>
  <c r="AB157" i="2"/>
  <c r="V157" i="2"/>
  <c r="Y157" i="2"/>
  <c r="X157" i="2"/>
  <c r="W157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329" i="2"/>
  <c r="AD329" i="2"/>
  <c r="AC329" i="2"/>
  <c r="AB329" i="2"/>
  <c r="V329" i="2"/>
  <c r="Y329" i="2"/>
  <c r="X329" i="2"/>
  <c r="W329" i="2"/>
  <c r="AA328" i="2"/>
  <c r="AD328" i="2"/>
  <c r="AC328" i="2"/>
  <c r="AB328" i="2"/>
  <c r="V328" i="2"/>
  <c r="Y328" i="2"/>
  <c r="X328" i="2"/>
  <c r="W328" i="2"/>
  <c r="AA327" i="2"/>
  <c r="AD327" i="2"/>
  <c r="AC327" i="2"/>
  <c r="AB327" i="2"/>
  <c r="V327" i="2"/>
  <c r="Y327" i="2"/>
  <c r="X327" i="2"/>
  <c r="W327" i="2"/>
  <c r="AA326" i="2"/>
  <c r="AD326" i="2"/>
  <c r="AC326" i="2"/>
  <c r="AB326" i="2"/>
  <c r="V326" i="2"/>
  <c r="Y326" i="2"/>
  <c r="X326" i="2"/>
  <c r="W326" i="2"/>
  <c r="AA325" i="2"/>
  <c r="AD325" i="2"/>
  <c r="AC325" i="2"/>
  <c r="AB325" i="2"/>
  <c r="V325" i="2"/>
  <c r="Y325" i="2"/>
  <c r="X325" i="2"/>
  <c r="W325" i="2"/>
  <c r="AA320" i="2"/>
  <c r="AD320" i="2"/>
  <c r="AC320" i="2"/>
  <c r="AB320" i="2"/>
  <c r="V320" i="2"/>
  <c r="Y320" i="2"/>
  <c r="X320" i="2"/>
  <c r="W320" i="2"/>
  <c r="AA319" i="2"/>
  <c r="AD319" i="2"/>
  <c r="AC319" i="2"/>
  <c r="AB319" i="2"/>
  <c r="V319" i="2"/>
  <c r="Y319" i="2"/>
  <c r="X319" i="2"/>
  <c r="W319" i="2"/>
  <c r="AA318" i="2"/>
  <c r="AD318" i="2"/>
  <c r="AC318" i="2"/>
  <c r="AB318" i="2"/>
  <c r="V318" i="2"/>
  <c r="Y318" i="2"/>
  <c r="X318" i="2"/>
  <c r="W318" i="2"/>
  <c r="AA317" i="2"/>
  <c r="AD317" i="2"/>
  <c r="AC317" i="2"/>
  <c r="AB317" i="2"/>
  <c r="V317" i="2"/>
  <c r="Y317" i="2"/>
  <c r="X317" i="2"/>
  <c r="W317" i="2"/>
  <c r="AA314" i="2"/>
  <c r="AD314" i="2"/>
  <c r="AC314" i="2"/>
  <c r="AB314" i="2"/>
  <c r="V314" i="2"/>
  <c r="Y314" i="2"/>
  <c r="X314" i="2"/>
  <c r="W314" i="2"/>
  <c r="AA313" i="2"/>
  <c r="AD313" i="2"/>
  <c r="AC313" i="2"/>
  <c r="AB313" i="2"/>
  <c r="V313" i="2"/>
  <c r="Y313" i="2"/>
  <c r="X313" i="2"/>
  <c r="W313" i="2"/>
  <c r="AA312" i="2"/>
  <c r="AD312" i="2"/>
  <c r="AC312" i="2"/>
  <c r="AB312" i="2"/>
  <c r="V312" i="2"/>
  <c r="Y312" i="2"/>
  <c r="X312" i="2"/>
  <c r="W312" i="2"/>
  <c r="AA311" i="2"/>
  <c r="AD311" i="2"/>
  <c r="AC311" i="2"/>
  <c r="AB311" i="2"/>
  <c r="V311" i="2"/>
  <c r="Y311" i="2"/>
  <c r="X311" i="2"/>
  <c r="W311" i="2"/>
  <c r="AA310" i="2"/>
  <c r="AD310" i="2"/>
  <c r="AC310" i="2"/>
  <c r="AB310" i="2"/>
  <c r="V310" i="2"/>
  <c r="Y310" i="2"/>
  <c r="X310" i="2"/>
  <c r="W310" i="2"/>
  <c r="AA309" i="2"/>
  <c r="AD309" i="2"/>
  <c r="AC309" i="2"/>
  <c r="AB309" i="2"/>
  <c r="V309" i="2"/>
  <c r="Y309" i="2"/>
  <c r="X309" i="2"/>
  <c r="W309" i="2"/>
  <c r="AA308" i="2"/>
  <c r="AD308" i="2"/>
  <c r="AC308" i="2"/>
  <c r="AB308" i="2"/>
  <c r="V308" i="2"/>
  <c r="Y308" i="2"/>
  <c r="X308" i="2"/>
  <c r="W308" i="2"/>
  <c r="AA304" i="2"/>
  <c r="AD304" i="2"/>
  <c r="AC304" i="2"/>
  <c r="AB304" i="2"/>
  <c r="V304" i="2"/>
  <c r="Y304" i="2"/>
  <c r="X304" i="2"/>
  <c r="W304" i="2"/>
  <c r="AA307" i="2"/>
  <c r="AD307" i="2"/>
  <c r="AC307" i="2"/>
  <c r="AB307" i="2"/>
  <c r="V307" i="2"/>
  <c r="Y307" i="2"/>
  <c r="X307" i="2"/>
  <c r="W307" i="2"/>
  <c r="AA124" i="2"/>
  <c r="AD124" i="2"/>
  <c r="AC124" i="2"/>
  <c r="AB124" i="2"/>
  <c r="V124" i="2"/>
  <c r="Y124" i="2"/>
  <c r="X124" i="2"/>
  <c r="W124" i="2"/>
  <c r="AA119" i="2"/>
  <c r="AD119" i="2"/>
  <c r="AC119" i="2"/>
  <c r="AB119" i="2"/>
  <c r="V119" i="2"/>
  <c r="Y119" i="2"/>
  <c r="X119" i="2"/>
  <c r="W119" i="2"/>
  <c r="AA118" i="2"/>
  <c r="AD118" i="2"/>
  <c r="AC118" i="2"/>
  <c r="AB118" i="2"/>
  <c r="V118" i="2"/>
  <c r="Y118" i="2"/>
  <c r="X118" i="2"/>
  <c r="W118" i="2"/>
  <c r="AA115" i="2"/>
  <c r="AD115" i="2"/>
  <c r="AC115" i="2"/>
  <c r="AB115" i="2"/>
  <c r="V115" i="2"/>
  <c r="Y115" i="2"/>
  <c r="X115" i="2"/>
  <c r="W115" i="2"/>
  <c r="AA107" i="2"/>
  <c r="AD107" i="2"/>
  <c r="AC107" i="2"/>
  <c r="AB107" i="2"/>
  <c r="V107" i="2"/>
  <c r="Y107" i="2"/>
  <c r="X107" i="2"/>
  <c r="W107" i="2"/>
  <c r="AA106" i="2"/>
  <c r="AD106" i="2"/>
  <c r="AC106" i="2"/>
  <c r="AB106" i="2"/>
  <c r="V106" i="2"/>
  <c r="Y106" i="2"/>
  <c r="X106" i="2"/>
  <c r="W106" i="2"/>
  <c r="AA105" i="2"/>
  <c r="AD105" i="2"/>
  <c r="AC105" i="2"/>
  <c r="AB105" i="2"/>
  <c r="V105" i="2"/>
  <c r="Y105" i="2"/>
  <c r="X105" i="2"/>
  <c r="W105" i="2"/>
  <c r="AA104" i="2"/>
  <c r="AD104" i="2"/>
  <c r="AC104" i="2"/>
  <c r="AB104" i="2"/>
  <c r="V104" i="2"/>
  <c r="Y104" i="2"/>
  <c r="X104" i="2"/>
  <c r="W104" i="2"/>
  <c r="AA101" i="2"/>
  <c r="AD101" i="2"/>
  <c r="AC101" i="2"/>
  <c r="AB101" i="2"/>
  <c r="V101" i="2"/>
  <c r="Y101" i="2"/>
  <c r="X101" i="2"/>
  <c r="W101" i="2"/>
  <c r="AA100" i="2"/>
  <c r="AD100" i="2"/>
  <c r="AC100" i="2"/>
  <c r="AB100" i="2"/>
  <c r="V100" i="2"/>
  <c r="Y100" i="2"/>
  <c r="X100" i="2"/>
  <c r="W100" i="2"/>
  <c r="AA97" i="2"/>
  <c r="AD97" i="2"/>
  <c r="AC97" i="2"/>
  <c r="AB97" i="2"/>
  <c r="V97" i="2"/>
  <c r="Y97" i="2"/>
  <c r="X97" i="2"/>
  <c r="W97" i="2"/>
  <c r="AA96" i="2"/>
  <c r="AD96" i="2"/>
  <c r="AC96" i="2"/>
  <c r="AB96" i="2"/>
  <c r="V96" i="2"/>
  <c r="Y96" i="2"/>
  <c r="X96" i="2"/>
  <c r="W96" i="2"/>
  <c r="AA92" i="2"/>
  <c r="AD92" i="2"/>
  <c r="AC92" i="2"/>
  <c r="AB92" i="2"/>
  <c r="V92" i="2"/>
  <c r="Y92" i="2"/>
  <c r="X92" i="2"/>
  <c r="W92" i="2"/>
  <c r="AA260" i="2"/>
  <c r="AD260" i="2"/>
  <c r="AC260" i="2"/>
  <c r="AB260" i="2"/>
  <c r="V260" i="2"/>
  <c r="Y260" i="2"/>
  <c r="X260" i="2"/>
  <c r="W260" i="2"/>
  <c r="AA257" i="2"/>
  <c r="AD257" i="2"/>
  <c r="AC257" i="2"/>
  <c r="AB257" i="2"/>
  <c r="V257" i="2"/>
  <c r="Y257" i="2"/>
  <c r="X257" i="2"/>
  <c r="W257" i="2"/>
  <c r="AA254" i="2"/>
  <c r="AD254" i="2"/>
  <c r="AC254" i="2"/>
  <c r="AB254" i="2"/>
  <c r="V254" i="2"/>
  <c r="Y254" i="2"/>
  <c r="X254" i="2"/>
  <c r="W254" i="2"/>
  <c r="AA249" i="2"/>
  <c r="AD249" i="2"/>
  <c r="AC249" i="2"/>
  <c r="AB249" i="2"/>
  <c r="V249" i="2"/>
  <c r="Y249" i="2"/>
  <c r="X249" i="2"/>
  <c r="W249" i="2"/>
  <c r="AA246" i="2"/>
  <c r="AD246" i="2"/>
  <c r="AC246" i="2"/>
  <c r="AB246" i="2"/>
  <c r="V246" i="2"/>
  <c r="Y246" i="2"/>
  <c r="X246" i="2"/>
  <c r="W246" i="2"/>
  <c r="AA245" i="2"/>
  <c r="AD245" i="2"/>
  <c r="AC245" i="2"/>
  <c r="AB245" i="2"/>
  <c r="V245" i="2"/>
  <c r="Y245" i="2"/>
  <c r="X245" i="2"/>
  <c r="W245" i="2"/>
  <c r="AA244" i="2"/>
  <c r="AD244" i="2"/>
  <c r="AC244" i="2"/>
  <c r="AB244" i="2"/>
  <c r="V244" i="2"/>
  <c r="Y244" i="2"/>
  <c r="X244" i="2"/>
  <c r="W244" i="2"/>
  <c r="AA243" i="2"/>
  <c r="AD243" i="2"/>
  <c r="AC243" i="2"/>
  <c r="AB243" i="2"/>
  <c r="V243" i="2"/>
  <c r="Y243" i="2"/>
  <c r="X243" i="2"/>
  <c r="W243" i="2"/>
  <c r="AA236" i="2"/>
  <c r="AD236" i="2"/>
  <c r="AC236" i="2"/>
  <c r="AB236" i="2"/>
  <c r="V236" i="2"/>
  <c r="Y236" i="2"/>
  <c r="X236" i="2"/>
  <c r="W236" i="2"/>
  <c r="AA235" i="2"/>
  <c r="AD235" i="2"/>
  <c r="AC235" i="2"/>
  <c r="AB235" i="2"/>
  <c r="V235" i="2"/>
  <c r="Y235" i="2"/>
  <c r="X235" i="2"/>
  <c r="W235" i="2"/>
  <c r="AA234" i="2"/>
  <c r="AD234" i="2"/>
  <c r="AC234" i="2"/>
  <c r="AB234" i="2"/>
  <c r="V234" i="2"/>
  <c r="Y234" i="2"/>
  <c r="X234" i="2"/>
  <c r="W234" i="2"/>
  <c r="AA233" i="2"/>
  <c r="AD233" i="2"/>
  <c r="AC233" i="2"/>
  <c r="AB233" i="2"/>
  <c r="V233" i="2"/>
  <c r="Y233" i="2"/>
  <c r="X233" i="2"/>
  <c r="W233" i="2"/>
  <c r="AA230" i="2"/>
  <c r="AD230" i="2"/>
  <c r="AC230" i="2"/>
  <c r="AB230" i="2"/>
  <c r="V230" i="2"/>
  <c r="Y230" i="2"/>
  <c r="X230" i="2"/>
  <c r="W230" i="2"/>
  <c r="AA228" i="2"/>
  <c r="AD228" i="2"/>
  <c r="AC228" i="2"/>
  <c r="AB228" i="2"/>
  <c r="V228" i="2"/>
  <c r="Y228" i="2"/>
  <c r="X228" i="2"/>
  <c r="W228" i="2"/>
  <c r="AA229" i="2"/>
  <c r="AD229" i="2"/>
  <c r="AC229" i="2"/>
  <c r="AB229" i="2"/>
  <c r="V229" i="2"/>
  <c r="Y229" i="2"/>
  <c r="X229" i="2"/>
  <c r="W229" i="2"/>
  <c r="AA225" i="2"/>
  <c r="AD225" i="2"/>
  <c r="AC225" i="2"/>
  <c r="AB225" i="2"/>
  <c r="V225" i="2"/>
  <c r="Y225" i="2"/>
  <c r="X225" i="2"/>
  <c r="W225" i="2"/>
  <c r="AA222" i="2"/>
  <c r="AD222" i="2"/>
  <c r="AC222" i="2"/>
  <c r="AB222" i="2"/>
  <c r="V222" i="2"/>
  <c r="Y222" i="2"/>
  <c r="X222" i="2"/>
  <c r="W222" i="2"/>
  <c r="AA221" i="2"/>
  <c r="AD221" i="2"/>
  <c r="AC221" i="2"/>
  <c r="AB221" i="2"/>
  <c r="V221" i="2"/>
  <c r="Y221" i="2"/>
  <c r="X221" i="2"/>
  <c r="W221" i="2"/>
  <c r="AA218" i="2"/>
  <c r="AD218" i="2"/>
  <c r="AC218" i="2"/>
  <c r="AB218" i="2"/>
  <c r="V218" i="2"/>
  <c r="Y218" i="2"/>
  <c r="X218" i="2"/>
  <c r="W218" i="2"/>
  <c r="AA217" i="2"/>
  <c r="AD217" i="2"/>
  <c r="AC217" i="2"/>
  <c r="AB217" i="2"/>
  <c r="V217" i="2"/>
  <c r="Y217" i="2"/>
  <c r="X217" i="2"/>
  <c r="W217" i="2"/>
  <c r="AA212" i="2"/>
  <c r="AD212" i="2"/>
  <c r="AC212" i="2"/>
  <c r="AB212" i="2"/>
  <c r="V212" i="2"/>
  <c r="Y212" i="2"/>
  <c r="X212" i="2"/>
  <c r="W212" i="2"/>
  <c r="AA209" i="2"/>
  <c r="AD209" i="2"/>
  <c r="AC209" i="2"/>
  <c r="AB209" i="2"/>
  <c r="V209" i="2"/>
  <c r="Y209" i="2"/>
  <c r="X209" i="2"/>
  <c r="W209" i="2"/>
  <c r="AA199" i="2"/>
  <c r="AD199" i="2"/>
  <c r="AC199" i="2"/>
  <c r="AB199" i="2"/>
  <c r="V199" i="2"/>
  <c r="Y199" i="2"/>
  <c r="X199" i="2"/>
  <c r="W199" i="2"/>
  <c r="AA203" i="2"/>
  <c r="AD203" i="2"/>
  <c r="AC203" i="2"/>
  <c r="AB203" i="2"/>
  <c r="V203" i="2"/>
  <c r="Y203" i="2"/>
  <c r="X203" i="2"/>
  <c r="W203" i="2"/>
  <c r="AA198" i="2"/>
  <c r="AD198" i="2"/>
  <c r="AC198" i="2"/>
  <c r="AB198" i="2"/>
  <c r="V198" i="2"/>
  <c r="Y198" i="2"/>
  <c r="X198" i="2"/>
  <c r="W198" i="2"/>
  <c r="AA202" i="2"/>
  <c r="AD202" i="2"/>
  <c r="AC202" i="2"/>
  <c r="AB202" i="2"/>
  <c r="V202" i="2"/>
  <c r="Y202" i="2"/>
  <c r="X202" i="2"/>
  <c r="W202" i="2"/>
  <c r="AA197" i="2"/>
  <c r="AD197" i="2"/>
  <c r="AC197" i="2"/>
  <c r="AB197" i="2"/>
  <c r="V197" i="2"/>
  <c r="Y197" i="2"/>
  <c r="X197" i="2"/>
  <c r="W197" i="2"/>
  <c r="AA185" i="2"/>
  <c r="AD185" i="2"/>
  <c r="AC185" i="2"/>
  <c r="AB185" i="2"/>
  <c r="V185" i="2"/>
  <c r="Y185" i="2"/>
  <c r="X185" i="2"/>
  <c r="W185" i="2"/>
  <c r="AA189" i="2"/>
  <c r="AD189" i="2"/>
  <c r="AC189" i="2"/>
  <c r="AB189" i="2"/>
  <c r="V189" i="2"/>
  <c r="Y189" i="2"/>
  <c r="X189" i="2"/>
  <c r="W189" i="2"/>
  <c r="AA188" i="2"/>
  <c r="AD188" i="2"/>
  <c r="AC188" i="2"/>
  <c r="AB188" i="2"/>
  <c r="V188" i="2"/>
  <c r="Y188" i="2"/>
  <c r="X188" i="2"/>
  <c r="W188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359" i="2"/>
  <c r="AD359" i="2"/>
  <c r="AC359" i="2"/>
  <c r="AB359" i="2"/>
  <c r="V359" i="2"/>
  <c r="Y359" i="2"/>
  <c r="X359" i="2"/>
  <c r="W359" i="2"/>
  <c r="AA358" i="2"/>
  <c r="AD358" i="2"/>
  <c r="AC358" i="2"/>
  <c r="AB358" i="2"/>
  <c r="V358" i="2"/>
  <c r="Y358" i="2"/>
  <c r="X358" i="2"/>
  <c r="W358" i="2"/>
  <c r="AA357" i="2"/>
  <c r="AD357" i="2"/>
  <c r="AC357" i="2"/>
  <c r="AB357" i="2"/>
  <c r="V357" i="2"/>
  <c r="Y357" i="2"/>
  <c r="X357" i="2"/>
  <c r="W357" i="2"/>
  <c r="AA354" i="2"/>
  <c r="AD354" i="2"/>
  <c r="AC354" i="2"/>
  <c r="AB354" i="2"/>
  <c r="V354" i="2"/>
  <c r="Y354" i="2"/>
  <c r="X354" i="2"/>
  <c r="W354" i="2"/>
  <c r="AA353" i="2"/>
  <c r="AD353" i="2"/>
  <c r="AC353" i="2"/>
  <c r="AB353" i="2"/>
  <c r="V353" i="2"/>
  <c r="Y353" i="2"/>
  <c r="X353" i="2"/>
  <c r="W353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48" i="2"/>
  <c r="AD348" i="2"/>
  <c r="AC348" i="2"/>
  <c r="AB348" i="2"/>
  <c r="V348" i="2"/>
  <c r="Y348" i="2"/>
  <c r="X348" i="2"/>
  <c r="W348" i="2"/>
  <c r="AA347" i="2"/>
  <c r="AD347" i="2"/>
  <c r="AC347" i="2"/>
  <c r="AB347" i="2"/>
  <c r="V347" i="2"/>
  <c r="Y347" i="2"/>
  <c r="X347" i="2"/>
  <c r="W347" i="2"/>
  <c r="AA344" i="2"/>
  <c r="AD344" i="2"/>
  <c r="AC344" i="2"/>
  <c r="AB344" i="2"/>
  <c r="V344" i="2"/>
  <c r="Y344" i="2"/>
  <c r="X344" i="2"/>
  <c r="W344" i="2"/>
  <c r="AA343" i="2"/>
  <c r="AD343" i="2"/>
  <c r="AC343" i="2"/>
  <c r="AB343" i="2"/>
  <c r="V343" i="2"/>
  <c r="Y343" i="2"/>
  <c r="X343" i="2"/>
  <c r="W343" i="2"/>
  <c r="AA340" i="2"/>
  <c r="AD340" i="2"/>
  <c r="AC340" i="2"/>
  <c r="AB340" i="2"/>
  <c r="V340" i="2"/>
  <c r="Y340" i="2"/>
  <c r="X340" i="2"/>
  <c r="W340" i="2"/>
  <c r="AA339" i="2"/>
  <c r="AD339" i="2"/>
  <c r="AC339" i="2"/>
  <c r="AB339" i="2"/>
  <c r="V339" i="2"/>
  <c r="Y339" i="2"/>
  <c r="X339" i="2"/>
  <c r="W339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141" i="2"/>
  <c r="AD141" i="2"/>
  <c r="AC141" i="2"/>
  <c r="AB141" i="2"/>
  <c r="V141" i="2"/>
  <c r="Y141" i="2"/>
  <c r="X141" i="2"/>
  <c r="W141" i="2"/>
  <c r="AA147" i="2"/>
  <c r="AD147" i="2"/>
  <c r="AC147" i="2"/>
  <c r="AB147" i="2"/>
  <c r="V147" i="2"/>
  <c r="Y147" i="2"/>
  <c r="X147" i="2"/>
  <c r="W147" i="2"/>
  <c r="AA146" i="2"/>
  <c r="AD146" i="2"/>
  <c r="AC146" i="2"/>
  <c r="AB146" i="2"/>
  <c r="V146" i="2"/>
  <c r="Y146" i="2"/>
  <c r="X146" i="2"/>
  <c r="W146" i="2"/>
  <c r="AA138" i="2"/>
  <c r="AD138" i="2"/>
  <c r="AC138" i="2"/>
  <c r="AB138" i="2"/>
  <c r="V138" i="2"/>
  <c r="Y138" i="2"/>
  <c r="X138" i="2"/>
  <c r="W138" i="2"/>
  <c r="AA137" i="2"/>
  <c r="AD137" i="2"/>
  <c r="AC137" i="2"/>
  <c r="AB137" i="2"/>
  <c r="V137" i="2"/>
  <c r="Y137" i="2"/>
  <c r="X137" i="2"/>
  <c r="W137" i="2"/>
  <c r="AA136" i="2"/>
  <c r="AD136" i="2"/>
  <c r="AC136" i="2"/>
  <c r="AB136" i="2"/>
  <c r="V136" i="2"/>
  <c r="Y136" i="2"/>
  <c r="X136" i="2"/>
  <c r="W136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30" i="2"/>
  <c r="AD130" i="2"/>
  <c r="AC130" i="2"/>
  <c r="AB130" i="2"/>
  <c r="Y130" i="2"/>
  <c r="X130" i="2"/>
  <c r="AA129" i="2"/>
  <c r="AD129" i="2"/>
  <c r="AC129" i="2"/>
  <c r="AB129" i="2"/>
  <c r="V129" i="2"/>
  <c r="Y129" i="2"/>
  <c r="X129" i="2"/>
  <c r="W129" i="2"/>
  <c r="AA84" i="2"/>
  <c r="AD84" i="2"/>
  <c r="AC84" i="2"/>
  <c r="AB84" i="2"/>
  <c r="V84" i="2"/>
  <c r="Y84" i="2"/>
  <c r="X84" i="2"/>
  <c r="W84" i="2"/>
  <c r="AA79" i="2"/>
  <c r="AD79" i="2"/>
  <c r="AC79" i="2"/>
  <c r="AB79" i="2"/>
  <c r="V79" i="2"/>
  <c r="Y79" i="2"/>
  <c r="X79" i="2"/>
  <c r="W79" i="2"/>
  <c r="AA78" i="2"/>
  <c r="AD78" i="2"/>
  <c r="AC78" i="2"/>
  <c r="AB78" i="2"/>
  <c r="V78" i="2"/>
  <c r="Y78" i="2"/>
  <c r="X78" i="2"/>
  <c r="W78" i="2"/>
  <c r="AA77" i="2"/>
  <c r="AD77" i="2"/>
  <c r="AC77" i="2"/>
  <c r="AB77" i="2"/>
  <c r="V77" i="2"/>
  <c r="Y77" i="2"/>
  <c r="X77" i="2"/>
  <c r="W77" i="2"/>
  <c r="AA76" i="2"/>
  <c r="AD76" i="2"/>
  <c r="AC76" i="2"/>
  <c r="AB76" i="2"/>
  <c r="V76" i="2"/>
  <c r="Y76" i="2"/>
  <c r="X76" i="2"/>
  <c r="W76" i="2"/>
  <c r="AA75" i="2"/>
  <c r="AD75" i="2"/>
  <c r="AC75" i="2"/>
  <c r="AB75" i="2"/>
  <c r="V75" i="2"/>
  <c r="Y75" i="2"/>
  <c r="X75" i="2"/>
  <c r="W75" i="2"/>
  <c r="AA74" i="2"/>
  <c r="AD74" i="2"/>
  <c r="AC74" i="2"/>
  <c r="AB74" i="2"/>
  <c r="V74" i="2"/>
  <c r="Y74" i="2"/>
  <c r="X74" i="2"/>
  <c r="W74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6" i="2"/>
  <c r="AD66" i="2"/>
  <c r="AC66" i="2"/>
  <c r="AB66" i="2"/>
  <c r="V66" i="2"/>
  <c r="Y66" i="2"/>
  <c r="X66" i="2"/>
  <c r="W66" i="2"/>
  <c r="AA56" i="2"/>
  <c r="AD56" i="2"/>
  <c r="AC56" i="2"/>
  <c r="AB56" i="2"/>
  <c r="V56" i="2"/>
  <c r="Y56" i="2"/>
  <c r="X56" i="2"/>
  <c r="W56" i="2"/>
  <c r="AA55" i="2"/>
  <c r="AD55" i="2"/>
  <c r="AC55" i="2"/>
  <c r="AB55" i="2"/>
  <c r="V55" i="2"/>
  <c r="Y55" i="2"/>
  <c r="X55" i="2"/>
  <c r="W55" i="2"/>
  <c r="AA54" i="2"/>
  <c r="AD54" i="2"/>
  <c r="AC54" i="2"/>
  <c r="AB54" i="2"/>
  <c r="V54" i="2"/>
  <c r="Y54" i="2"/>
  <c r="X54" i="2"/>
  <c r="W54" i="2"/>
  <c r="AA53" i="2"/>
  <c r="AD53" i="2"/>
  <c r="AC53" i="2"/>
  <c r="AB53" i="2"/>
  <c r="V53" i="2"/>
  <c r="Y53" i="2"/>
  <c r="X53" i="2"/>
  <c r="W53" i="2"/>
  <c r="AA52" i="2"/>
  <c r="AD52" i="2"/>
  <c r="AC52" i="2"/>
  <c r="AB52" i="2"/>
  <c r="V52" i="2"/>
  <c r="Y52" i="2"/>
  <c r="X52" i="2"/>
  <c r="W52" i="2"/>
  <c r="AA48" i="2"/>
  <c r="AD48" i="2"/>
  <c r="AC48" i="2"/>
  <c r="AB48" i="2"/>
  <c r="V48" i="2"/>
  <c r="Y48" i="2"/>
  <c r="X48" i="2"/>
  <c r="W48" i="2"/>
  <c r="AA49" i="2"/>
  <c r="AD49" i="2"/>
  <c r="AC49" i="2"/>
  <c r="AB49" i="2"/>
  <c r="V49" i="2"/>
  <c r="Y49" i="2"/>
  <c r="X49" i="2"/>
  <c r="W49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39" i="2"/>
  <c r="AD39" i="2"/>
  <c r="AC39" i="2"/>
  <c r="AB39" i="2"/>
  <c r="V39" i="2"/>
  <c r="Y39" i="2"/>
  <c r="X39" i="2"/>
  <c r="W39" i="2"/>
  <c r="AA34" i="2"/>
  <c r="AD34" i="2"/>
  <c r="AC34" i="2"/>
  <c r="AB34" i="2"/>
  <c r="V34" i="2"/>
  <c r="Y34" i="2"/>
  <c r="X34" i="2"/>
  <c r="W34" i="2"/>
  <c r="AA31" i="2"/>
  <c r="AD31" i="2"/>
  <c r="AC31" i="2"/>
  <c r="AB31" i="2"/>
  <c r="V31" i="2"/>
  <c r="Y31" i="2"/>
  <c r="X31" i="2"/>
  <c r="W31" i="2"/>
  <c r="AA30" i="2"/>
  <c r="AD30" i="2"/>
  <c r="AC30" i="2"/>
  <c r="AB30" i="2"/>
  <c r="V30" i="2"/>
  <c r="Y30" i="2"/>
  <c r="X30" i="2"/>
  <c r="W30" i="2"/>
  <c r="AA29" i="2"/>
  <c r="AD29" i="2"/>
  <c r="AC29" i="2"/>
  <c r="AB29" i="2"/>
  <c r="V29" i="2"/>
  <c r="Y29" i="2"/>
  <c r="X29" i="2"/>
  <c r="W29" i="2"/>
  <c r="AA28" i="2"/>
  <c r="AD28" i="2"/>
  <c r="AC28" i="2"/>
  <c r="AB28" i="2"/>
  <c r="V28" i="2"/>
  <c r="Y28" i="2"/>
  <c r="X28" i="2"/>
  <c r="W28" i="2"/>
  <c r="AA25" i="2"/>
  <c r="AD25" i="2"/>
  <c r="AC25" i="2"/>
  <c r="AB25" i="2"/>
  <c r="V25" i="2"/>
  <c r="Y25" i="2"/>
  <c r="X25" i="2"/>
  <c r="W25" i="2"/>
  <c r="AA24" i="2"/>
  <c r="AD24" i="2"/>
  <c r="AC24" i="2"/>
  <c r="AB24" i="2"/>
  <c r="V24" i="2"/>
  <c r="Y24" i="2"/>
  <c r="X24" i="2"/>
  <c r="W24" i="2"/>
  <c r="AA23" i="2"/>
  <c r="AD23" i="2"/>
  <c r="AC23" i="2"/>
  <c r="AB23" i="2"/>
  <c r="V23" i="2"/>
  <c r="Y23" i="2"/>
  <c r="X23" i="2"/>
  <c r="W23" i="2"/>
  <c r="AA22" i="2"/>
  <c r="AD22" i="2"/>
  <c r="AC22" i="2"/>
  <c r="AB22" i="2"/>
  <c r="V22" i="2"/>
  <c r="X22" i="2"/>
  <c r="Y22" i="2"/>
  <c r="W22" i="2"/>
  <c r="G38" i="1"/>
  <c r="M172" i="2"/>
  <c r="H38" i="1"/>
  <c r="N172" i="2"/>
  <c r="P386" i="2"/>
  <c r="O386" i="2"/>
  <c r="P383" i="2"/>
  <c r="O383" i="2"/>
  <c r="P382" i="2"/>
  <c r="O382" i="2"/>
  <c r="N381" i="2"/>
  <c r="P381" i="2"/>
  <c r="O381" i="2"/>
  <c r="G36" i="1"/>
  <c r="M377" i="2"/>
  <c r="P374" i="2"/>
  <c r="O374" i="2"/>
  <c r="G52" i="1"/>
  <c r="M373" i="2"/>
  <c r="G9" i="1"/>
  <c r="M178" i="2"/>
  <c r="P173" i="2"/>
  <c r="O173" i="2"/>
  <c r="P172" i="2"/>
  <c r="P168" i="2"/>
  <c r="O168" i="2"/>
  <c r="P167" i="2"/>
  <c r="O167" i="2"/>
  <c r="P166" i="2"/>
  <c r="O166" i="2"/>
  <c r="N165" i="2"/>
  <c r="P165" i="2"/>
  <c r="O165" i="2"/>
  <c r="P161" i="2"/>
  <c r="O161" i="2"/>
  <c r="M160" i="2"/>
  <c r="N159" i="2"/>
  <c r="P159" i="2"/>
  <c r="O159" i="2"/>
  <c r="G71" i="1"/>
  <c r="M158" i="2"/>
  <c r="G61" i="1"/>
  <c r="M157" i="2"/>
  <c r="G70" i="1"/>
  <c r="M154" i="2"/>
  <c r="M153" i="2"/>
  <c r="P153" i="2"/>
  <c r="N153" i="2"/>
  <c r="P326" i="2"/>
  <c r="O326" i="2"/>
  <c r="P325" i="2"/>
  <c r="O325" i="2"/>
  <c r="P320" i="2"/>
  <c r="O320" i="2"/>
  <c r="N319" i="2"/>
  <c r="P319" i="2"/>
  <c r="O319" i="2"/>
  <c r="N318" i="2"/>
  <c r="P318" i="2"/>
  <c r="O318" i="2"/>
  <c r="G83" i="1"/>
  <c r="M317" i="2"/>
  <c r="M312" i="2"/>
  <c r="P309" i="2"/>
  <c r="O309" i="2"/>
  <c r="M308" i="2"/>
  <c r="P304" i="2"/>
  <c r="O304" i="2"/>
  <c r="M307" i="2"/>
  <c r="M115" i="2"/>
  <c r="M107" i="2"/>
  <c r="P106" i="2"/>
  <c r="O106" i="2"/>
  <c r="P101" i="2"/>
  <c r="O101" i="2"/>
  <c r="P100" i="2"/>
  <c r="O100" i="2"/>
  <c r="M97" i="2"/>
  <c r="G50" i="1"/>
  <c r="M260" i="2"/>
  <c r="G84" i="1"/>
  <c r="M257" i="2"/>
  <c r="P257" i="2"/>
  <c r="H84" i="1"/>
  <c r="N257" i="2"/>
  <c r="G81" i="1"/>
  <c r="M254" i="2"/>
  <c r="P254" i="2"/>
  <c r="H81" i="1"/>
  <c r="N254" i="2"/>
  <c r="M249" i="2"/>
  <c r="P246" i="2"/>
  <c r="O246" i="2"/>
  <c r="P245" i="2"/>
  <c r="O245" i="2"/>
  <c r="P244" i="2"/>
  <c r="O244" i="2"/>
  <c r="M243" i="2"/>
  <c r="G77" i="1"/>
  <c r="M236" i="2"/>
  <c r="G57" i="1"/>
  <c r="M235" i="2"/>
  <c r="P234" i="2"/>
  <c r="O234" i="2"/>
  <c r="N233" i="2"/>
  <c r="P233" i="2"/>
  <c r="O233" i="2"/>
  <c r="M230" i="2"/>
  <c r="P228" i="2"/>
  <c r="O228" i="2"/>
  <c r="N229" i="2"/>
  <c r="P229" i="2"/>
  <c r="O229" i="2"/>
  <c r="P225" i="2"/>
  <c r="O225" i="2"/>
  <c r="G65" i="1"/>
  <c r="M222" i="2"/>
  <c r="G15" i="1"/>
  <c r="M221" i="2"/>
  <c r="G56" i="1"/>
  <c r="M217" i="2"/>
  <c r="G53" i="1"/>
  <c r="M199" i="2"/>
  <c r="G51" i="1"/>
  <c r="M203" i="2"/>
  <c r="M198" i="2"/>
  <c r="P197" i="2"/>
  <c r="O197" i="2"/>
  <c r="M185" i="2"/>
  <c r="N189" i="2"/>
  <c r="P189" i="2"/>
  <c r="O189" i="2"/>
  <c r="N188" i="2"/>
  <c r="P188" i="2"/>
  <c r="O188" i="2"/>
  <c r="P357" i="2"/>
  <c r="O357" i="2"/>
  <c r="P353" i="2"/>
  <c r="O353" i="2"/>
  <c r="P352" i="2"/>
  <c r="O352" i="2"/>
  <c r="P351" i="2"/>
  <c r="O351" i="2"/>
  <c r="N348" i="2"/>
  <c r="P348" i="2"/>
  <c r="O348" i="2"/>
  <c r="N347" i="2"/>
  <c r="P347" i="2"/>
  <c r="O347" i="2"/>
  <c r="M344" i="2"/>
  <c r="M343" i="2"/>
  <c r="M340" i="2"/>
  <c r="M339" i="2"/>
  <c r="P337" i="2"/>
  <c r="O337" i="2"/>
  <c r="M336" i="2"/>
  <c r="G64" i="1"/>
  <c r="M141" i="2"/>
  <c r="P141" i="2"/>
  <c r="H64" i="1"/>
  <c r="N141" i="2"/>
  <c r="P138" i="2"/>
  <c r="O138" i="2"/>
  <c r="P137" i="2"/>
  <c r="O137" i="2"/>
  <c r="P136" i="2"/>
  <c r="O136" i="2"/>
  <c r="M135" i="2"/>
  <c r="P134" i="2"/>
  <c r="O134" i="2"/>
  <c r="P131" i="2"/>
  <c r="O131" i="2"/>
  <c r="P130" i="2"/>
  <c r="O130" i="2"/>
  <c r="M129" i="2"/>
  <c r="P78" i="2"/>
  <c r="O78" i="2"/>
  <c r="P70" i="2"/>
  <c r="O70" i="2"/>
  <c r="P69" i="2"/>
  <c r="O69" i="2"/>
  <c r="P48" i="2"/>
  <c r="O48" i="2"/>
  <c r="N49" i="2"/>
  <c r="P49" i="2"/>
  <c r="O49" i="2"/>
  <c r="M44" i="2"/>
  <c r="N44" i="2"/>
  <c r="P44" i="2"/>
  <c r="M29" i="2"/>
  <c r="M30" i="2"/>
  <c r="M34" i="2"/>
  <c r="M25" i="2"/>
  <c r="M24" i="2"/>
  <c r="M23" i="2"/>
  <c r="C39" i="2"/>
  <c r="B39" i="2"/>
  <c r="C34" i="2"/>
  <c r="B34" i="2"/>
  <c r="C31" i="2"/>
  <c r="B31" i="2"/>
  <c r="C30" i="2"/>
  <c r="B30" i="2"/>
  <c r="C29" i="2"/>
  <c r="B29" i="2"/>
  <c r="C28" i="2"/>
  <c r="B28" i="2"/>
  <c r="C24" i="2"/>
  <c r="B24" i="2"/>
  <c r="C23" i="2"/>
  <c r="B23" i="2"/>
  <c r="C22" i="2"/>
  <c r="B22" i="2"/>
  <c r="C25" i="2"/>
  <c r="B25" i="2"/>
  <c r="C388" i="2"/>
  <c r="C387" i="2"/>
  <c r="C386" i="2"/>
  <c r="B386" i="2"/>
  <c r="C383" i="2"/>
  <c r="B383" i="2"/>
  <c r="C382" i="2"/>
  <c r="B382" i="2"/>
  <c r="C381" i="2"/>
  <c r="B381" i="2"/>
  <c r="C380" i="2"/>
  <c r="B380" i="2"/>
  <c r="C370" i="2"/>
  <c r="B370" i="2"/>
  <c r="C377" i="2"/>
  <c r="B377" i="2"/>
  <c r="C376" i="2"/>
  <c r="B376" i="2"/>
  <c r="C375" i="2"/>
  <c r="B375" i="2"/>
  <c r="C374" i="2"/>
  <c r="B374" i="2"/>
  <c r="C373" i="2"/>
  <c r="B373" i="2"/>
  <c r="C180" i="2"/>
  <c r="C179" i="2"/>
  <c r="C178" i="2"/>
  <c r="B178" i="2"/>
  <c r="C171" i="2"/>
  <c r="B171" i="2"/>
  <c r="C172" i="2"/>
  <c r="B172" i="2"/>
  <c r="C173" i="2"/>
  <c r="B173" i="2"/>
  <c r="C165" i="2"/>
  <c r="B165" i="2"/>
  <c r="C164" i="2"/>
  <c r="B164" i="2"/>
  <c r="C167" i="2"/>
  <c r="B167" i="2"/>
  <c r="C166" i="2"/>
  <c r="B166" i="2"/>
  <c r="C168" i="2"/>
  <c r="B168" i="2"/>
  <c r="C157" i="2"/>
  <c r="B157" i="2"/>
  <c r="C159" i="2"/>
  <c r="B159" i="2"/>
  <c r="C158" i="2"/>
  <c r="B158" i="2"/>
  <c r="C160" i="2"/>
  <c r="B160" i="2"/>
  <c r="C161" i="2"/>
  <c r="B161" i="2"/>
  <c r="C154" i="2"/>
  <c r="B154" i="2"/>
  <c r="C152" i="2"/>
  <c r="C153" i="2"/>
  <c r="B153" i="2"/>
  <c r="C329" i="2"/>
  <c r="C328" i="2"/>
  <c r="C327" i="2"/>
  <c r="C319" i="2"/>
  <c r="B319" i="2"/>
  <c r="C318" i="2"/>
  <c r="B318" i="2"/>
  <c r="C317" i="2"/>
  <c r="B317" i="2"/>
  <c r="C325" i="2"/>
  <c r="B325" i="2"/>
  <c r="C320" i="2"/>
  <c r="B320" i="2"/>
  <c r="B311" i="2"/>
  <c r="B310" i="2"/>
  <c r="B309" i="2"/>
  <c r="B308" i="2"/>
  <c r="B304" i="2"/>
  <c r="C326" i="2"/>
  <c r="B326" i="2"/>
  <c r="C314" i="2"/>
  <c r="B314" i="2"/>
  <c r="C313" i="2"/>
  <c r="B313" i="2"/>
  <c r="C312" i="2"/>
  <c r="B312" i="2"/>
  <c r="C311" i="2"/>
  <c r="C310" i="2"/>
  <c r="C309" i="2"/>
  <c r="C308" i="2"/>
  <c r="C304" i="2"/>
  <c r="C307" i="2"/>
  <c r="B307" i="2"/>
  <c r="C359" i="2"/>
  <c r="C361" i="2"/>
  <c r="C360" i="2"/>
  <c r="B119" i="2"/>
  <c r="B118" i="2"/>
  <c r="B115" i="2"/>
  <c r="B107" i="2"/>
  <c r="B106" i="2"/>
  <c r="B105" i="2"/>
  <c r="B104" i="2"/>
  <c r="B101" i="2"/>
  <c r="B100" i="2"/>
  <c r="B97" i="2"/>
  <c r="B96" i="2"/>
  <c r="B92" i="2"/>
  <c r="B260" i="2"/>
  <c r="B257" i="2"/>
  <c r="B254" i="2"/>
  <c r="B249" i="2"/>
  <c r="B246" i="2"/>
  <c r="B245" i="2"/>
  <c r="B244" i="2"/>
  <c r="B243" i="2"/>
  <c r="B236" i="2"/>
  <c r="B235" i="2"/>
  <c r="B234" i="2"/>
  <c r="B233" i="2"/>
  <c r="B230" i="2"/>
  <c r="B228" i="2"/>
  <c r="B229" i="2"/>
  <c r="B225" i="2"/>
  <c r="B222" i="2"/>
  <c r="B221" i="2"/>
  <c r="B218" i="2"/>
  <c r="B217" i="2"/>
  <c r="B199" i="2"/>
  <c r="B203" i="2"/>
  <c r="B198" i="2"/>
  <c r="B202" i="2"/>
  <c r="B197" i="2"/>
  <c r="B185" i="2"/>
  <c r="B189" i="2"/>
  <c r="B188" i="2"/>
  <c r="B358" i="2"/>
  <c r="B357" i="2"/>
  <c r="B354" i="2"/>
  <c r="B353" i="2"/>
  <c r="B352" i="2"/>
  <c r="B351" i="2"/>
  <c r="B348" i="2"/>
  <c r="B347" i="2"/>
  <c r="B344" i="2"/>
  <c r="B343" i="2"/>
  <c r="B340" i="2"/>
  <c r="B339" i="2"/>
  <c r="B337" i="2"/>
  <c r="B336" i="2"/>
  <c r="B141" i="2"/>
  <c r="B138" i="2"/>
  <c r="B137" i="2"/>
  <c r="B136" i="2"/>
  <c r="B135" i="2"/>
  <c r="B134" i="2"/>
  <c r="B131" i="2"/>
  <c r="B130" i="2"/>
  <c r="B129" i="2"/>
  <c r="B84" i="2"/>
  <c r="B79" i="2"/>
  <c r="B78" i="2"/>
  <c r="B77" i="2"/>
  <c r="B76" i="2"/>
  <c r="B75" i="2"/>
  <c r="B74" i="2"/>
  <c r="B71" i="2"/>
  <c r="B70" i="2"/>
  <c r="B69" i="2"/>
  <c r="B66" i="2"/>
  <c r="B56" i="2"/>
  <c r="B55" i="2"/>
  <c r="B54" i="2"/>
  <c r="B53" i="2"/>
  <c r="B52" i="2"/>
  <c r="B48" i="2"/>
  <c r="B49" i="2"/>
  <c r="B45" i="2"/>
  <c r="B44" i="2"/>
  <c r="C358" i="2"/>
  <c r="C124" i="2"/>
  <c r="C119" i="2"/>
  <c r="C118" i="2"/>
  <c r="C115" i="2"/>
  <c r="C107" i="2"/>
  <c r="C106" i="2"/>
  <c r="C105" i="2"/>
  <c r="C104" i="2"/>
  <c r="C101" i="2"/>
  <c r="C100" i="2"/>
  <c r="C97" i="2"/>
  <c r="C96" i="2"/>
  <c r="C92" i="2"/>
  <c r="C260" i="2"/>
  <c r="C257" i="2"/>
  <c r="C254" i="2"/>
  <c r="C249" i="2"/>
  <c r="C246" i="2"/>
  <c r="C245" i="2"/>
  <c r="C244" i="2"/>
  <c r="C243" i="2"/>
  <c r="C236" i="2"/>
  <c r="C235" i="2"/>
  <c r="C234" i="2"/>
  <c r="C233" i="2"/>
  <c r="C230" i="2"/>
  <c r="C228" i="2"/>
  <c r="C229" i="2"/>
  <c r="C225" i="2"/>
  <c r="C222" i="2"/>
  <c r="C221" i="2"/>
  <c r="C218" i="2"/>
  <c r="C217" i="2"/>
  <c r="C212" i="2"/>
  <c r="C209" i="2"/>
  <c r="C199" i="2"/>
  <c r="C203" i="2"/>
  <c r="C198" i="2"/>
  <c r="C202" i="2"/>
  <c r="C197" i="2"/>
  <c r="C185" i="2"/>
  <c r="C189" i="2"/>
  <c r="C188" i="2"/>
  <c r="C357" i="2"/>
  <c r="C354" i="2"/>
  <c r="C353" i="2"/>
  <c r="C352" i="2"/>
  <c r="C351" i="2"/>
  <c r="C348" i="2"/>
  <c r="C347" i="2"/>
  <c r="C344" i="2"/>
  <c r="C343" i="2"/>
  <c r="C340" i="2"/>
  <c r="C339" i="2"/>
  <c r="C337" i="2"/>
  <c r="C336" i="2"/>
  <c r="C141" i="2"/>
  <c r="C147" i="2"/>
  <c r="C146" i="2"/>
  <c r="C138" i="2"/>
  <c r="C137" i="2"/>
  <c r="C136" i="2"/>
  <c r="C135" i="2"/>
  <c r="C134" i="2"/>
  <c r="C131" i="2"/>
  <c r="C130" i="2"/>
  <c r="C129" i="2"/>
  <c r="C84" i="2"/>
  <c r="C79" i="2"/>
  <c r="C78" i="2"/>
  <c r="C77" i="2"/>
  <c r="C76" i="2"/>
  <c r="C75" i="2"/>
  <c r="C74" i="2"/>
  <c r="C71" i="2"/>
  <c r="C70" i="2"/>
  <c r="C69" i="2"/>
  <c r="C66" i="2"/>
  <c r="C60" i="2"/>
  <c r="C56" i="2"/>
  <c r="C55" i="2"/>
  <c r="C54" i="2"/>
  <c r="C53" i="2"/>
  <c r="C52" i="2"/>
  <c r="C48" i="2"/>
  <c r="C49" i="2"/>
  <c r="C45" i="2"/>
  <c r="C44" i="2"/>
  <c r="H42" i="1"/>
  <c r="G42" i="1"/>
  <c r="H29" i="1"/>
  <c r="G29" i="1"/>
  <c r="H27" i="1"/>
  <c r="G27" i="1"/>
</calcChain>
</file>

<file path=xl/sharedStrings.xml><?xml version="1.0" encoding="utf-8"?>
<sst xmlns="http://schemas.openxmlformats.org/spreadsheetml/2006/main" count="1542" uniqueCount="436">
  <si>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</si>
  <si>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</si>
  <si>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</si>
  <si>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</si>
  <si>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</si>
  <si>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</si>
  <si>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</si>
  <si>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</si>
  <si>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</si>
  <si>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</si>
  <si>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</si>
  <si>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</si>
  <si>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</si>
  <si>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</si>
  <si>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</si>
  <si>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</si>
  <si>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</si>
  <si>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</si>
  <si>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</si>
  <si>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</si>
  <si>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</si>
  <si>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</si>
  <si>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</si>
  <si>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</si>
  <si>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</si>
  <si>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</si>
  <si>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</si>
  <si>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</si>
  <si>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</si>
  <si>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</si>
  <si>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</si>
  <si>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</si>
  <si>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</si>
  <si>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</si>
  <si>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</si>
  <si>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</si>
  <si>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</si>
  <si>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</si>
  <si>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</si>
  <si>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</si>
  <si>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</si>
  <si>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</si>
  <si>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</si>
  <si>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</si>
  <si>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</si>
  <si>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</si>
  <si>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</si>
  <si>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tins chopped tomatoes</t>
  </si>
  <si>
    <t>water</t>
  </si>
  <si>
    <t>green chili</t>
  </si>
  <si>
    <t>minced green chili</t>
  </si>
  <si>
    <t>black mustard seeds</t>
  </si>
  <si>
    <t>cumin seeds</t>
  </si>
  <si>
    <t>itemNames</t>
  </si>
  <si>
    <t>unitNames</t>
  </si>
  <si>
    <t>measured
qty</t>
  </si>
  <si>
    <t>required
units</t>
  </si>
  <si>
    <t>reference
amt</t>
  </si>
  <si>
    <t>reference
units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</si>
  <si>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</si>
  <si>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</si>
  <si>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</si>
  <si>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</si>
  <si>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</si>
  <si>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</si>
  <si>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</si>
  <si>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</si>
  <si>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</si>
  <si>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</si>
  <si>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</si>
  <si>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</si>
  <si>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</si>
  <si>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</si>
  <si>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</si>
  <si>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</si>
  <si>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</si>
  <si>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</si>
  <si>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tins creamed corn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</si>
  <si>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</si>
  <si>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</si>
  <si>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</si>
  <si>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</si>
  <si>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</si>
  <si>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</si>
  <si>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</si>
  <si>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</si>
  <si>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</si>
  <si>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</si>
  <si>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</si>
  <si>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tins chickpeas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</si>
  <si>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</si>
  <si>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</si>
  <si>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</si>
  <si>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</si>
  <si>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</si>
  <si>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</si>
  <si>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</si>
  <si>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</si>
  <si>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</si>
  <si>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</si>
  <si>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</si>
  <si>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</si>
  <si>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</si>
  <si>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</si>
  <si>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</si>
  <si>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</si>
  <si>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</si>
  <si>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</si>
  <si>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</si>
  <si>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</si>
  <si>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</si>
  <si>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</si>
  <si>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</si>
  <si>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</si>
  <si>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tins coconut cream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</si>
  <si>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</si>
  <si>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</si>
  <si>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</si>
  <si>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</si>
  <si>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</si>
  <si>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</si>
  <si>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</si>
  <si>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</si>
  <si>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</si>
  <si>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</si>
  <si>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tins coconut milk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</si>
  <si>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</si>
  <si>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</si>
  <si>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</si>
  <si>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</si>
  <si>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</si>
  <si>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</si>
  <si>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</si>
  <si>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</si>
  <si>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</si>
  <si>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</si>
  <si>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</si>
  <si>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</si>
  <si>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</si>
  <si>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</si>
  <si>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</si>
  <si>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</si>
  <si>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</si>
  <si>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</si>
  <si>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</si>
  <si>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</si>
  <si>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</si>
  <si>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</si>
  <si>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</si>
  <si>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</si>
  <si>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</si>
  <si>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</si>
  <si>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</si>
  <si>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reference
kg</t>
  </si>
  <si>
    <t>reference
l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</si>
  <si>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</si>
  <si>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</si>
  <si>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</si>
  <si>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</si>
  <si>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</si>
  <si>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</si>
  <si>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</si>
  <si>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</si>
  <si>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</si>
  <si>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tins black beans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</si>
  <si>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</si>
  <si>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</si>
  <si>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</si>
  <si>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</si>
  <si>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</si>
  <si>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</si>
  <si>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</si>
  <si>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</si>
  <si>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</si>
  <si>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</si>
  <si>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</si>
  <si>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</si>
  <si>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</si>
  <si>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</si>
  <si>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</si>
  <si>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</si>
  <si>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</si>
  <si>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</si>
  <si>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</si>
  <si>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tins bamboo</t>
  </si>
  <si>
    <t>200g</t>
  </si>
  <si>
    <t>limes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</si>
  <si>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</si>
  <si>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</si>
  <si>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</si>
  <si>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</si>
  <si>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</si>
  <si>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</si>
  <si>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</si>
  <si>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</si>
  <si>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</si>
  <si>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</si>
  <si>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</si>
  <si>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</si>
  <si>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</si>
  <si>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</si>
  <si>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</si>
  <si>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</si>
  <si>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</si>
  <si>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salad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</si>
  <si>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</si>
  <si>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</si>
  <si>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</si>
  <si>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</si>
  <si>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</si>
  <si>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</si>
  <si>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</si>
  <si>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</si>
  <si>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</si>
  <si>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</si>
  <si>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</si>
  <si>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</si>
  <si>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</si>
  <si>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</si>
  <si>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</si>
  <si>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</si>
  <si>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</si>
  <si>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</si>
  <si>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</si>
  <si>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</si>
  <si>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</si>
  <si>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</si>
  <si>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</si>
  <si>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</si>
  <si>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</si>
  <si>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</si>
  <si>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</si>
  <si>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</si>
  <si>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</si>
  <si>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</si>
  <si>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</si>
  <si>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</si>
  <si>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</si>
  <si>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</si>
  <si>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</si>
  <si>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</si>
  <si>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</si>
  <si>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</si>
  <si>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</si>
  <si>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</si>
  <si>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</si>
  <si>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</si>
  <si>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</si>
  <si>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</si>
  <si>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</si>
  <si>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</si>
  <si>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</si>
  <si>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</si>
  <si>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</si>
  <si>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</si>
  <si>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</si>
  <si>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</si>
  <si>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</si>
  <si>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</si>
  <si>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</si>
  <si>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</si>
  <si>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</si>
  <si>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</si>
  <si>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</si>
  <si>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</si>
  <si>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</si>
  <si>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</si>
  <si>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</si>
  <si>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</si>
  <si>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</si>
  <si>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</si>
  <si>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</si>
  <si>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</si>
  <si>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</si>
  <si>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</si>
  <si>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</si>
  <si>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</si>
  <si>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</si>
  <si>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</si>
  <si>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</si>
  <si>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</si>
  <si>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</si>
  <si>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</si>
  <si>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</si>
  <si>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</si>
  <si>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</si>
  <si>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</si>
  <si>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</si>
  <si>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</si>
  <si>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</si>
  <si>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</si>
  <si>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</si>
  <si>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</si>
  <si>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</si>
  <si>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</si>
  <si>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</si>
  <si>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tins pasta sauce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</si>
  <si>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</si>
  <si>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</si>
  <si>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</si>
  <si>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</si>
  <si>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</si>
  <si>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</si>
  <si>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</si>
  <si>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</si>
  <si>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</si>
  <si>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</si>
  <si>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</si>
  <si>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</si>
  <si>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</si>
  <si>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</si>
  <si>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</si>
  <si>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</si>
  <si>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</si>
  <si>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</si>
  <si>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</si>
  <si>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</si>
  <si>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</si>
  <si>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jd book</t>
  </si>
  <si>
    <t>fruit salad</t>
  </si>
  <si>
    <t>goodies see 2016</t>
  </si>
  <si>
    <t>chop
comment</t>
  </si>
  <si>
    <t>DAILY</t>
  </si>
  <si>
    <t>LUNCH SALAD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</si>
  <si>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</si>
  <si>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</si>
  <si>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</si>
  <si>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</si>
  <si>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</si>
  <si>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</si>
  <si>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</si>
  <si>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</si>
  <si>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</si>
  <si>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</si>
  <si>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</si>
  <si>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</si>
  <si>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</si>
  <si>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</si>
  <si>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</si>
  <si>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</si>
  <si>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</si>
  <si>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</si>
  <si>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</si>
  <si>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</si>
  <si>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</si>
  <si>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</si>
  <si>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</si>
  <si>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</si>
  <si>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</si>
  <si>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</si>
  <si>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</si>
  <si>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</si>
  <si>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</si>
  <si>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</si>
  <si>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</si>
  <si>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</si>
  <si>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</si>
  <si>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</si>
  <si>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</si>
  <si>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</si>
  <si>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</si>
  <si>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</si>
  <si>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</si>
  <si>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</si>
  <si>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</si>
  <si>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</si>
  <si>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</si>
  <si>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</si>
  <si>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</si>
  <si>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</si>
  <si>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</si>
  <si>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</si>
  <si>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</si>
  <si>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</si>
  <si>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</si>
  <si>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</si>
  <si>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</si>
  <si>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</si>
  <si>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</si>
  <si>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</si>
  <si>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</si>
  <si>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</si>
  <si>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</si>
  <si>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</si>
  <si>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</si>
  <si>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</si>
  <si>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</si>
  <si>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</si>
  <si>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</si>
  <si>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</si>
  <si>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</si>
  <si>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</si>
  <si>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</si>
  <si>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</si>
  <si>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</si>
  <si>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</si>
  <si>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</si>
  <si>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</si>
  <si>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</si>
  <si>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</si>
  <si>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</si>
  <si>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</si>
  <si>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</si>
  <si>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</si>
  <si>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</si>
  <si>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juiced limes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</si>
  <si>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</si>
  <si>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</si>
  <si>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</si>
  <si>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</si>
  <si>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</si>
  <si>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</si>
  <si>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</si>
  <si>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</si>
  <si>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</si>
  <si>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</si>
  <si>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</si>
  <si>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</si>
  <si>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</si>
  <si>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</si>
  <si>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</si>
  <si>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</si>
  <si>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</si>
  <si>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</si>
  <si>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into 2cmx2cm cubes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</si>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</sst>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theme="9" tint="0.39994506668294322"/>
      </left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5" borderId="0" xfId="0" applyNumberFormat="1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0" fontId="2" fillId="6" borderId="1" xfId="0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2" fillId="5" borderId="0" xfId="0" applyFont="1" applyFill="1" applyBorder="1"/>
    <xf numFmtId="0" fontId="2" fillId="6" borderId="2" xfId="0" applyFont="1" applyFill="1" applyBorder="1"/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2" fontId="2" fillId="2" borderId="24" xfId="0" applyNumberFormat="1" applyFont="1" applyFill="1" applyBorder="1"/>
    <xf numFmtId="2" fontId="2" fillId="2" borderId="25" xfId="0" applyNumberFormat="1" applyFont="1" applyFill="1" applyBorder="1"/>
    <xf numFmtId="2" fontId="2" fillId="2" borderId="26" xfId="0" applyNumberFormat="1" applyFont="1" applyFill="1" applyBorder="1"/>
    <xf numFmtId="0" fontId="2" fillId="2" borderId="0" xfId="0" applyFont="1" applyFill="1"/>
    <xf numFmtId="2" fontId="2" fillId="2" borderId="23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8" xfId="0" applyFont="1" applyFill="1" applyBorder="1"/>
    <xf numFmtId="0" fontId="3" fillId="2" borderId="29" xfId="0" applyFont="1" applyFill="1" applyBorder="1"/>
    <xf numFmtId="0" fontId="3" fillId="2" borderId="26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2" fillId="4" borderId="27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9" borderId="33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8" fillId="0" borderId="0" xfId="0" applyNumberFormat="1" applyFont="1" applyFill="1" applyAlignment="1">
      <alignment horizontal="righ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20" xfId="0" applyNumberFormat="1" applyFont="1" applyFill="1" applyBorder="1"/>
    <xf numFmtId="0" fontId="2" fillId="2" borderId="0" xfId="0" applyNumberFormat="1" applyFont="1" applyFill="1" applyBorder="1"/>
    <xf numFmtId="0" fontId="2" fillId="2" borderId="25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  <xf numFmtId="12" fontId="7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H27" sqref="H27"/>
    </sheetView>
  </sheetViews>
  <sheetFormatPr defaultRowHeight="12.75" x14ac:dyDescent="0.2"/>
  <cols>
    <col min="1" max="1" width="11.85546875" style="84" bestFit="1" customWidth="1"/>
    <col min="2" max="3" width="8.28515625" style="35" bestFit="1" customWidth="1"/>
    <col min="4" max="4" width="8.85546875" style="35" bestFit="1" customWidth="1"/>
    <col min="5" max="5" width="8" style="35" bestFit="1" customWidth="1"/>
    <col min="6" max="6" width="8.5703125" style="35" bestFit="1" customWidth="1"/>
    <col min="7" max="7" width="8" style="35" bestFit="1" customWidth="1"/>
    <col min="8" max="8" width="7.7109375" style="35" bestFit="1" customWidth="1"/>
    <col min="9" max="9" width="5.28515625" style="35" bestFit="1" customWidth="1"/>
    <col min="10" max="10" width="9.140625" style="35"/>
    <col min="11" max="11" width="5.5703125" style="35" bestFit="1" customWidth="1"/>
    <col min="12" max="12" width="11.85546875" style="35" bestFit="1" customWidth="1"/>
    <col min="13" max="16384" width="9.140625" style="35"/>
  </cols>
  <sheetData>
    <row r="2" spans="1:12" ht="13.5" thickBot="1" x14ac:dyDescent="0.25">
      <c r="B2" s="85" t="s">
        <v>350</v>
      </c>
      <c r="C2" s="85" t="s">
        <v>351</v>
      </c>
      <c r="D2" s="85" t="s">
        <v>352</v>
      </c>
      <c r="E2" s="85" t="s">
        <v>353</v>
      </c>
      <c r="F2" s="85" t="s">
        <v>354</v>
      </c>
      <c r="G2" s="85" t="s">
        <v>355</v>
      </c>
      <c r="H2" s="85" t="s">
        <v>356</v>
      </c>
      <c r="K2" s="85" t="s">
        <v>349</v>
      </c>
    </row>
    <row r="3" spans="1:12" ht="13.5" thickBot="1" x14ac:dyDescent="0.25">
      <c r="A3" s="86" t="s">
        <v>357</v>
      </c>
      <c r="B3" s="93">
        <v>10</v>
      </c>
      <c r="C3" s="93">
        <v>10</v>
      </c>
      <c r="D3" s="93">
        <v>10</v>
      </c>
      <c r="E3" s="93">
        <v>10</v>
      </c>
      <c r="F3" s="93">
        <v>10</v>
      </c>
      <c r="G3" s="93">
        <v>10</v>
      </c>
      <c r="H3" s="93">
        <v>10</v>
      </c>
      <c r="I3" s="87" t="s">
        <v>342</v>
      </c>
      <c r="K3" s="93">
        <f t="shared" ref="K3:K8" si="0">SUM(B3:H3)</f>
        <v>70</v>
      </c>
      <c r="L3" s="87" t="s">
        <v>363</v>
      </c>
    </row>
    <row r="4" spans="1:12" ht="13.5" thickBot="1" x14ac:dyDescent="0.25">
      <c r="A4" s="86" t="s">
        <v>358</v>
      </c>
      <c r="B4" s="93">
        <v>1</v>
      </c>
      <c r="C4" s="93">
        <v>1</v>
      </c>
      <c r="D4" s="93">
        <v>1</v>
      </c>
      <c r="E4" s="93">
        <v>1</v>
      </c>
      <c r="F4" s="93">
        <v>1</v>
      </c>
      <c r="G4" s="93">
        <v>1</v>
      </c>
      <c r="H4" s="95">
        <v>1</v>
      </c>
      <c r="I4" s="88" t="s">
        <v>345</v>
      </c>
      <c r="K4" s="93">
        <f t="shared" si="0"/>
        <v>7</v>
      </c>
      <c r="L4" s="87" t="s">
        <v>364</v>
      </c>
    </row>
    <row r="5" spans="1:12" ht="13.5" thickBot="1" x14ac:dyDescent="0.25">
      <c r="A5" s="86" t="s">
        <v>359</v>
      </c>
      <c r="B5" s="93">
        <v>10</v>
      </c>
      <c r="C5" s="93">
        <v>10</v>
      </c>
      <c r="D5" s="93">
        <v>10</v>
      </c>
      <c r="E5" s="93">
        <v>10</v>
      </c>
      <c r="F5" s="93">
        <v>10</v>
      </c>
      <c r="G5" s="94">
        <v>10</v>
      </c>
      <c r="H5" s="96"/>
      <c r="I5" s="88" t="s">
        <v>343</v>
      </c>
      <c r="K5" s="93">
        <f t="shared" si="0"/>
        <v>60</v>
      </c>
      <c r="L5" s="87" t="s">
        <v>365</v>
      </c>
    </row>
    <row r="6" spans="1:12" ht="13.5" thickBot="1" x14ac:dyDescent="0.25">
      <c r="A6" s="86" t="s">
        <v>360</v>
      </c>
      <c r="B6" s="93">
        <v>1</v>
      </c>
      <c r="C6" s="93">
        <v>1</v>
      </c>
      <c r="D6" s="93">
        <v>1</v>
      </c>
      <c r="E6" s="93">
        <v>1</v>
      </c>
      <c r="F6" s="93">
        <v>1</v>
      </c>
      <c r="G6" s="94">
        <v>1</v>
      </c>
      <c r="H6" s="96"/>
      <c r="I6" s="88" t="s">
        <v>346</v>
      </c>
      <c r="K6" s="93">
        <f t="shared" si="0"/>
        <v>6</v>
      </c>
      <c r="L6" s="87" t="s">
        <v>366</v>
      </c>
    </row>
    <row r="7" spans="1:12" ht="13.5" thickBot="1" x14ac:dyDescent="0.25">
      <c r="A7" s="86" t="s">
        <v>361</v>
      </c>
      <c r="B7" s="93">
        <v>10</v>
      </c>
      <c r="C7" s="93">
        <v>10</v>
      </c>
      <c r="D7" s="93">
        <v>10</v>
      </c>
      <c r="E7" s="93">
        <v>10</v>
      </c>
      <c r="F7" s="93">
        <v>10</v>
      </c>
      <c r="G7" s="94">
        <v>10</v>
      </c>
      <c r="H7" s="96"/>
      <c r="I7" s="88" t="s">
        <v>344</v>
      </c>
      <c r="K7" s="93">
        <f t="shared" si="0"/>
        <v>60</v>
      </c>
      <c r="L7" s="87" t="s">
        <v>367</v>
      </c>
    </row>
    <row r="8" spans="1:12" ht="13.5" thickBot="1" x14ac:dyDescent="0.25">
      <c r="A8" s="86" t="s">
        <v>362</v>
      </c>
      <c r="B8" s="93">
        <v>1</v>
      </c>
      <c r="C8" s="93">
        <v>1</v>
      </c>
      <c r="D8" s="93">
        <v>1</v>
      </c>
      <c r="E8" s="93">
        <v>1</v>
      </c>
      <c r="F8" s="93">
        <v>1</v>
      </c>
      <c r="G8" s="94">
        <v>1</v>
      </c>
      <c r="H8" s="96"/>
      <c r="I8" s="89" t="s">
        <v>347</v>
      </c>
      <c r="K8" s="93">
        <f t="shared" si="0"/>
        <v>6</v>
      </c>
      <c r="L8" s="87" t="s">
        <v>368</v>
      </c>
    </row>
    <row r="9" spans="1:12" ht="13.5" thickBot="1" x14ac:dyDescent="0.25">
      <c r="B9" s="90" t="s">
        <v>335</v>
      </c>
      <c r="C9" s="91" t="s">
        <v>336</v>
      </c>
      <c r="D9" s="91" t="s">
        <v>337</v>
      </c>
      <c r="E9" s="91" t="s">
        <v>338</v>
      </c>
      <c r="F9" s="91" t="s">
        <v>339</v>
      </c>
      <c r="G9" s="91" t="s">
        <v>340</v>
      </c>
      <c r="H9" s="92" t="s">
        <v>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03"/>
  <sheetViews>
    <sheetView tabSelected="1" topLeftCell="A343" zoomScaleNormal="100" workbookViewId="0">
      <selection activeCell="U162" sqref="U162"/>
    </sheetView>
  </sheetViews>
  <sheetFormatPr defaultRowHeight="15" x14ac:dyDescent="0.25"/>
  <cols>
    <col min="1" max="1" width="2.140625" style="44" bestFit="1" customWidth="1"/>
    <col min="2" max="2" width="10.42578125" style="44" bestFit="1" customWidth="1"/>
    <col min="3" max="3" width="4.85546875" style="43" bestFit="1" customWidth="1"/>
    <col min="4" max="4" width="78" style="44" customWidth="1"/>
    <col min="5" max="5" width="14.140625" style="48" bestFit="1" customWidth="1"/>
    <col min="6" max="6" width="4.85546875" style="48" bestFit="1" customWidth="1"/>
    <col min="7" max="7" width="14.7109375" style="48" bestFit="1" customWidth="1"/>
    <col min="8" max="8" width="2.7109375" style="48" customWidth="1"/>
    <col min="9" max="9" width="7.7109375" style="49" bestFit="1" customWidth="1"/>
    <col min="10" max="10" width="7.7109375" style="48" bestFit="1" customWidth="1"/>
    <col min="11" max="11" width="28.5703125" style="48" bestFit="1" customWidth="1"/>
    <col min="12" max="12" width="6.85546875" style="50" bestFit="1" customWidth="1"/>
    <col min="13" max="13" width="5.7109375" style="51" bestFit="1" customWidth="1"/>
    <col min="14" max="14" width="4.42578125" style="51" bestFit="1" customWidth="1"/>
    <col min="15" max="16" width="7.7109375" style="51" bestFit="1" customWidth="1"/>
    <col min="17" max="17" width="7.140625" style="51" bestFit="1" customWidth="1"/>
    <col min="18" max="19" width="7.42578125" style="52" bestFit="1" customWidth="1"/>
    <col min="20" max="20" width="7.140625" style="51" bestFit="1" customWidth="1"/>
    <col min="21" max="21" width="28.140625" style="48" customWidth="1"/>
    <col min="22" max="22" width="5.28515625" style="48" bestFit="1" customWidth="1"/>
    <col min="23" max="23" width="7.140625" style="53" bestFit="1" customWidth="1"/>
    <col min="24" max="24" width="4.42578125" style="48" bestFit="1" customWidth="1"/>
    <col min="25" max="25" width="28.5703125" style="48" bestFit="1" customWidth="1"/>
    <col min="26" max="26" width="38.28515625" style="54" customWidth="1"/>
    <col min="27" max="27" width="5.28515625" style="48" bestFit="1" customWidth="1"/>
    <col min="28" max="28" width="7.140625" style="48" bestFit="1" customWidth="1"/>
    <col min="29" max="29" width="4.42578125" style="48" bestFit="1" customWidth="1"/>
    <col min="30" max="30" width="9.140625" style="48" bestFit="1" customWidth="1"/>
    <col min="31" max="16384" width="9.140625" style="48"/>
  </cols>
  <sheetData>
    <row r="1" spans="1:30" s="73" customFormat="1" ht="15.75" x14ac:dyDescent="0.25">
      <c r="A1" s="111" t="s">
        <v>322</v>
      </c>
      <c r="B1" s="111"/>
      <c r="C1" s="111"/>
      <c r="D1" s="111"/>
      <c r="E1" s="47" t="s">
        <v>324</v>
      </c>
      <c r="F1" s="112"/>
      <c r="G1" s="112"/>
      <c r="I1" s="49"/>
      <c r="L1" s="50"/>
      <c r="M1" s="51"/>
      <c r="N1" s="51"/>
      <c r="O1" s="51"/>
      <c r="P1" s="51"/>
      <c r="Q1" s="51"/>
      <c r="R1" s="52"/>
      <c r="S1" s="52"/>
      <c r="T1" s="51"/>
      <c r="W1" s="53"/>
      <c r="Z1" s="54"/>
    </row>
    <row r="2" spans="1:30" s="73" customFormat="1" ht="24" x14ac:dyDescent="0.2">
      <c r="A2" s="111" t="s">
        <v>323</v>
      </c>
      <c r="B2" s="111"/>
      <c r="C2" s="111"/>
      <c r="D2" s="111"/>
      <c r="E2" s="72" t="s">
        <v>59</v>
      </c>
      <c r="F2" s="97">
        <v>10</v>
      </c>
      <c r="G2" s="51"/>
      <c r="I2" s="76" t="s">
        <v>57</v>
      </c>
      <c r="J2" s="77" t="s">
        <v>58</v>
      </c>
      <c r="K2" s="77" t="s">
        <v>17</v>
      </c>
      <c r="L2" s="78" t="s">
        <v>56</v>
      </c>
      <c r="M2" s="76" t="s">
        <v>151</v>
      </c>
      <c r="N2" s="76" t="s">
        <v>152</v>
      </c>
      <c r="O2" s="76" t="s">
        <v>153</v>
      </c>
      <c r="P2" s="76" t="s">
        <v>154</v>
      </c>
      <c r="Q2" s="77" t="s">
        <v>374</v>
      </c>
      <c r="R2" s="79" t="s">
        <v>375</v>
      </c>
      <c r="S2" s="79" t="s">
        <v>376</v>
      </c>
      <c r="T2" s="76" t="s">
        <v>377</v>
      </c>
      <c r="U2" s="77" t="s">
        <v>22</v>
      </c>
      <c r="V2" s="77" t="s">
        <v>218</v>
      </c>
      <c r="W2" s="80" t="s">
        <v>374</v>
      </c>
      <c r="X2" s="77" t="s">
        <v>216</v>
      </c>
      <c r="Y2" s="77" t="s">
        <v>217</v>
      </c>
      <c r="Z2" s="77" t="s">
        <v>321</v>
      </c>
      <c r="AA2" s="77" t="s">
        <v>219</v>
      </c>
      <c r="AB2" s="80" t="s">
        <v>374</v>
      </c>
      <c r="AC2" s="77" t="s">
        <v>220</v>
      </c>
      <c r="AD2" s="77" t="s">
        <v>221</v>
      </c>
    </row>
    <row r="3" spans="1:30" s="73" customFormat="1" ht="15.75" thickBot="1" x14ac:dyDescent="0.3">
      <c r="A3" s="110"/>
      <c r="B3" s="110"/>
      <c r="C3" s="110"/>
      <c r="D3" s="110"/>
      <c r="E3" s="72" t="s">
        <v>369</v>
      </c>
      <c r="F3" s="97">
        <v>10</v>
      </c>
      <c r="G3" s="51"/>
      <c r="I3" s="51"/>
      <c r="L3" s="50"/>
      <c r="M3" s="51"/>
      <c r="N3" s="51"/>
      <c r="O3" s="51"/>
      <c r="P3" s="51"/>
      <c r="Q3" s="51"/>
      <c r="R3" s="52"/>
      <c r="S3" s="52"/>
      <c r="T3" s="51"/>
      <c r="W3" s="53"/>
      <c r="Z3" s="54"/>
    </row>
    <row r="4" spans="1:30" s="73" customFormat="1" ht="15.75" thickBot="1" x14ac:dyDescent="0.3">
      <c r="A4" s="110" t="s">
        <v>333</v>
      </c>
      <c r="B4" s="110"/>
      <c r="C4" s="110"/>
      <c r="D4" s="110"/>
      <c r="E4" s="72" t="s">
        <v>372</v>
      </c>
      <c r="F4" s="55">
        <f>F3/F2</f>
        <v>1</v>
      </c>
      <c r="G4" s="56" t="s">
        <v>370</v>
      </c>
      <c r="I4" s="51"/>
      <c r="L4" s="50"/>
      <c r="M4" s="51"/>
      <c r="N4" s="51"/>
      <c r="O4" s="51"/>
      <c r="P4" s="51"/>
      <c r="Q4" s="51"/>
      <c r="R4" s="52"/>
      <c r="S4" s="52"/>
      <c r="T4" s="51"/>
      <c r="W4" s="53"/>
      <c r="Z4" s="54"/>
    </row>
    <row r="5" spans="1:30" s="73" customFormat="1" ht="15.75" thickBot="1" x14ac:dyDescent="0.3">
      <c r="A5" s="71" t="s">
        <v>21</v>
      </c>
      <c r="B5" s="57">
        <f t="shared" ref="B5:B12" si="0">Q5</f>
        <v>0.5</v>
      </c>
      <c r="C5" s="43" t="str">
        <f t="shared" ref="C5:C12" si="1">IF(L5="","",L5)</f>
        <v/>
      </c>
      <c r="D5" s="71" t="str">
        <f t="shared" ref="D5:D12" si="2">_xlfn.CONCAT(K5, U5)</f>
        <v>sliced cucumbers</v>
      </c>
      <c r="E5" s="72" t="s">
        <v>348</v>
      </c>
      <c r="F5" s="73">
        <f>totalLuCount + totalSluCount</f>
        <v>66</v>
      </c>
      <c r="H5" s="58"/>
      <c r="I5" s="59">
        <v>0.5</v>
      </c>
      <c r="J5" s="60"/>
      <c r="K5" s="60" t="s">
        <v>327</v>
      </c>
      <c r="L5" s="61"/>
      <c r="M5" s="51">
        <f t="shared" ref="M5:M12" si="3">INDEX(itemGPerQty, MATCH(K5, itemNames, 0))</f>
        <v>0.30599999999999999</v>
      </c>
      <c r="N5" s="51">
        <f t="shared" ref="N5:N12" si="4">INDEX(itemMlPerQty, MATCH(K5, itemNames, 0))</f>
        <v>0</v>
      </c>
      <c r="O5" s="51">
        <f t="shared" ref="O5:O12" si="5">IF(J5 = "", I5 * M5, IF(ISNA(CONVERT(I5, J5, "kg")), CONVERT(I5, J5, "l") * IF(N5 &lt;&gt; 0, M5 / N5, 0), CONVERT(I5, J5, "kg")))</f>
        <v>0.153</v>
      </c>
      <c r="P5" s="51">
        <f t="shared" ref="P5:P12" si="6">IF(J5 = "", I5 * N5, IF(ISNA(CONVERT(I5, J5, "l")), CONVERT(I5, J5, "kg") * IF(M5 &lt;&gt; 0, N5 / M5, 0), CONVERT(I5, J5, "l")))</f>
        <v>0</v>
      </c>
      <c r="Q5" s="51">
        <f t="shared" ref="Q5:Q12" si="7">MROUND(IF(AND(J5 = "", L5 = ""), I5 * recipe14DayScale, IF(ISNA(CONVERT(O5, "kg", L5)), CONVERT(P5 * recipe14DayScale, "l", L5), CONVERT(O5 * recipe14DayScale, "kg", L5))), roundTo)</f>
        <v>0.5</v>
      </c>
      <c r="R5" s="52">
        <f t="shared" ref="R5:R12" si="8">recipe14TotScale * IF(L5 = "", Q5 * M5, IF(ISNA(CONVERT(Q5, L5, "kg")), CONVERT(Q5, L5, "l") * IF(N5 &lt;&gt; 0, M5 / N5, 0), CONVERT(Q5, L5, "kg")))</f>
        <v>1.0098</v>
      </c>
      <c r="S5" s="52">
        <f t="shared" ref="S5:S12" si="9">recipe14TotScale * IF(R5 = 0, IF(L5 = "", Q5 * N5, IF(ISNA(CONVERT(Q5, L5, "l")), CONVERT(Q5, L5, "kg") * IF(M5 &lt;&gt; 0, N5 / M5, 0), CONVERT(Q5, L5, "l"))), 0)</f>
        <v>0</v>
      </c>
      <c r="T5" s="51">
        <f t="shared" ref="T5:T12" si="10">recipe14TotScale * IF(AND(R5 = 0, S5 = 0, J5 = "", L5 = ""), Q5, 0)</f>
        <v>0</v>
      </c>
      <c r="V5" s="73" t="b">
        <f t="shared" ref="V5:V12" si="11">INDEX(itemPrepMethods, MATCH(K5, itemNames, 0))="chop"</f>
        <v>1</v>
      </c>
      <c r="W5" s="62">
        <f t="shared" ref="W5:W12" si="12">IF(V5, Q5, "")</f>
        <v>0.5</v>
      </c>
      <c r="X5" s="63" t="str">
        <f t="shared" ref="X5:X12" si="13">IF(V5, IF(L5 = "", "", L5), "")</f>
        <v/>
      </c>
      <c r="Y5" s="63" t="str">
        <f t="shared" ref="Y5:Y12" si="14">IF(V5, K5, "")</f>
        <v>sliced cucumbers</v>
      </c>
      <c r="Z5" s="64"/>
      <c r="AA5" s="73" t="b">
        <f t="shared" ref="AA5:AA12" si="15">INDEX(itemPrepMethods, MATCH(K5, itemNames, 0))="soak"</f>
        <v>0</v>
      </c>
      <c r="AB5" s="63" t="str">
        <f t="shared" ref="AB5:AB12" si="16">IF(AA5, Q5, "")</f>
        <v/>
      </c>
      <c r="AC5" s="63" t="str">
        <f t="shared" ref="AC5:AC12" si="17">IF(AA5, IF(L5 = "", "", L5), "")</f>
        <v/>
      </c>
      <c r="AD5" s="63" t="str">
        <f t="shared" ref="AD5:AD12" si="18">IF(AA5, K5, "")</f>
        <v/>
      </c>
    </row>
    <row r="6" spans="1:30" s="73" customFormat="1" ht="15.75" thickBot="1" x14ac:dyDescent="0.3">
      <c r="A6" s="71" t="s">
        <v>21</v>
      </c>
      <c r="B6" s="57">
        <f t="shared" si="0"/>
        <v>0.5</v>
      </c>
      <c r="C6" s="43" t="str">
        <f t="shared" si="1"/>
        <v/>
      </c>
      <c r="D6" s="71" t="str">
        <f t="shared" si="2"/>
        <v>grated carrots</v>
      </c>
      <c r="E6" s="72" t="s">
        <v>373</v>
      </c>
      <c r="F6" s="55">
        <f>F5/F3</f>
        <v>6.6</v>
      </c>
      <c r="G6" s="56" t="s">
        <v>371</v>
      </c>
      <c r="H6" s="58"/>
      <c r="I6" s="59">
        <v>0.5</v>
      </c>
      <c r="J6" s="60"/>
      <c r="K6" s="60" t="s">
        <v>328</v>
      </c>
      <c r="L6" s="61"/>
      <c r="M6" s="51">
        <f t="shared" si="3"/>
        <v>0</v>
      </c>
      <c r="N6" s="51">
        <f t="shared" si="4"/>
        <v>0</v>
      </c>
      <c r="O6" s="51">
        <f t="shared" si="5"/>
        <v>0</v>
      </c>
      <c r="P6" s="51">
        <f t="shared" si="6"/>
        <v>0</v>
      </c>
      <c r="Q6" s="51">
        <f t="shared" si="7"/>
        <v>0.5</v>
      </c>
      <c r="R6" s="52">
        <f t="shared" si="8"/>
        <v>0</v>
      </c>
      <c r="S6" s="52">
        <f t="shared" si="9"/>
        <v>0</v>
      </c>
      <c r="T6" s="51">
        <f t="shared" si="10"/>
        <v>3.3</v>
      </c>
      <c r="V6" s="73" t="b">
        <f t="shared" si="11"/>
        <v>1</v>
      </c>
      <c r="W6" s="62">
        <f t="shared" si="12"/>
        <v>0.5</v>
      </c>
      <c r="X6" s="63" t="str">
        <f t="shared" si="13"/>
        <v/>
      </c>
      <c r="Y6" s="63" t="str">
        <f t="shared" si="14"/>
        <v>grated carrots</v>
      </c>
      <c r="Z6" s="64"/>
      <c r="AA6" s="73" t="b">
        <f t="shared" si="15"/>
        <v>0</v>
      </c>
      <c r="AB6" s="63" t="str">
        <f t="shared" si="16"/>
        <v/>
      </c>
      <c r="AC6" s="63" t="str">
        <f t="shared" si="17"/>
        <v/>
      </c>
      <c r="AD6" s="63" t="str">
        <f t="shared" si="18"/>
        <v/>
      </c>
    </row>
    <row r="7" spans="1:30" s="73" customFormat="1" x14ac:dyDescent="0.25">
      <c r="A7" s="71" t="s">
        <v>21</v>
      </c>
      <c r="B7" s="57">
        <f t="shared" si="0"/>
        <v>1.5</v>
      </c>
      <c r="C7" s="43" t="str">
        <f t="shared" si="1"/>
        <v/>
      </c>
      <c r="D7" s="71" t="str">
        <f t="shared" si="2"/>
        <v>sliced celery stalks</v>
      </c>
      <c r="H7" s="58"/>
      <c r="I7" s="59">
        <v>1.5</v>
      </c>
      <c r="J7" s="60"/>
      <c r="K7" s="60" t="s">
        <v>182</v>
      </c>
      <c r="L7" s="61"/>
      <c r="M7" s="51">
        <f t="shared" si="3"/>
        <v>0</v>
      </c>
      <c r="N7" s="51">
        <f t="shared" si="4"/>
        <v>0</v>
      </c>
      <c r="O7" s="51">
        <f t="shared" si="5"/>
        <v>0</v>
      </c>
      <c r="P7" s="51">
        <f t="shared" si="6"/>
        <v>0</v>
      </c>
      <c r="Q7" s="51">
        <f t="shared" si="7"/>
        <v>1.5</v>
      </c>
      <c r="R7" s="52">
        <f t="shared" si="8"/>
        <v>0</v>
      </c>
      <c r="S7" s="52">
        <f t="shared" si="9"/>
        <v>0</v>
      </c>
      <c r="T7" s="51">
        <f t="shared" si="10"/>
        <v>9.8999999999999986</v>
      </c>
      <c r="V7" s="73" t="b">
        <f t="shared" si="11"/>
        <v>1</v>
      </c>
      <c r="W7" s="62">
        <f t="shared" si="12"/>
        <v>1.5</v>
      </c>
      <c r="X7" s="63" t="str">
        <f t="shared" si="13"/>
        <v/>
      </c>
      <c r="Y7" s="63" t="str">
        <f t="shared" si="14"/>
        <v>sliced celery stalks</v>
      </c>
      <c r="Z7" s="64"/>
      <c r="AA7" s="73" t="b">
        <f t="shared" si="15"/>
        <v>0</v>
      </c>
      <c r="AB7" s="63" t="str">
        <f t="shared" si="16"/>
        <v/>
      </c>
      <c r="AC7" s="63" t="str">
        <f t="shared" si="17"/>
        <v/>
      </c>
      <c r="AD7" s="63" t="str">
        <f t="shared" si="18"/>
        <v/>
      </c>
    </row>
    <row r="8" spans="1:30" s="73" customFormat="1" x14ac:dyDescent="0.25">
      <c r="A8" s="71" t="s">
        <v>21</v>
      </c>
      <c r="B8" s="57">
        <f t="shared" si="0"/>
        <v>0.5</v>
      </c>
      <c r="C8" s="43" t="str">
        <f t="shared" si="1"/>
        <v/>
      </c>
      <c r="D8" s="71" t="str">
        <f t="shared" si="2"/>
        <v>sliced green capsicums</v>
      </c>
      <c r="H8" s="58"/>
      <c r="I8" s="59">
        <v>0.5</v>
      </c>
      <c r="J8" s="60"/>
      <c r="K8" s="60" t="s">
        <v>329</v>
      </c>
      <c r="L8" s="61"/>
      <c r="M8" s="51">
        <f t="shared" si="3"/>
        <v>0</v>
      </c>
      <c r="N8" s="51">
        <f t="shared" si="4"/>
        <v>0</v>
      </c>
      <c r="O8" s="51">
        <f t="shared" si="5"/>
        <v>0</v>
      </c>
      <c r="P8" s="51">
        <f t="shared" si="6"/>
        <v>0</v>
      </c>
      <c r="Q8" s="51">
        <f t="shared" si="7"/>
        <v>0.5</v>
      </c>
      <c r="R8" s="52">
        <f t="shared" si="8"/>
        <v>0</v>
      </c>
      <c r="S8" s="52">
        <f t="shared" si="9"/>
        <v>0</v>
      </c>
      <c r="T8" s="51">
        <f t="shared" si="10"/>
        <v>3.3</v>
      </c>
      <c r="V8" s="73" t="b">
        <f t="shared" si="11"/>
        <v>1</v>
      </c>
      <c r="W8" s="62">
        <f t="shared" si="12"/>
        <v>0.5</v>
      </c>
      <c r="X8" s="63" t="str">
        <f t="shared" si="13"/>
        <v/>
      </c>
      <c r="Y8" s="63" t="str">
        <f t="shared" si="14"/>
        <v>sliced green capsicums</v>
      </c>
      <c r="Z8" s="64"/>
      <c r="AA8" s="73" t="b">
        <f t="shared" si="15"/>
        <v>0</v>
      </c>
      <c r="AB8" s="63" t="str">
        <f t="shared" si="16"/>
        <v/>
      </c>
      <c r="AC8" s="63" t="str">
        <f t="shared" si="17"/>
        <v/>
      </c>
      <c r="AD8" s="63" t="str">
        <f t="shared" si="18"/>
        <v/>
      </c>
    </row>
    <row r="9" spans="1:30" s="73" customFormat="1" x14ac:dyDescent="0.25">
      <c r="A9" s="71" t="s">
        <v>21</v>
      </c>
      <c r="B9" s="57">
        <f t="shared" si="0"/>
        <v>1</v>
      </c>
      <c r="C9" s="43" t="str">
        <f t="shared" si="1"/>
        <v/>
      </c>
      <c r="D9" s="71" t="str">
        <f t="shared" si="2"/>
        <v>coarsely chopped lettuces</v>
      </c>
      <c r="H9" s="58"/>
      <c r="I9" s="59">
        <v>1</v>
      </c>
      <c r="J9" s="60"/>
      <c r="K9" s="60" t="s">
        <v>425</v>
      </c>
      <c r="L9" s="61"/>
      <c r="M9" s="51">
        <f t="shared" si="3"/>
        <v>0.84399999999999997</v>
      </c>
      <c r="N9" s="51">
        <f t="shared" si="4"/>
        <v>0</v>
      </c>
      <c r="O9" s="51">
        <f t="shared" si="5"/>
        <v>0.84399999999999997</v>
      </c>
      <c r="P9" s="51">
        <f t="shared" si="6"/>
        <v>0</v>
      </c>
      <c r="Q9" s="51">
        <f t="shared" si="7"/>
        <v>1</v>
      </c>
      <c r="R9" s="52">
        <f t="shared" si="8"/>
        <v>5.5703999999999994</v>
      </c>
      <c r="S9" s="52">
        <f t="shared" si="9"/>
        <v>0</v>
      </c>
      <c r="T9" s="51">
        <f t="shared" si="10"/>
        <v>0</v>
      </c>
      <c r="V9" s="73" t="b">
        <f t="shared" si="11"/>
        <v>1</v>
      </c>
      <c r="W9" s="62">
        <f t="shared" si="12"/>
        <v>1</v>
      </c>
      <c r="X9" s="63" t="str">
        <f t="shared" si="13"/>
        <v/>
      </c>
      <c r="Y9" s="63" t="str">
        <f t="shared" si="14"/>
        <v>coarsely chopped lettuces</v>
      </c>
      <c r="Z9" s="64" t="s">
        <v>424</v>
      </c>
      <c r="AA9" s="73" t="b">
        <f t="shared" si="15"/>
        <v>0</v>
      </c>
      <c r="AB9" s="63" t="str">
        <f t="shared" si="16"/>
        <v/>
      </c>
      <c r="AC9" s="63" t="str">
        <f t="shared" si="17"/>
        <v/>
      </c>
      <c r="AD9" s="63" t="str">
        <f t="shared" si="18"/>
        <v/>
      </c>
    </row>
    <row r="10" spans="1:30" s="73" customFormat="1" x14ac:dyDescent="0.25">
      <c r="A10" s="71" t="s">
        <v>21</v>
      </c>
      <c r="B10" s="66">
        <f t="shared" si="0"/>
        <v>0</v>
      </c>
      <c r="C10" s="43" t="str">
        <f t="shared" si="1"/>
        <v/>
      </c>
      <c r="D10" s="71" t="str">
        <f t="shared" si="2"/>
        <v>fresh sprouts</v>
      </c>
      <c r="H10" s="58"/>
      <c r="I10" s="59"/>
      <c r="J10" s="60"/>
      <c r="K10" s="60" t="s">
        <v>330</v>
      </c>
      <c r="L10" s="61"/>
      <c r="M10" s="51">
        <f t="shared" si="3"/>
        <v>0</v>
      </c>
      <c r="N10" s="51">
        <f t="shared" si="4"/>
        <v>0</v>
      </c>
      <c r="O10" s="51">
        <f t="shared" si="5"/>
        <v>0</v>
      </c>
      <c r="P10" s="51">
        <f t="shared" si="6"/>
        <v>0</v>
      </c>
      <c r="Q10" s="51">
        <f t="shared" si="7"/>
        <v>0</v>
      </c>
      <c r="R10" s="52">
        <f t="shared" si="8"/>
        <v>0</v>
      </c>
      <c r="S10" s="52">
        <f t="shared" si="9"/>
        <v>0</v>
      </c>
      <c r="T10" s="51">
        <f t="shared" si="10"/>
        <v>0</v>
      </c>
      <c r="V10" s="73" t="b">
        <f t="shared" si="11"/>
        <v>0</v>
      </c>
      <c r="W10" s="62" t="str">
        <f t="shared" si="12"/>
        <v/>
      </c>
      <c r="X10" s="63" t="str">
        <f t="shared" si="13"/>
        <v/>
      </c>
      <c r="Y10" s="63" t="str">
        <f t="shared" si="14"/>
        <v/>
      </c>
      <c r="Z10" s="64"/>
      <c r="AA10" s="73" t="b">
        <f t="shared" si="15"/>
        <v>0</v>
      </c>
      <c r="AB10" s="63" t="str">
        <f t="shared" si="16"/>
        <v/>
      </c>
      <c r="AC10" s="63" t="str">
        <f t="shared" si="17"/>
        <v/>
      </c>
      <c r="AD10" s="63" t="str">
        <f t="shared" si="18"/>
        <v/>
      </c>
    </row>
    <row r="11" spans="1:30" s="73" customFormat="1" x14ac:dyDescent="0.25">
      <c r="A11" s="71" t="s">
        <v>21</v>
      </c>
      <c r="B11" s="66">
        <f t="shared" si="0"/>
        <v>0</v>
      </c>
      <c r="C11" s="43" t="str">
        <f t="shared" si="1"/>
        <v/>
      </c>
      <c r="D11" s="71" t="str">
        <f t="shared" si="2"/>
        <v>fresh herbs, if available</v>
      </c>
      <c r="H11" s="58"/>
      <c r="I11" s="59"/>
      <c r="J11" s="60"/>
      <c r="K11" s="60" t="s">
        <v>331</v>
      </c>
      <c r="L11" s="61"/>
      <c r="M11" s="51">
        <f t="shared" si="3"/>
        <v>0</v>
      </c>
      <c r="N11" s="51">
        <f t="shared" si="4"/>
        <v>0</v>
      </c>
      <c r="O11" s="51">
        <f t="shared" si="5"/>
        <v>0</v>
      </c>
      <c r="P11" s="51">
        <f t="shared" si="6"/>
        <v>0</v>
      </c>
      <c r="Q11" s="51">
        <f t="shared" si="7"/>
        <v>0</v>
      </c>
      <c r="R11" s="52">
        <f t="shared" si="8"/>
        <v>0</v>
      </c>
      <c r="S11" s="52">
        <f t="shared" si="9"/>
        <v>0</v>
      </c>
      <c r="T11" s="51">
        <f t="shared" si="10"/>
        <v>0</v>
      </c>
      <c r="U11" s="73" t="s">
        <v>244</v>
      </c>
      <c r="V11" s="73" t="b">
        <f t="shared" si="11"/>
        <v>0</v>
      </c>
      <c r="W11" s="62" t="str">
        <f t="shared" si="12"/>
        <v/>
      </c>
      <c r="X11" s="63" t="str">
        <f t="shared" si="13"/>
        <v/>
      </c>
      <c r="Y11" s="63" t="str">
        <f t="shared" si="14"/>
        <v/>
      </c>
      <c r="Z11" s="64"/>
      <c r="AA11" s="73" t="b">
        <f t="shared" si="15"/>
        <v>0</v>
      </c>
      <c r="AB11" s="63" t="str">
        <f t="shared" si="16"/>
        <v/>
      </c>
      <c r="AC11" s="63" t="str">
        <f t="shared" si="17"/>
        <v/>
      </c>
      <c r="AD11" s="63" t="str">
        <f t="shared" si="18"/>
        <v/>
      </c>
    </row>
    <row r="12" spans="1:30" s="73" customFormat="1" x14ac:dyDescent="0.25">
      <c r="A12" s="71" t="s">
        <v>21</v>
      </c>
      <c r="B12" s="66">
        <f t="shared" si="0"/>
        <v>0</v>
      </c>
      <c r="C12" s="43" t="str">
        <f t="shared" si="1"/>
        <v/>
      </c>
      <c r="D12" s="71" t="str">
        <f t="shared" si="2"/>
        <v>sunflower seeds</v>
      </c>
      <c r="H12" s="58"/>
      <c r="I12" s="59"/>
      <c r="J12" s="60"/>
      <c r="K12" s="60" t="s">
        <v>332</v>
      </c>
      <c r="L12" s="61"/>
      <c r="M12" s="51">
        <f t="shared" si="3"/>
        <v>0</v>
      </c>
      <c r="N12" s="51">
        <f t="shared" si="4"/>
        <v>0</v>
      </c>
      <c r="O12" s="51">
        <f t="shared" si="5"/>
        <v>0</v>
      </c>
      <c r="P12" s="51">
        <f t="shared" si="6"/>
        <v>0</v>
      </c>
      <c r="Q12" s="51">
        <f t="shared" si="7"/>
        <v>0</v>
      </c>
      <c r="R12" s="52">
        <f t="shared" si="8"/>
        <v>0</v>
      </c>
      <c r="S12" s="52">
        <f t="shared" si="9"/>
        <v>0</v>
      </c>
      <c r="T12" s="51">
        <f t="shared" si="10"/>
        <v>0</v>
      </c>
      <c r="V12" s="73" t="b">
        <f t="shared" si="11"/>
        <v>0</v>
      </c>
      <c r="W12" s="62" t="str">
        <f t="shared" si="12"/>
        <v/>
      </c>
      <c r="X12" s="63" t="str">
        <f t="shared" si="13"/>
        <v/>
      </c>
      <c r="Y12" s="63" t="str">
        <f t="shared" si="14"/>
        <v/>
      </c>
      <c r="Z12" s="64"/>
      <c r="AA12" s="73" t="b">
        <f t="shared" si="15"/>
        <v>0</v>
      </c>
      <c r="AB12" s="63" t="str">
        <f t="shared" si="16"/>
        <v/>
      </c>
      <c r="AC12" s="63" t="str">
        <f t="shared" si="17"/>
        <v/>
      </c>
      <c r="AD12" s="63" t="str">
        <f t="shared" si="18"/>
        <v/>
      </c>
    </row>
    <row r="13" spans="1:30" s="75" customFormat="1" x14ac:dyDescent="0.25">
      <c r="A13" s="110"/>
      <c r="B13" s="110"/>
      <c r="C13" s="110"/>
      <c r="D13" s="110"/>
      <c r="I13" s="49"/>
      <c r="L13" s="50"/>
      <c r="M13" s="51"/>
      <c r="N13" s="51"/>
      <c r="O13" s="51"/>
      <c r="P13" s="51"/>
      <c r="Q13" s="51"/>
      <c r="R13" s="52"/>
      <c r="S13" s="52"/>
      <c r="T13" s="51"/>
      <c r="W13" s="81"/>
      <c r="X13" s="81"/>
      <c r="Y13" s="81"/>
      <c r="Z13" s="81"/>
      <c r="AB13" s="81"/>
      <c r="AC13" s="81"/>
      <c r="AD13" s="81"/>
    </row>
    <row r="14" spans="1:30" s="75" customFormat="1" x14ac:dyDescent="0.25">
      <c r="A14" s="110" t="s">
        <v>423</v>
      </c>
      <c r="B14" s="110"/>
      <c r="C14" s="110"/>
      <c r="D14" s="110"/>
      <c r="I14" s="49"/>
      <c r="L14" s="50"/>
      <c r="M14" s="51"/>
      <c r="N14" s="51"/>
      <c r="O14" s="51"/>
      <c r="P14" s="51"/>
      <c r="Q14" s="51"/>
      <c r="R14" s="52"/>
      <c r="S14" s="52"/>
      <c r="T14" s="51"/>
      <c r="W14" s="81"/>
      <c r="X14" s="81"/>
      <c r="Y14" s="81"/>
      <c r="Z14" s="81"/>
      <c r="AB14" s="81"/>
      <c r="AC14" s="81"/>
      <c r="AD14" s="81"/>
    </row>
    <row r="15" spans="1:30" s="73" customFormat="1" x14ac:dyDescent="0.25">
      <c r="A15" s="71" t="s">
        <v>21</v>
      </c>
      <c r="B15" s="57">
        <f>Q15</f>
        <v>2</v>
      </c>
      <c r="C15" s="43" t="str">
        <f>IF(L15="","",L15)</f>
        <v/>
      </c>
      <c r="D15" s="71" t="str">
        <f>_xlfn.CONCAT(K15, U15)</f>
        <v>chopped tomatoes</v>
      </c>
      <c r="H15" s="58"/>
      <c r="I15" s="59">
        <v>2</v>
      </c>
      <c r="J15" s="60"/>
      <c r="K15" s="60" t="s">
        <v>325</v>
      </c>
      <c r="L15" s="61"/>
      <c r="M15" s="51">
        <f>INDEX(itemGPerQty, MATCH(K15, itemNames, 0))</f>
        <v>0.13250000000000001</v>
      </c>
      <c r="N15" s="51">
        <f>INDEX(itemMlPerQty, MATCH(K15, itemNames, 0))</f>
        <v>0</v>
      </c>
      <c r="O15" s="51">
        <f>IF(J15 = "", I15 * M15, IF(ISNA(CONVERT(I15, J15, "kg")), CONVERT(I15, J15, "l") * IF(N15 &lt;&gt; 0, M15 / N15, 0), CONVERT(I15, J15, "kg")))</f>
        <v>0.26500000000000001</v>
      </c>
      <c r="P15" s="51">
        <f>IF(J15 = "", I15 * N15, IF(ISNA(CONVERT(I15, J15, "l")), CONVERT(I15, J15, "kg") * IF(M15 &lt;&gt; 0, N15 / M15, 0), CONVERT(I15, J15, "l")))</f>
        <v>0</v>
      </c>
      <c r="Q15" s="51">
        <f>MROUND(IF(AND(J15 = "", L15 = ""), I15 * recipe14DayScale, IF(ISNA(CONVERT(O15, "kg", L15)), CONVERT(P15 * recipe14DayScale, "l", L15), CONVERT(O15 * recipe14DayScale, "kg", L15))), roundTo)</f>
        <v>2</v>
      </c>
      <c r="R15" s="52">
        <f>recipe14TotScale * IF(L15 = "", Q15 * M15, IF(ISNA(CONVERT(Q15, L15, "kg")), CONVERT(Q15, L15, "l") * IF(N15 &lt;&gt; 0, M15 / N15, 0), CONVERT(Q15, L15, "kg")))</f>
        <v>1.7489999999999999</v>
      </c>
      <c r="S15" s="52">
        <f>recipe14TotScale * IF(R15 = 0, IF(L15 = "", Q15 * N15, IF(ISNA(CONVERT(Q15, L15, "l")), CONVERT(Q15, L15, "kg") * IF(M15 &lt;&gt; 0, N15 / M15, 0), CONVERT(Q15, L15, "l"))), 0)</f>
        <v>0</v>
      </c>
      <c r="T15" s="51">
        <f>recipe14TotScale * IF(AND(R15 = 0, S15 = 0, J15 = "", L15 = ""), Q15, 0)</f>
        <v>0</v>
      </c>
      <c r="V15" s="73" t="b">
        <f>INDEX(itemPrepMethods, MATCH(K15, itemNames, 0))="chop"</f>
        <v>1</v>
      </c>
      <c r="W15" s="62">
        <f>IF(V15, Q15, "")</f>
        <v>2</v>
      </c>
      <c r="X15" s="63" t="str">
        <f>IF(V15, IF(L15 = "", "", L15), "")</f>
        <v/>
      </c>
      <c r="Y15" s="63" t="str">
        <f>IF(V15, K15, "")</f>
        <v>chopped tomatoes</v>
      </c>
      <c r="Z15" s="64"/>
      <c r="AA15" s="73" t="b">
        <f>INDEX(itemPrepMethods, MATCH(K15, itemNames, 0))="soak"</f>
        <v>0</v>
      </c>
      <c r="AB15" s="63" t="str">
        <f>IF(AA15, Q15, "")</f>
        <v/>
      </c>
      <c r="AC15" s="63" t="str">
        <f>IF(AA15, IF(L15 = "", "", L15), "")</f>
        <v/>
      </c>
      <c r="AD15" s="63" t="str">
        <f>IF(AA15, K15, "")</f>
        <v/>
      </c>
    </row>
    <row r="16" spans="1:30" s="75" customFormat="1" x14ac:dyDescent="0.25">
      <c r="A16" s="110"/>
      <c r="B16" s="110"/>
      <c r="C16" s="110"/>
      <c r="D16" s="110"/>
      <c r="I16" s="49"/>
      <c r="L16" s="50"/>
      <c r="M16" s="51"/>
      <c r="N16" s="51"/>
      <c r="O16" s="51"/>
      <c r="P16" s="51"/>
      <c r="Q16" s="51"/>
      <c r="R16" s="52"/>
      <c r="S16" s="52"/>
      <c r="T16" s="51"/>
      <c r="W16" s="53"/>
      <c r="Z16" s="54"/>
    </row>
    <row r="17" spans="1:30" s="75" customFormat="1" x14ac:dyDescent="0.25">
      <c r="A17" s="110" t="s">
        <v>422</v>
      </c>
      <c r="B17" s="110"/>
      <c r="C17" s="110"/>
      <c r="D17" s="110"/>
      <c r="I17" s="49"/>
      <c r="L17" s="50"/>
      <c r="M17" s="51"/>
      <c r="N17" s="51"/>
      <c r="O17" s="51"/>
      <c r="P17" s="51"/>
      <c r="Q17" s="51"/>
      <c r="R17" s="52"/>
      <c r="S17" s="52"/>
      <c r="T17" s="51"/>
      <c r="W17" s="53"/>
      <c r="Z17" s="54"/>
    </row>
    <row r="18" spans="1:30" ht="15.75" x14ac:dyDescent="0.25">
      <c r="A18" s="111" t="s">
        <v>198</v>
      </c>
      <c r="B18" s="111"/>
      <c r="C18" s="111"/>
      <c r="D18" s="111"/>
      <c r="E18" s="47" t="s">
        <v>199</v>
      </c>
      <c r="F18" s="112"/>
      <c r="G18" s="112"/>
    </row>
    <row r="19" spans="1:30" ht="24" x14ac:dyDescent="0.2">
      <c r="A19" s="111" t="s">
        <v>406</v>
      </c>
      <c r="B19" s="111"/>
      <c r="C19" s="111"/>
      <c r="D19" s="111"/>
      <c r="E19" s="46" t="s">
        <v>59</v>
      </c>
      <c r="F19" s="97">
        <v>4</v>
      </c>
      <c r="G19" s="51"/>
      <c r="I19" s="76" t="s">
        <v>57</v>
      </c>
      <c r="J19" s="77" t="s">
        <v>58</v>
      </c>
      <c r="K19" s="77" t="s">
        <v>17</v>
      </c>
      <c r="L19" s="78" t="s">
        <v>56</v>
      </c>
      <c r="M19" s="76" t="s">
        <v>151</v>
      </c>
      <c r="N19" s="76" t="s">
        <v>152</v>
      </c>
      <c r="O19" s="76" t="s">
        <v>153</v>
      </c>
      <c r="P19" s="76" t="s">
        <v>154</v>
      </c>
      <c r="Q19" s="77" t="s">
        <v>374</v>
      </c>
      <c r="R19" s="79" t="s">
        <v>375</v>
      </c>
      <c r="S19" s="79" t="s">
        <v>376</v>
      </c>
      <c r="T19" s="76" t="s">
        <v>377</v>
      </c>
      <c r="U19" s="77" t="s">
        <v>22</v>
      </c>
      <c r="V19" s="77" t="s">
        <v>218</v>
      </c>
      <c r="W19" s="80" t="s">
        <v>374</v>
      </c>
      <c r="X19" s="77" t="s">
        <v>216</v>
      </c>
      <c r="Y19" s="77" t="s">
        <v>217</v>
      </c>
      <c r="Z19" s="77" t="s">
        <v>321</v>
      </c>
      <c r="AA19" s="77" t="s">
        <v>219</v>
      </c>
      <c r="AB19" s="80" t="s">
        <v>374</v>
      </c>
      <c r="AC19" s="77" t="s">
        <v>220</v>
      </c>
      <c r="AD19" s="77" t="s">
        <v>221</v>
      </c>
    </row>
    <row r="20" spans="1:30" ht="15.75" thickBot="1" x14ac:dyDescent="0.3">
      <c r="A20" s="110"/>
      <c r="B20" s="110"/>
      <c r="C20" s="110"/>
      <c r="D20" s="110"/>
      <c r="E20" s="46" t="s">
        <v>369</v>
      </c>
      <c r="F20" s="97">
        <v>4</v>
      </c>
      <c r="G20" s="51"/>
      <c r="I20" s="51"/>
    </row>
    <row r="21" spans="1:30" ht="15.75" thickBot="1" x14ac:dyDescent="0.3">
      <c r="A21" s="110" t="s">
        <v>407</v>
      </c>
      <c r="B21" s="110"/>
      <c r="C21" s="110"/>
      <c r="D21" s="110"/>
      <c r="E21" s="46" t="s">
        <v>372</v>
      </c>
      <c r="F21" s="55">
        <f>F20/F19</f>
        <v>1</v>
      </c>
      <c r="G21" s="56" t="s">
        <v>378</v>
      </c>
      <c r="I21" s="51"/>
    </row>
    <row r="22" spans="1:30" x14ac:dyDescent="0.25">
      <c r="A22" s="44" t="s">
        <v>21</v>
      </c>
      <c r="B22" s="57">
        <f>Q22</f>
        <v>2</v>
      </c>
      <c r="C22" s="43" t="str">
        <f>IF(L22="","",L22)</f>
        <v/>
      </c>
      <c r="D22" s="71" t="str">
        <f t="shared" ref="D22:D25" si="19">_xlfn.CONCAT(K22, U22)</f>
        <v>garlic cloves. Remove from oil once cooked</v>
      </c>
      <c r="H22" s="58"/>
      <c r="I22" s="59">
        <v>2</v>
      </c>
      <c r="J22" s="60"/>
      <c r="K22" s="60" t="s">
        <v>8</v>
      </c>
      <c r="L22" s="61"/>
      <c r="M22" s="51">
        <f>INDEX(itemGPerQty, MATCH(K22, itemNames, 0))</f>
        <v>0</v>
      </c>
      <c r="N22" s="51">
        <f>INDEX(itemMlPerQty, MATCH(K22, itemNames, 0))</f>
        <v>0</v>
      </c>
      <c r="O22" s="51">
        <f>IF(J22 = "", I22 * M22, IF(ISNA(CONVERT(I22, J22, "kg")), CONVERT(I22, J22, "l") * IF(N22 &lt;&gt; 0, M22 / N22, 0), CONVERT(I22, J22, "kg")))</f>
        <v>0</v>
      </c>
      <c r="P22" s="51">
        <f>IF(J22 = "", I22 * N22, IF(ISNA(CONVERT(I22, J22, "l")), CONVERT(I22, J22, "kg") * IF(M22 &lt;&gt; 0, N22 / M22, 0), CONVERT(I22, J22, "l")))</f>
        <v>0</v>
      </c>
      <c r="Q22" s="51">
        <f>MROUND(IF(AND(J22 = "", L22 = ""), I22 * recipe13DayScale, IF(ISNA(CONVERT(O22, "kg", L22)), CONVERT(P22 * recipe13DayScale, "l", L22), CONVERT(O22 * recipe13DayScale, "kg", L22))), roundTo)</f>
        <v>2</v>
      </c>
      <c r="R22" s="52">
        <f>recipe13TotScale * IF(L22 = "", Q22 * M22, IF(ISNA(CONVERT(Q22, L22, "kg")), CONVERT(Q22, L22, "l") * IF(N22 &lt;&gt; 0, M22 / N22, 0), CONVERT(Q22, L22, "kg")))</f>
        <v>0</v>
      </c>
      <c r="S22" s="52">
        <f>recipe13TotScale * IF(R22 = 0, IF(L22 = "", Q22 * N22, IF(ISNA(CONVERT(Q22, L22, "l")), CONVERT(Q22, L22, "kg") * IF(M22 &lt;&gt; 0, N22 / M22, 0), CONVERT(Q22, L22, "l"))), 0)</f>
        <v>0</v>
      </c>
      <c r="T22" s="51">
        <f>recipe13TotScale * IF(AND(R22 = 0, S22 = 0, J22 = "", L22 = ""), Q22, 0)</f>
        <v>3</v>
      </c>
      <c r="U22" s="75" t="s">
        <v>249</v>
      </c>
      <c r="V22" s="48" t="b">
        <f>INDEX(itemPrepMethods, MATCH(K22, itemNames, 0))="chop"</f>
        <v>0</v>
      </c>
      <c r="W22" s="62" t="str">
        <f>IF(V22, Q22, "")</f>
        <v/>
      </c>
      <c r="X22" s="63" t="str">
        <f>IF(V22, IF(L22 = "", "", L22), "")</f>
        <v/>
      </c>
      <c r="Y22" s="63" t="str">
        <f>IF(V22, K22, "")</f>
        <v/>
      </c>
      <c r="Z22" s="64"/>
      <c r="AA22" s="48" t="b">
        <f>INDEX(itemPrepMethods, MATCH(K22, itemNames, 0))="soak"</f>
        <v>0</v>
      </c>
      <c r="AB22" s="63" t="str">
        <f>IF(AA22, Q22, "")</f>
        <v/>
      </c>
      <c r="AC22" s="63" t="str">
        <f>IF(AA22, IF(L22 = "", "", L22), "")</f>
        <v/>
      </c>
      <c r="AD22" s="63" t="str">
        <f>IF(AA22, K22, "")</f>
        <v/>
      </c>
    </row>
    <row r="23" spans="1:30" ht="15.75" thickBot="1" x14ac:dyDescent="0.3">
      <c r="A23" s="44" t="s">
        <v>21</v>
      </c>
      <c r="B23" s="57">
        <f>Q23</f>
        <v>4</v>
      </c>
      <c r="C23" s="43" t="str">
        <f>IF(L23="","",L23)</f>
        <v>tbs</v>
      </c>
      <c r="D23" s="71" t="str">
        <f t="shared" si="19"/>
        <v>minced fresh ginger</v>
      </c>
      <c r="E23" s="72" t="s">
        <v>348</v>
      </c>
      <c r="F23" s="73">
        <f>totalSluCount</f>
        <v>6</v>
      </c>
      <c r="G23" s="73"/>
      <c r="H23" s="58"/>
      <c r="I23" s="59">
        <v>4</v>
      </c>
      <c r="J23" s="60" t="s">
        <v>15</v>
      </c>
      <c r="K23" s="60" t="s">
        <v>237</v>
      </c>
      <c r="L23" s="61" t="s">
        <v>15</v>
      </c>
      <c r="M23" s="51">
        <f>INDEX(itemGPerQty, MATCH(K23, itemNames, 0))</f>
        <v>0</v>
      </c>
      <c r="N23" s="51">
        <f>INDEX(itemMlPerQty, MATCH(K23, itemNames, 0))</f>
        <v>0</v>
      </c>
      <c r="O23" s="51">
        <f>IF(J23 = "", I23 * M23, IF(ISNA(CONVERT(I23, J23, "kg")), CONVERT(I23, J23, "l") * IF(N23 &lt;&gt; 0, M23 / N23, 0), CONVERT(I23, J23, "kg")))</f>
        <v>0</v>
      </c>
      <c r="P23" s="51">
        <f>IF(J23 = "", I23 * N23, IF(ISNA(CONVERT(I23, J23, "l")), CONVERT(I23, J23, "kg") * IF(M23 &lt;&gt; 0, N23 / M23, 0), CONVERT(I23, J23, "l")))</f>
        <v>5.9147059124999998E-2</v>
      </c>
      <c r="Q23" s="51">
        <f>MROUND(IF(AND(J23 = "", L23 = ""), I23 * recipe13DayScale, IF(ISNA(CONVERT(O23, "kg", L23)), CONVERT(P23 * recipe13DayScale, "l", L23), CONVERT(O23 * recipe13DayScale, "kg", L23))), roundTo)</f>
        <v>4</v>
      </c>
      <c r="R23" s="52">
        <f>recipe13TotScale * IF(L23 = "", Q23 * M23, IF(ISNA(CONVERT(Q23, L23, "kg")), CONVERT(Q23, L23, "l") * IF(N23 &lt;&gt; 0, M23 / N23, 0), CONVERT(Q23, L23, "kg")))</f>
        <v>0</v>
      </c>
      <c r="S23" s="52">
        <f>recipe13TotScale * IF(R23 = 0, IF(L23 = "", Q23 * N23, IF(ISNA(CONVERT(Q23, L23, "l")), CONVERT(Q23, L23, "kg") * IF(M23 &lt;&gt; 0, N23 / M23, 0), CONVERT(Q23, L23, "l"))), 0)</f>
        <v>8.872058868749999E-2</v>
      </c>
      <c r="T23" s="51">
        <f>recipe13TotScale * IF(AND(R23 = 0, S23 = 0, J23 = "", L23 = ""), Q23, 0)</f>
        <v>0</v>
      </c>
      <c r="V23" s="48" t="b">
        <f>INDEX(itemPrepMethods, MATCH(K23, itemNames, 0))="chop"</f>
        <v>1</v>
      </c>
      <c r="W23" s="62">
        <f>IF(V23, Q23, "")</f>
        <v>4</v>
      </c>
      <c r="X23" s="63" t="str">
        <f>IF(V23, IF(L23 = "", "", L23), "")</f>
        <v>tbs</v>
      </c>
      <c r="Y23" s="63" t="str">
        <f>IF(V23, K23, "")</f>
        <v>minced fresh ginger</v>
      </c>
      <c r="Z23" s="64"/>
      <c r="AA23" s="48" t="b">
        <f>INDEX(itemPrepMethods, MATCH(K23, itemNames, 0))="soak"</f>
        <v>0</v>
      </c>
      <c r="AB23" s="63" t="str">
        <f>IF(AA23, Q23, "")</f>
        <v/>
      </c>
      <c r="AC23" s="63" t="str">
        <f>IF(AA23, IF(L23 = "", "", L23), "")</f>
        <v/>
      </c>
      <c r="AD23" s="63" t="str">
        <f>IF(AA23, K23, "")</f>
        <v/>
      </c>
    </row>
    <row r="24" spans="1:30" ht="15.75" thickBot="1" x14ac:dyDescent="0.3">
      <c r="A24" s="44" t="s">
        <v>21</v>
      </c>
      <c r="B24" s="57">
        <f>Q24</f>
        <v>1</v>
      </c>
      <c r="C24" s="43" t="str">
        <f>IF(L24="","",L24)</f>
        <v>tbs</v>
      </c>
      <c r="D24" s="71" t="str">
        <f t="shared" si="19"/>
        <v>finely chopped fresh corriander</v>
      </c>
      <c r="E24" s="72" t="s">
        <v>373</v>
      </c>
      <c r="F24" s="55">
        <f>F23/F20</f>
        <v>1.5</v>
      </c>
      <c r="G24" s="56" t="s">
        <v>379</v>
      </c>
      <c r="H24" s="58"/>
      <c r="I24" s="59">
        <v>1</v>
      </c>
      <c r="J24" s="60" t="s">
        <v>15</v>
      </c>
      <c r="K24" s="60" t="s">
        <v>408</v>
      </c>
      <c r="L24" s="61" t="s">
        <v>15</v>
      </c>
      <c r="M24" s="51">
        <f>INDEX(itemGPerQty, MATCH(K24, itemNames, 0))</f>
        <v>0</v>
      </c>
      <c r="N24" s="51">
        <f>INDEX(itemMlPerQty, MATCH(K24, itemNames, 0))</f>
        <v>0</v>
      </c>
      <c r="O24" s="51">
        <f>IF(J24 = "", I24 * M24, IF(ISNA(CONVERT(I24, J24, "kg")), CONVERT(I24, J24, "l") * IF(N24 &lt;&gt; 0, M24 / N24, 0), CONVERT(I24, J24, "kg")))</f>
        <v>0</v>
      </c>
      <c r="P24" s="51">
        <f>IF(J24 = "", I24 * N24, IF(ISNA(CONVERT(I24, J24, "l")), CONVERT(I24, J24, "kg") * IF(M24 &lt;&gt; 0, N24 / M24, 0), CONVERT(I24, J24, "l")))</f>
        <v>1.478676478125E-2</v>
      </c>
      <c r="Q24" s="51">
        <f>MROUND(IF(AND(J24 = "", L24 = ""), I24 * recipe13DayScale, IF(ISNA(CONVERT(O24, "kg", L24)), CONVERT(P24 * recipe13DayScale, "l", L24), CONVERT(O24 * recipe13DayScale, "kg", L24))), roundTo)</f>
        <v>1</v>
      </c>
      <c r="R24" s="52">
        <f>recipe13TotScale * IF(L24 = "", Q24 * M24, IF(ISNA(CONVERT(Q24, L24, "kg")), CONVERT(Q24, L24, "l") * IF(N24 &lt;&gt; 0, M24 / N24, 0), CONVERT(Q24, L24, "kg")))</f>
        <v>0</v>
      </c>
      <c r="S24" s="52">
        <f>recipe13TotScale * IF(R24 = 0, IF(L24 = "", Q24 * N24, IF(ISNA(CONVERT(Q24, L24, "l")), CONVERT(Q24, L24, "kg") * IF(M24 &lt;&gt; 0, N24 / M24, 0), CONVERT(Q24, L24, "l"))), 0)</f>
        <v>2.2180147171874998E-2</v>
      </c>
      <c r="T24" s="51">
        <f>recipe13TotScale * IF(AND(R24 = 0, S24 = 0, J24 = "", L24 = ""), Q24, 0)</f>
        <v>0</v>
      </c>
      <c r="V24" s="48" t="b">
        <f>INDEX(itemPrepMethods, MATCH(K24, itemNames, 0))="chop"</f>
        <v>1</v>
      </c>
      <c r="W24" s="62">
        <f>IF(V24, Q24, "")</f>
        <v>1</v>
      </c>
      <c r="X24" s="63" t="str">
        <f>IF(V24, IF(L24 = "", "", L24), "")</f>
        <v>tbs</v>
      </c>
      <c r="Y24" s="63" t="str">
        <f>IF(V24, K24, "")</f>
        <v>finely chopped fresh corriander</v>
      </c>
      <c r="Z24" s="64"/>
      <c r="AA24" s="48" t="b">
        <f>INDEX(itemPrepMethods, MATCH(K24, itemNames, 0))="soak"</f>
        <v>0</v>
      </c>
      <c r="AB24" s="63" t="str">
        <f>IF(AA24, Q24, "")</f>
        <v/>
      </c>
      <c r="AC24" s="63" t="str">
        <f>IF(AA24, IF(L24 = "", "", L24), "")</f>
        <v/>
      </c>
      <c r="AD24" s="63" t="str">
        <f>IF(AA24, K24, "")</f>
        <v/>
      </c>
    </row>
    <row r="25" spans="1:30" x14ac:dyDescent="0.25">
      <c r="A25" s="44" t="s">
        <v>21</v>
      </c>
      <c r="B25" s="57">
        <f>Q25</f>
        <v>3</v>
      </c>
      <c r="C25" s="43" t="str">
        <f>IF(L25="","",L25)</f>
        <v>cup</v>
      </c>
      <c r="D25" s="71" t="str">
        <f t="shared" si="19"/>
        <v>blocks tofu, cut into cubes</v>
      </c>
      <c r="H25" s="58"/>
      <c r="I25" s="59">
        <v>3</v>
      </c>
      <c r="J25" s="60" t="s">
        <v>16</v>
      </c>
      <c r="K25" s="60" t="s">
        <v>276</v>
      </c>
      <c r="L25" s="61" t="s">
        <v>16</v>
      </c>
      <c r="M25" s="51">
        <f>INDEX(itemGPerQty, MATCH(K25, itemNames, 0))</f>
        <v>0</v>
      </c>
      <c r="N25" s="51">
        <f>INDEX(itemMlPerQty, MATCH(K25, itemNames, 0))</f>
        <v>0</v>
      </c>
      <c r="O25" s="51">
        <f>IF(J25 = "", I25 * M25, IF(ISNA(CONVERT(I25, J25, "kg")), CONVERT(I25, J25, "l") * IF(N25 &lt;&gt; 0, M25 / N25, 0), CONVERT(I25, J25, "kg")))</f>
        <v>0</v>
      </c>
      <c r="P25" s="51">
        <f>IF(J25 = "", I25 * N25, IF(ISNA(CONVERT(I25, J25, "l")), CONVERT(I25, J25, "kg") * IF(M25 &lt;&gt; 0, N25 / M25, 0), CONVERT(I25, J25, "l")))</f>
        <v>0.70976470949999992</v>
      </c>
      <c r="Q25" s="51">
        <f>MROUND(IF(AND(J25 = "", L25 = ""), I25 * recipe13DayScale, IF(ISNA(CONVERT(O25, "kg", L25)), CONVERT(P25 * recipe13DayScale, "l", L25), CONVERT(O25 * recipe13DayScale, "kg", L25))), roundTo)</f>
        <v>3</v>
      </c>
      <c r="R25" s="52">
        <f>recipe13TotScale * IF(L25 = "", Q25 * M25, IF(ISNA(CONVERT(Q25, L25, "kg")), CONVERT(Q25, L25, "l") * IF(N25 &lt;&gt; 0, M25 / N25, 0), CONVERT(Q25, L25, "kg")))</f>
        <v>0</v>
      </c>
      <c r="S25" s="52">
        <f>recipe13TotScale * IF(R25 = 0, IF(L25 = "", Q25 * N25, IF(ISNA(CONVERT(Q25, L25, "l")), CONVERT(Q25, L25, "kg") * IF(M25 &lt;&gt; 0, N25 / M25, 0), CONVERT(Q25, L25, "l"))), 0)</f>
        <v>1.0646470642499999</v>
      </c>
      <c r="T25" s="51">
        <f>recipe13TotScale * IF(AND(R25 = 0, S25 = 0, J25 = "", L25 = ""), Q25, 0)</f>
        <v>0</v>
      </c>
      <c r="V25" s="48" t="b">
        <f>INDEX(itemPrepMethods, MATCH(K25, itemNames, 0))="chop"</f>
        <v>1</v>
      </c>
      <c r="W25" s="62">
        <f>IF(V25, Q25, "")</f>
        <v>3</v>
      </c>
      <c r="X25" s="63" t="str">
        <f>IF(V25, IF(L25 = "", "", L25), "")</f>
        <v>cup</v>
      </c>
      <c r="Y25" s="63" t="str">
        <f>IF(V25, K25, "")</f>
        <v>blocks tofu, cut into cubes</v>
      </c>
      <c r="Z25" s="64"/>
      <c r="AA25" s="48" t="b">
        <f>INDEX(itemPrepMethods, MATCH(K25, itemNames, 0))="soak"</f>
        <v>0</v>
      </c>
      <c r="AB25" s="63" t="str">
        <f>IF(AA25, Q25, "")</f>
        <v/>
      </c>
      <c r="AC25" s="63" t="str">
        <f>IF(AA25, IF(L25 = "", "", L25), "")</f>
        <v/>
      </c>
      <c r="AD25" s="63" t="str">
        <f>IF(AA25, K25, "")</f>
        <v/>
      </c>
    </row>
    <row r="26" spans="1:30" x14ac:dyDescent="0.25">
      <c r="A26" s="110"/>
      <c r="B26" s="110"/>
      <c r="C26" s="110"/>
      <c r="D26" s="110"/>
      <c r="I26" s="51"/>
      <c r="W26" s="81"/>
      <c r="X26" s="81"/>
      <c r="Y26" s="81"/>
      <c r="Z26" s="81"/>
      <c r="AA26" s="73"/>
      <c r="AB26" s="81"/>
      <c r="AC26" s="81"/>
      <c r="AD26" s="81"/>
    </row>
    <row r="27" spans="1:30" x14ac:dyDescent="0.25">
      <c r="A27" s="110" t="s">
        <v>127</v>
      </c>
      <c r="B27" s="110"/>
      <c r="C27" s="110"/>
      <c r="D27" s="110"/>
      <c r="I27" s="51"/>
      <c r="W27" s="81"/>
      <c r="X27" s="81"/>
      <c r="Y27" s="81"/>
      <c r="Z27" s="81"/>
      <c r="AA27" s="73"/>
      <c r="AB27" s="81"/>
      <c r="AC27" s="81"/>
      <c r="AD27" s="81"/>
    </row>
    <row r="28" spans="1:30" x14ac:dyDescent="0.25">
      <c r="A28" s="44" t="s">
        <v>21</v>
      </c>
      <c r="B28" s="57">
        <f t="shared" ref="B28:B39" si="20">Q28</f>
        <v>1</v>
      </c>
      <c r="C28" s="43" t="str">
        <f t="shared" ref="C28:C39" si="21">IF(L28="","",L28)</f>
        <v>cup</v>
      </c>
      <c r="D28" s="71" t="str">
        <f t="shared" ref="D28:D39" si="22">_xlfn.CONCAT(K28, U28)</f>
        <v>chopped carrots</v>
      </c>
      <c r="H28" s="58"/>
      <c r="I28" s="59">
        <v>1</v>
      </c>
      <c r="J28" s="60" t="s">
        <v>16</v>
      </c>
      <c r="K28" s="60" t="s">
        <v>5</v>
      </c>
      <c r="L28" s="61" t="s">
        <v>16</v>
      </c>
      <c r="M28" s="51">
        <f t="shared" ref="M28:M39" si="23">INDEX(itemGPerQty, MATCH(K28, itemNames, 0))</f>
        <v>0.14833333333333334</v>
      </c>
      <c r="N28" s="51">
        <f t="shared" ref="N28:N39" si="24">INDEX(itemMlPerQty, MATCH(K28, itemNames, 0))</f>
        <v>0.19999999999999998</v>
      </c>
      <c r="O28" s="51">
        <f t="shared" ref="O28:O39" si="25">IF(J28 = "", I28 * M28, IF(ISNA(CONVERT(I28, J28, "kg")), CONVERT(I28, J28, "l") * IF(N28 &lt;&gt; 0, M28 / N28, 0), CONVERT(I28, J28, "kg")))</f>
        <v>0.17546960873750003</v>
      </c>
      <c r="P28" s="51">
        <f t="shared" ref="P28:P39" si="26">IF(J28 = "", I28 * N28, IF(ISNA(CONVERT(I28, J28, "l")), CONVERT(I28, J28, "kg") * IF(M28 &lt;&gt; 0, N28 / M28, 0), CONVERT(I28, J28, "l")))</f>
        <v>0.23658823649999999</v>
      </c>
      <c r="Q28" s="51">
        <f t="shared" ref="Q28:Q39" si="27">MROUND(IF(AND(J28 = "", L28 = ""), I28 * recipe13DayScale, IF(ISNA(CONVERT(O28, "kg", L28)), CONVERT(P28 * recipe13DayScale, "l", L28), CONVERT(O28 * recipe13DayScale, "kg", L28))), roundTo)</f>
        <v>1</v>
      </c>
      <c r="R28" s="52">
        <f t="shared" ref="R28:R39" si="28">recipe13TotScale * IF(L28 = "", Q28 * M28, IF(ISNA(CONVERT(Q28, L28, "kg")), CONVERT(Q28, L28, "l") * IF(N28 &lt;&gt; 0, M28 / N28, 0), CONVERT(Q28, L28, "kg")))</f>
        <v>0.26320441310625003</v>
      </c>
      <c r="S28" s="52">
        <f t="shared" ref="S28:S39" si="29">recipe13TotScale * IF(R28 = 0, IF(L28 = "", Q28 * N28, IF(ISNA(CONVERT(Q28, L28, "l")), CONVERT(Q28, L28, "kg") * IF(M28 &lt;&gt; 0, N28 / M28, 0), CONVERT(Q28, L28, "l"))), 0)</f>
        <v>0</v>
      </c>
      <c r="T28" s="51">
        <f t="shared" ref="T28:T39" si="30">recipe13TotScale * IF(AND(R28 = 0, S28 = 0, J28 = "", L28 = ""), Q28, 0)</f>
        <v>0</v>
      </c>
      <c r="V28" s="48" t="b">
        <f t="shared" ref="V28:V39" si="31">INDEX(itemPrepMethods, MATCH(K28, itemNames, 0))="chop"</f>
        <v>1</v>
      </c>
      <c r="W28" s="62">
        <f t="shared" ref="W28:W39" si="32">IF(V28, Q28, "")</f>
        <v>1</v>
      </c>
      <c r="X28" s="63" t="str">
        <f t="shared" ref="X28:X39" si="33">IF(V28, IF(L28 = "", "", L28), "")</f>
        <v>cup</v>
      </c>
      <c r="Y28" s="63" t="str">
        <f t="shared" ref="Y28:Y39" si="34">IF(V28, K28, "")</f>
        <v>chopped carrots</v>
      </c>
      <c r="Z28" s="64"/>
      <c r="AA28" s="48" t="b">
        <f t="shared" ref="AA28:AA39" si="35">INDEX(itemPrepMethods, MATCH(K28, itemNames, 0))="soak"</f>
        <v>0</v>
      </c>
      <c r="AB28" s="63" t="str">
        <f t="shared" ref="AB28:AB39" si="36">IF(AA28, Q28, "")</f>
        <v/>
      </c>
      <c r="AC28" s="63" t="str">
        <f t="shared" ref="AC28:AC39" si="37">IF(AA28, IF(L28 = "", "", L28), "")</f>
        <v/>
      </c>
      <c r="AD28" s="63" t="str">
        <f t="shared" ref="AD28:AD39" si="38">IF(AA28, K28, "")</f>
        <v/>
      </c>
    </row>
    <row r="29" spans="1:30" x14ac:dyDescent="0.25">
      <c r="A29" s="44" t="s">
        <v>21</v>
      </c>
      <c r="B29" s="57">
        <f t="shared" si="20"/>
        <v>2</v>
      </c>
      <c r="C29" s="43" t="str">
        <f t="shared" si="21"/>
        <v>cup</v>
      </c>
      <c r="D29" s="71" t="str">
        <f t="shared" si="22"/>
        <v>chopped kumara</v>
      </c>
      <c r="H29" s="58"/>
      <c r="I29" s="59">
        <v>2</v>
      </c>
      <c r="J29" s="60" t="s">
        <v>16</v>
      </c>
      <c r="K29" s="60" t="s">
        <v>163</v>
      </c>
      <c r="L29" s="61" t="s">
        <v>16</v>
      </c>
      <c r="M29" s="51">
        <f t="shared" si="23"/>
        <v>0.34</v>
      </c>
      <c r="N29" s="51">
        <f t="shared" si="24"/>
        <v>0</v>
      </c>
      <c r="O29" s="51">
        <f t="shared" si="25"/>
        <v>0</v>
      </c>
      <c r="P29" s="51">
        <f t="shared" si="26"/>
        <v>0.47317647299999999</v>
      </c>
      <c r="Q29" s="51">
        <f t="shared" si="27"/>
        <v>2</v>
      </c>
      <c r="R29" s="52">
        <f t="shared" si="28"/>
        <v>0</v>
      </c>
      <c r="S29" s="52">
        <f t="shared" si="29"/>
        <v>0.70976470949999992</v>
      </c>
      <c r="T29" s="51">
        <f t="shared" si="30"/>
        <v>0</v>
      </c>
      <c r="V29" s="48" t="b">
        <f t="shared" si="31"/>
        <v>1</v>
      </c>
      <c r="W29" s="62">
        <f t="shared" si="32"/>
        <v>2</v>
      </c>
      <c r="X29" s="63" t="str">
        <f t="shared" si="33"/>
        <v>cup</v>
      </c>
      <c r="Y29" s="63" t="str">
        <f t="shared" si="34"/>
        <v>chopped kumara</v>
      </c>
      <c r="Z29" s="64"/>
      <c r="AA29" s="48" t="b">
        <f t="shared" si="35"/>
        <v>0</v>
      </c>
      <c r="AB29" s="63" t="str">
        <f t="shared" si="36"/>
        <v/>
      </c>
      <c r="AC29" s="63" t="str">
        <f t="shared" si="37"/>
        <v/>
      </c>
      <c r="AD29" s="63" t="str">
        <f t="shared" si="38"/>
        <v/>
      </c>
    </row>
    <row r="30" spans="1:30" x14ac:dyDescent="0.25">
      <c r="A30" s="44" t="s">
        <v>21</v>
      </c>
      <c r="B30" s="57">
        <f t="shared" si="20"/>
        <v>1.5</v>
      </c>
      <c r="C30" s="43" t="str">
        <f t="shared" si="21"/>
        <v>cup</v>
      </c>
      <c r="D30" s="71" t="str">
        <f t="shared" si="22"/>
        <v>chopped broccoli</v>
      </c>
      <c r="H30" s="58"/>
      <c r="I30" s="59">
        <v>1.5</v>
      </c>
      <c r="J30" s="60" t="s">
        <v>16</v>
      </c>
      <c r="K30" s="60" t="s">
        <v>123</v>
      </c>
      <c r="L30" s="61" t="s">
        <v>16</v>
      </c>
      <c r="M30" s="51">
        <f t="shared" si="23"/>
        <v>0.313</v>
      </c>
      <c r="N30" s="51">
        <f t="shared" si="24"/>
        <v>0</v>
      </c>
      <c r="O30" s="51">
        <f t="shared" si="25"/>
        <v>0</v>
      </c>
      <c r="P30" s="51">
        <f t="shared" si="26"/>
        <v>0.35488235474999996</v>
      </c>
      <c r="Q30" s="51">
        <f t="shared" si="27"/>
        <v>1.5</v>
      </c>
      <c r="R30" s="52">
        <f t="shared" si="28"/>
        <v>0</v>
      </c>
      <c r="S30" s="52">
        <f t="shared" si="29"/>
        <v>0.53232353212499994</v>
      </c>
      <c r="T30" s="51">
        <f t="shared" si="30"/>
        <v>0</v>
      </c>
      <c r="V30" s="48" t="b">
        <f t="shared" si="31"/>
        <v>1</v>
      </c>
      <c r="W30" s="62">
        <f t="shared" si="32"/>
        <v>1.5</v>
      </c>
      <c r="X30" s="63" t="str">
        <f t="shared" si="33"/>
        <v>cup</v>
      </c>
      <c r="Y30" s="63" t="str">
        <f t="shared" si="34"/>
        <v>chopped broccoli</v>
      </c>
      <c r="Z30" s="64"/>
      <c r="AA30" s="48" t="b">
        <f t="shared" si="35"/>
        <v>0</v>
      </c>
      <c r="AB30" s="63" t="str">
        <f t="shared" si="36"/>
        <v/>
      </c>
      <c r="AC30" s="63" t="str">
        <f t="shared" si="37"/>
        <v/>
      </c>
      <c r="AD30" s="63" t="str">
        <f t="shared" si="38"/>
        <v/>
      </c>
    </row>
    <row r="31" spans="1:30" x14ac:dyDescent="0.25">
      <c r="A31" s="44" t="s">
        <v>21</v>
      </c>
      <c r="B31" s="57">
        <f t="shared" si="20"/>
        <v>1</v>
      </c>
      <c r="C31" s="43" t="str">
        <f t="shared" si="21"/>
        <v>cup</v>
      </c>
      <c r="D31" s="71" t="str">
        <f t="shared" si="22"/>
        <v>chopped red capsicums</v>
      </c>
      <c r="H31" s="58"/>
      <c r="I31" s="59">
        <v>1</v>
      </c>
      <c r="J31" s="60" t="s">
        <v>16</v>
      </c>
      <c r="K31" s="60" t="s">
        <v>409</v>
      </c>
      <c r="L31" s="61" t="s">
        <v>16</v>
      </c>
      <c r="M31" s="51">
        <f t="shared" si="23"/>
        <v>0.1885</v>
      </c>
      <c r="N31" s="51">
        <f t="shared" si="24"/>
        <v>0.25</v>
      </c>
      <c r="O31" s="51">
        <f t="shared" si="25"/>
        <v>0.17838753032099999</v>
      </c>
      <c r="P31" s="51">
        <f t="shared" si="26"/>
        <v>0.23658823649999999</v>
      </c>
      <c r="Q31" s="51">
        <f t="shared" si="27"/>
        <v>1</v>
      </c>
      <c r="R31" s="52">
        <f t="shared" si="28"/>
        <v>0.2675812954815</v>
      </c>
      <c r="S31" s="52">
        <f t="shared" si="29"/>
        <v>0</v>
      </c>
      <c r="T31" s="51">
        <f t="shared" si="30"/>
        <v>0</v>
      </c>
      <c r="V31" s="48" t="b">
        <f t="shared" si="31"/>
        <v>1</v>
      </c>
      <c r="W31" s="62">
        <f t="shared" si="32"/>
        <v>1</v>
      </c>
      <c r="X31" s="63" t="str">
        <f t="shared" si="33"/>
        <v>cup</v>
      </c>
      <c r="Y31" s="63" t="str">
        <f t="shared" si="34"/>
        <v>chopped red capsicums</v>
      </c>
      <c r="Z31" s="64"/>
      <c r="AA31" s="48" t="b">
        <f t="shared" si="35"/>
        <v>0</v>
      </c>
      <c r="AB31" s="63" t="str">
        <f t="shared" si="36"/>
        <v/>
      </c>
      <c r="AC31" s="63" t="str">
        <f t="shared" si="37"/>
        <v/>
      </c>
      <c r="AD31" s="63" t="str">
        <f t="shared" si="38"/>
        <v/>
      </c>
    </row>
    <row r="32" spans="1:30" s="75" customFormat="1" x14ac:dyDescent="0.25">
      <c r="A32" s="110"/>
      <c r="B32" s="110"/>
      <c r="C32" s="110"/>
      <c r="D32" s="110"/>
      <c r="I32" s="51"/>
      <c r="L32" s="50"/>
      <c r="M32" s="51"/>
      <c r="N32" s="51"/>
      <c r="O32" s="51"/>
      <c r="P32" s="51"/>
      <c r="Q32" s="51"/>
      <c r="R32" s="52"/>
      <c r="S32" s="52"/>
      <c r="T32" s="51"/>
      <c r="W32" s="81"/>
      <c r="X32" s="81"/>
      <c r="Y32" s="81"/>
      <c r="Z32" s="81"/>
      <c r="AB32" s="81"/>
      <c r="AC32" s="81"/>
      <c r="AD32" s="81"/>
    </row>
    <row r="33" spans="1:30" s="75" customFormat="1" x14ac:dyDescent="0.25">
      <c r="A33" s="110" t="s">
        <v>411</v>
      </c>
      <c r="B33" s="110"/>
      <c r="C33" s="110"/>
      <c r="D33" s="110"/>
      <c r="I33" s="51"/>
      <c r="L33" s="50"/>
      <c r="M33" s="51"/>
      <c r="N33" s="51"/>
      <c r="O33" s="51"/>
      <c r="P33" s="51"/>
      <c r="Q33" s="51"/>
      <c r="R33" s="52"/>
      <c r="S33" s="52"/>
      <c r="T33" s="51"/>
      <c r="W33" s="81"/>
      <c r="X33" s="81"/>
      <c r="Y33" s="81"/>
      <c r="Z33" s="81"/>
      <c r="AB33" s="81"/>
      <c r="AC33" s="81"/>
      <c r="AD33" s="81"/>
    </row>
    <row r="34" spans="1:30" x14ac:dyDescent="0.25">
      <c r="A34" s="44" t="s">
        <v>21</v>
      </c>
      <c r="B34" s="57">
        <f t="shared" si="20"/>
        <v>1</v>
      </c>
      <c r="C34" s="43" t="str">
        <f t="shared" si="21"/>
        <v>cup</v>
      </c>
      <c r="D34" s="71" t="str">
        <f t="shared" si="22"/>
        <v>tins coconut milk</v>
      </c>
      <c r="H34" s="58"/>
      <c r="I34" s="59">
        <v>1</v>
      </c>
      <c r="J34" s="60" t="s">
        <v>16</v>
      </c>
      <c r="K34" s="60" t="s">
        <v>125</v>
      </c>
      <c r="L34" s="61" t="s">
        <v>16</v>
      </c>
      <c r="M34" s="51">
        <f t="shared" si="23"/>
        <v>0</v>
      </c>
      <c r="N34" s="51">
        <f t="shared" si="24"/>
        <v>0</v>
      </c>
      <c r="O34" s="51">
        <f t="shared" si="25"/>
        <v>0</v>
      </c>
      <c r="P34" s="51">
        <f t="shared" si="26"/>
        <v>0.23658823649999999</v>
      </c>
      <c r="Q34" s="51">
        <f t="shared" si="27"/>
        <v>1</v>
      </c>
      <c r="R34" s="52">
        <f t="shared" si="28"/>
        <v>0</v>
      </c>
      <c r="S34" s="52">
        <f t="shared" si="29"/>
        <v>0.35488235474999996</v>
      </c>
      <c r="T34" s="51">
        <f t="shared" si="30"/>
        <v>0</v>
      </c>
      <c r="V34" s="48" t="b">
        <f t="shared" si="31"/>
        <v>0</v>
      </c>
      <c r="W34" s="62" t="str">
        <f t="shared" si="32"/>
        <v/>
      </c>
      <c r="X34" s="63" t="str">
        <f t="shared" si="33"/>
        <v/>
      </c>
      <c r="Y34" s="63" t="str">
        <f t="shared" si="34"/>
        <v/>
      </c>
      <c r="Z34" s="64"/>
      <c r="AA34" s="48" t="b">
        <f t="shared" si="35"/>
        <v>0</v>
      </c>
      <c r="AB34" s="63" t="str">
        <f t="shared" si="36"/>
        <v/>
      </c>
      <c r="AC34" s="63" t="str">
        <f t="shared" si="37"/>
        <v/>
      </c>
      <c r="AD34" s="63" t="str">
        <f t="shared" si="38"/>
        <v/>
      </c>
    </row>
    <row r="35" spans="1:30" s="75" customFormat="1" x14ac:dyDescent="0.25">
      <c r="A35" s="110"/>
      <c r="B35" s="110"/>
      <c r="C35" s="110"/>
      <c r="D35" s="110"/>
      <c r="I35" s="51"/>
      <c r="L35" s="50"/>
      <c r="M35" s="51"/>
      <c r="N35" s="51"/>
      <c r="O35" s="51"/>
      <c r="P35" s="51"/>
      <c r="Q35" s="51"/>
      <c r="R35" s="52"/>
      <c r="S35" s="52"/>
      <c r="T35" s="51"/>
      <c r="W35" s="81"/>
      <c r="X35" s="81"/>
      <c r="Y35" s="81"/>
      <c r="Z35" s="81"/>
      <c r="AB35" s="81"/>
      <c r="AC35" s="81"/>
      <c r="AD35" s="81"/>
    </row>
    <row r="36" spans="1:30" s="75" customFormat="1" x14ac:dyDescent="0.25">
      <c r="A36" s="110" t="s">
        <v>412</v>
      </c>
      <c r="B36" s="110"/>
      <c r="C36" s="110"/>
      <c r="D36" s="110"/>
      <c r="I36" s="51"/>
      <c r="L36" s="50"/>
      <c r="M36" s="51"/>
      <c r="N36" s="51"/>
      <c r="O36" s="51"/>
      <c r="P36" s="51"/>
      <c r="Q36" s="51"/>
      <c r="R36" s="52"/>
      <c r="S36" s="52"/>
      <c r="T36" s="51"/>
      <c r="W36" s="81"/>
      <c r="X36" s="81"/>
      <c r="Y36" s="81"/>
      <c r="Z36" s="81"/>
      <c r="AB36" s="81"/>
      <c r="AC36" s="81"/>
      <c r="AD36" s="81"/>
    </row>
    <row r="37" spans="1:30" s="75" customFormat="1" x14ac:dyDescent="0.25">
      <c r="A37" s="74" t="s">
        <v>21</v>
      </c>
      <c r="B37" s="57">
        <f t="shared" ref="B37" si="39">Q37</f>
        <v>8</v>
      </c>
      <c r="C37" s="43" t="str">
        <f t="shared" ref="C37" si="40">IF(L37="","",L37)</f>
        <v>tbs</v>
      </c>
      <c r="D37" s="74" t="str">
        <f t="shared" ref="D37" si="41">_xlfn.CONCAT(K37, U37)</f>
        <v>gluten free soy sauce</v>
      </c>
      <c r="H37" s="58"/>
      <c r="I37" s="59">
        <v>8</v>
      </c>
      <c r="J37" s="60" t="s">
        <v>15</v>
      </c>
      <c r="K37" s="60" t="s">
        <v>201</v>
      </c>
      <c r="L37" s="61" t="s">
        <v>15</v>
      </c>
      <c r="M37" s="51">
        <f t="shared" ref="M37" si="42">INDEX(itemGPerQty, MATCH(K37, itemNames, 0))</f>
        <v>0</v>
      </c>
      <c r="N37" s="51">
        <f t="shared" ref="N37" si="43">INDEX(itemMlPerQty, MATCH(K37, itemNames, 0))</f>
        <v>0</v>
      </c>
      <c r="O37" s="51">
        <f t="shared" ref="O37" si="44">IF(J37 = "", I37 * M37, IF(ISNA(CONVERT(I37, J37, "kg")), CONVERT(I37, J37, "l") * IF(N37 &lt;&gt; 0, M37 / N37, 0), CONVERT(I37, J37, "kg")))</f>
        <v>0</v>
      </c>
      <c r="P37" s="51">
        <f t="shared" ref="P37" si="45">IF(J37 = "", I37 * N37, IF(ISNA(CONVERT(I37, J37, "l")), CONVERT(I37, J37, "kg") * IF(M37 &lt;&gt; 0, N37 / M37, 0), CONVERT(I37, J37, "l")))</f>
        <v>0.11829411825</v>
      </c>
      <c r="Q37" s="51">
        <f t="shared" ref="Q37" si="46">MROUND(IF(AND(J37 = "", L37 = ""), I37 * recipe13DayScale, IF(ISNA(CONVERT(O37, "kg", L37)), CONVERT(P37 * recipe13DayScale, "l", L37), CONVERT(O37 * recipe13DayScale, "kg", L37))), roundTo)</f>
        <v>8</v>
      </c>
      <c r="R37" s="52">
        <f t="shared" ref="R37" si="47">recipe13TotScale * IF(L37 = "", Q37 * M37, IF(ISNA(CONVERT(Q37, L37, "kg")), CONVERT(Q37, L37, "l") * IF(N37 &lt;&gt; 0, M37 / N37, 0), CONVERT(Q37, L37, "kg")))</f>
        <v>0</v>
      </c>
      <c r="S37" s="52">
        <f t="shared" ref="S37" si="48">recipe13TotScale * IF(R37 = 0, IF(L37 = "", Q37 * N37, IF(ISNA(CONVERT(Q37, L37, "l")), CONVERT(Q37, L37, "kg") * IF(M37 &lt;&gt; 0, N37 / M37, 0), CONVERT(Q37, L37, "l"))), 0)</f>
        <v>0.17744117737499998</v>
      </c>
      <c r="T37" s="51">
        <f t="shared" ref="T37" si="49">recipe13TotScale * IF(AND(R37 = 0, S37 = 0, J37 = "", L37 = ""), Q37, 0)</f>
        <v>0</v>
      </c>
      <c r="V37" s="75" t="b">
        <f t="shared" ref="V37" si="50">INDEX(itemPrepMethods, MATCH(K37, itemNames, 0))="chop"</f>
        <v>0</v>
      </c>
      <c r="W37" s="62" t="str">
        <f t="shared" ref="W37" si="51">IF(V37, Q37, "")</f>
        <v/>
      </c>
      <c r="X37" s="63" t="str">
        <f t="shared" ref="X37" si="52">IF(V37, IF(L37 = "", "", L37), "")</f>
        <v/>
      </c>
      <c r="Y37" s="63" t="str">
        <f t="shared" ref="Y37" si="53">IF(V37, K37, "")</f>
        <v/>
      </c>
      <c r="Z37" s="64"/>
      <c r="AA37" s="75" t="b">
        <f t="shared" ref="AA37" si="54">INDEX(itemPrepMethods, MATCH(K37, itemNames, 0))="soak"</f>
        <v>0</v>
      </c>
      <c r="AB37" s="63" t="str">
        <f t="shared" ref="AB37" si="55">IF(AA37, Q37, "")</f>
        <v/>
      </c>
      <c r="AC37" s="63" t="str">
        <f t="shared" ref="AC37" si="56">IF(AA37, IF(L37 = "", "", L37), "")</f>
        <v/>
      </c>
      <c r="AD37" s="63" t="str">
        <f t="shared" ref="AD37" si="57">IF(AA37, K37, "")</f>
        <v/>
      </c>
    </row>
    <row r="38" spans="1:30" s="75" customFormat="1" x14ac:dyDescent="0.25">
      <c r="A38" s="74" t="s">
        <v>21</v>
      </c>
      <c r="B38" s="57">
        <f t="shared" ref="B38" si="58">Q38</f>
        <v>1</v>
      </c>
      <c r="C38" s="43" t="str">
        <f t="shared" ref="C38" si="59">IF(L38="","",L38)</f>
        <v>cup</v>
      </c>
      <c r="D38" s="74" t="str">
        <f t="shared" ref="D38" si="60">_xlfn.CONCAT(K38, U38)</f>
        <v>finely chopped spinach</v>
      </c>
      <c r="H38" s="58"/>
      <c r="I38" s="59">
        <v>1</v>
      </c>
      <c r="J38" s="60" t="s">
        <v>16</v>
      </c>
      <c r="K38" s="60" t="s">
        <v>414</v>
      </c>
      <c r="L38" s="61" t="s">
        <v>16</v>
      </c>
      <c r="M38" s="51">
        <f t="shared" ref="M38" si="61">INDEX(itemGPerQty, MATCH(K38, itemNames, 0))</f>
        <v>0</v>
      </c>
      <c r="N38" s="51">
        <f t="shared" ref="N38" si="62">INDEX(itemMlPerQty, MATCH(K38, itemNames, 0))</f>
        <v>0</v>
      </c>
      <c r="O38" s="51">
        <f t="shared" ref="O38" si="63">IF(J38 = "", I38 * M38, IF(ISNA(CONVERT(I38, J38, "kg")), CONVERT(I38, J38, "l") * IF(N38 &lt;&gt; 0, M38 / N38, 0), CONVERT(I38, J38, "kg")))</f>
        <v>0</v>
      </c>
      <c r="P38" s="51">
        <f t="shared" ref="P38" si="64">IF(J38 = "", I38 * N38, IF(ISNA(CONVERT(I38, J38, "l")), CONVERT(I38, J38, "kg") * IF(M38 &lt;&gt; 0, N38 / M38, 0), CONVERT(I38, J38, "l")))</f>
        <v>0.23658823649999999</v>
      </c>
      <c r="Q38" s="51">
        <f t="shared" ref="Q38" si="65">MROUND(IF(AND(J38 = "", L38 = ""), I38 * recipe13DayScale, IF(ISNA(CONVERT(O38, "kg", L38)), CONVERT(P38 * recipe13DayScale, "l", L38), CONVERT(O38 * recipe13DayScale, "kg", L38))), roundTo)</f>
        <v>1</v>
      </c>
      <c r="R38" s="52">
        <f t="shared" ref="R38" si="66">recipe13TotScale * IF(L38 = "", Q38 * M38, IF(ISNA(CONVERT(Q38, L38, "kg")), CONVERT(Q38, L38, "l") * IF(N38 &lt;&gt; 0, M38 / N38, 0), CONVERT(Q38, L38, "kg")))</f>
        <v>0</v>
      </c>
      <c r="S38" s="52">
        <f t="shared" ref="S38" si="67">recipe13TotScale * IF(R38 = 0, IF(L38 = "", Q38 * N38, IF(ISNA(CONVERT(Q38, L38, "l")), CONVERT(Q38, L38, "kg") * IF(M38 &lt;&gt; 0, N38 / M38, 0), CONVERT(Q38, L38, "l"))), 0)</f>
        <v>0.35488235474999996</v>
      </c>
      <c r="T38" s="51">
        <f t="shared" ref="T38" si="68">recipe13TotScale * IF(AND(R38 = 0, S38 = 0, J38 = "", L38 = ""), Q38, 0)</f>
        <v>0</v>
      </c>
      <c r="V38" s="75" t="b">
        <f t="shared" ref="V38" si="69">INDEX(itemPrepMethods, MATCH(K38, itemNames, 0))="chop"</f>
        <v>1</v>
      </c>
      <c r="W38" s="62">
        <f t="shared" ref="W38" si="70">IF(V38, Q38, "")</f>
        <v>1</v>
      </c>
      <c r="X38" s="63" t="str">
        <f t="shared" ref="X38" si="71">IF(V38, IF(L38 = "", "", L38), "")</f>
        <v>cup</v>
      </c>
      <c r="Y38" s="63" t="str">
        <f t="shared" ref="Y38" si="72">IF(V38, K38, "")</f>
        <v>finely chopped spinach</v>
      </c>
      <c r="Z38" s="64"/>
      <c r="AA38" s="75" t="b">
        <f t="shared" ref="AA38" si="73">INDEX(itemPrepMethods, MATCH(K38, itemNames, 0))="soak"</f>
        <v>0</v>
      </c>
      <c r="AB38" s="63" t="str">
        <f t="shared" ref="AB38" si="74">IF(AA38, Q38, "")</f>
        <v/>
      </c>
      <c r="AC38" s="63" t="str">
        <f t="shared" ref="AC38" si="75">IF(AA38, IF(L38 = "", "", L38), "")</f>
        <v/>
      </c>
      <c r="AD38" s="63" t="str">
        <f t="shared" ref="AD38" si="76">IF(AA38, K38, "")</f>
        <v/>
      </c>
    </row>
    <row r="39" spans="1:30" x14ac:dyDescent="0.25">
      <c r="A39" s="44" t="s">
        <v>21</v>
      </c>
      <c r="B39" s="57">
        <f t="shared" si="20"/>
        <v>2</v>
      </c>
      <c r="C39" s="43" t="str">
        <f t="shared" si="21"/>
        <v>tsp</v>
      </c>
      <c r="D39" s="71" t="str">
        <f t="shared" si="22"/>
        <v>ground corriander</v>
      </c>
      <c r="H39" s="58"/>
      <c r="I39" s="59">
        <v>2</v>
      </c>
      <c r="J39" s="60" t="s">
        <v>13</v>
      </c>
      <c r="K39" s="60" t="s">
        <v>161</v>
      </c>
      <c r="L39" s="61" t="s">
        <v>13</v>
      </c>
      <c r="M39" s="51">
        <f t="shared" si="23"/>
        <v>0</v>
      </c>
      <c r="N39" s="51">
        <f t="shared" si="24"/>
        <v>0</v>
      </c>
      <c r="O39" s="51">
        <f t="shared" si="25"/>
        <v>0</v>
      </c>
      <c r="P39" s="51">
        <f t="shared" si="26"/>
        <v>9.8578431874999997E-3</v>
      </c>
      <c r="Q39" s="51">
        <f t="shared" si="27"/>
        <v>2</v>
      </c>
      <c r="R39" s="52">
        <f t="shared" si="28"/>
        <v>0</v>
      </c>
      <c r="S39" s="52">
        <f t="shared" si="29"/>
        <v>1.478676478125E-2</v>
      </c>
      <c r="T39" s="51">
        <f t="shared" si="30"/>
        <v>0</v>
      </c>
      <c r="V39" s="48" t="b">
        <f t="shared" si="31"/>
        <v>0</v>
      </c>
      <c r="W39" s="62" t="str">
        <f t="shared" si="32"/>
        <v/>
      </c>
      <c r="X39" s="63" t="str">
        <f t="shared" si="33"/>
        <v/>
      </c>
      <c r="Y39" s="63" t="str">
        <f t="shared" si="34"/>
        <v/>
      </c>
      <c r="Z39" s="64"/>
      <c r="AA39" s="48" t="b">
        <f t="shared" si="35"/>
        <v>0</v>
      </c>
      <c r="AB39" s="63" t="str">
        <f t="shared" si="36"/>
        <v/>
      </c>
      <c r="AC39" s="63" t="str">
        <f t="shared" si="37"/>
        <v/>
      </c>
      <c r="AD39" s="63" t="str">
        <f t="shared" si="38"/>
        <v/>
      </c>
    </row>
    <row r="40" spans="1:30" ht="15.75" x14ac:dyDescent="0.25">
      <c r="A40" s="111" t="s">
        <v>23</v>
      </c>
      <c r="B40" s="111"/>
      <c r="C40" s="111"/>
      <c r="D40" s="111"/>
      <c r="E40" s="46" t="s">
        <v>135</v>
      </c>
      <c r="F40" s="112" t="s">
        <v>98</v>
      </c>
      <c r="G40" s="112"/>
    </row>
    <row r="41" spans="1:30" ht="24" x14ac:dyDescent="0.2">
      <c r="A41" s="118" t="s">
        <v>20</v>
      </c>
      <c r="B41" s="118"/>
      <c r="C41" s="118"/>
      <c r="D41" s="118"/>
      <c r="E41" s="46" t="s">
        <v>59</v>
      </c>
      <c r="F41" s="97">
        <v>11</v>
      </c>
      <c r="G41" s="51"/>
      <c r="H41" s="51"/>
      <c r="I41" s="76" t="s">
        <v>57</v>
      </c>
      <c r="J41" s="77" t="s">
        <v>58</v>
      </c>
      <c r="K41" s="77" t="s">
        <v>17</v>
      </c>
      <c r="L41" s="78" t="s">
        <v>56</v>
      </c>
      <c r="M41" s="76" t="s">
        <v>151</v>
      </c>
      <c r="N41" s="76" t="s">
        <v>152</v>
      </c>
      <c r="O41" s="76" t="s">
        <v>153</v>
      </c>
      <c r="P41" s="76" t="s">
        <v>154</v>
      </c>
      <c r="Q41" s="77" t="s">
        <v>374</v>
      </c>
      <c r="R41" s="79" t="s">
        <v>375</v>
      </c>
      <c r="S41" s="79" t="s">
        <v>376</v>
      </c>
      <c r="T41" s="76" t="s">
        <v>377</v>
      </c>
      <c r="U41" s="77" t="s">
        <v>22</v>
      </c>
      <c r="V41" s="77" t="s">
        <v>218</v>
      </c>
      <c r="W41" s="80" t="s">
        <v>374</v>
      </c>
      <c r="X41" s="77" t="s">
        <v>216</v>
      </c>
      <c r="Y41" s="77" t="s">
        <v>217</v>
      </c>
      <c r="Z41" s="77" t="s">
        <v>321</v>
      </c>
      <c r="AA41" s="77" t="s">
        <v>219</v>
      </c>
      <c r="AB41" s="80" t="s">
        <v>374</v>
      </c>
      <c r="AC41" s="77" t="s">
        <v>220</v>
      </c>
      <c r="AD41" s="77" t="s">
        <v>221</v>
      </c>
    </row>
    <row r="42" spans="1:30" ht="16.5" thickBot="1" x14ac:dyDescent="0.3">
      <c r="A42" s="119"/>
      <c r="B42" s="119"/>
      <c r="C42" s="119"/>
      <c r="D42" s="119"/>
      <c r="E42" s="72" t="s">
        <v>369</v>
      </c>
      <c r="F42" s="97">
        <f>saLuCount</f>
        <v>10</v>
      </c>
      <c r="G42" s="51"/>
      <c r="H42" s="51"/>
      <c r="I42" s="68"/>
      <c r="J42" s="46"/>
      <c r="K42" s="46"/>
      <c r="L42" s="69"/>
      <c r="M42" s="68"/>
      <c r="N42" s="68"/>
      <c r="O42" s="68"/>
      <c r="P42" s="68"/>
      <c r="Q42" s="46"/>
      <c r="R42" s="70"/>
      <c r="S42" s="70"/>
      <c r="T42" s="68"/>
      <c r="U42" s="46"/>
    </row>
    <row r="43" spans="1:30" ht="15.75" thickBot="1" x14ac:dyDescent="0.3">
      <c r="A43" s="110" t="s">
        <v>416</v>
      </c>
      <c r="B43" s="110"/>
      <c r="C43" s="110"/>
      <c r="D43" s="110"/>
      <c r="E43" s="72" t="s">
        <v>372</v>
      </c>
      <c r="F43" s="55">
        <f>F42/F41</f>
        <v>0.90909090909090906</v>
      </c>
      <c r="G43" s="56" t="s">
        <v>380</v>
      </c>
      <c r="H43" s="51"/>
      <c r="I43" s="51"/>
    </row>
    <row r="44" spans="1:30" x14ac:dyDescent="0.25">
      <c r="A44" s="44" t="s">
        <v>21</v>
      </c>
      <c r="B44" s="57">
        <f>Q44</f>
        <v>1.75</v>
      </c>
      <c r="C44" s="43" t="str">
        <f>IF(L44="","",L44)</f>
        <v>kg</v>
      </c>
      <c r="D44" s="44" t="str">
        <f>_xlfn.CONCAT(K44, U44)</f>
        <v>chopped potatoes</v>
      </c>
      <c r="E44" s="73"/>
      <c r="F44" s="73"/>
      <c r="G44" s="73"/>
      <c r="H44" s="58"/>
      <c r="I44" s="59">
        <v>2</v>
      </c>
      <c r="J44" s="60" t="s">
        <v>12</v>
      </c>
      <c r="K44" s="60" t="s">
        <v>4</v>
      </c>
      <c r="L44" s="61" t="s">
        <v>12</v>
      </c>
      <c r="M44" s="51">
        <f>INDEX(itemGPerQty, MATCH(K44, itemNames, 0))</f>
        <v>0.22500000000000001</v>
      </c>
      <c r="N44" s="51">
        <f>INDEX(itemMlPerQty, MATCH(K44, itemNames, 0))</f>
        <v>0.33750000000000002</v>
      </c>
      <c r="O44" s="51">
        <f t="shared" ref="O44:O45" si="77">IF(J44 = "", I44 * M44, IF(ISNA(CONVERT(I44, J44, "kg")), CONVERT(I44, J44, "l") * IF(N44 &lt;&gt; 0, M44 / N44, 0), CONVERT(I44, J44, "kg")))</f>
        <v>2</v>
      </c>
      <c r="P44" s="51">
        <f t="shared" ref="P44:P45" si="78">IF(J44 = "", I44 * N44, IF(ISNA(CONVERT(I44, J44, "l")), CONVERT(I44, J44, "kg") * IF(M44 &lt;&gt; 0, N44 / M44, 0), CONVERT(I44, J44, "l")))</f>
        <v>3</v>
      </c>
      <c r="Q44" s="51">
        <f>MROUND(IF(AND(J44 = "", L44 = ""), I44 * recipe01DayScale, IF(ISNA(CONVERT(O44, "kg", L44)), CONVERT(P44 * recipe01DayScale, "l", L44), CONVERT(O44 * recipe01DayScale, "kg", L44))), roundTo)</f>
        <v>1.75</v>
      </c>
      <c r="R44" s="52">
        <f>recipe01TotScale * IF(L44 = "", Q44 * M44, IF(ISNA(CONVERT(Q44, L44, "kg")), CONVERT(Q44, L44, "l") * IF(N44 &lt;&gt; 0, M44 / N44, 0), CONVERT(Q44, L44, "kg")))</f>
        <v>1.75</v>
      </c>
      <c r="S44" s="52">
        <f>recipe01TotScale * IF(R44 = 0, IF(L44 = "", Q44 * N44, IF(ISNA(CONVERT(Q44, L44, "l")), CONVERT(Q44, L44, "kg") * IF(M44 &lt;&gt; 0, N44 / M44, 0), CONVERT(Q44, L44, "l"))), 0)</f>
        <v>0</v>
      </c>
      <c r="T44" s="51">
        <f>recipe01TotScale * IF(AND(R44 = 0, S44 = 0, J44 = "", L44 = ""), Q44, 0)</f>
        <v>0</v>
      </c>
      <c r="V44" s="48" t="b">
        <f>INDEX(itemPrepMethods, MATCH(K44, itemNames, 0))="chop"</f>
        <v>1</v>
      </c>
      <c r="W44" s="62">
        <f>IF(V44, Q44, "")</f>
        <v>1.75</v>
      </c>
      <c r="X44" s="63" t="str">
        <f>IF(V44, IF(L44 = "", "", L44), "")</f>
        <v>kg</v>
      </c>
      <c r="Y44" s="63" t="str">
        <f>IF(V44, K44, "")</f>
        <v>chopped potatoes</v>
      </c>
      <c r="Z44" s="64"/>
      <c r="AA44" s="48" t="b">
        <f>INDEX(itemPrepMethods, MATCH(K44, itemNames, 0))="soak"</f>
        <v>0</v>
      </c>
      <c r="AB44" s="63" t="str">
        <f>IF(AA44, Q44, "")</f>
        <v/>
      </c>
      <c r="AC44" s="63" t="str">
        <f>IF(AA44, IF(L44 = "", "", L44), "")</f>
        <v/>
      </c>
      <c r="AD44" s="63" t="str">
        <f>IF(AA44, K44, "")</f>
        <v/>
      </c>
    </row>
    <row r="45" spans="1:30" ht="15.75" thickBot="1" x14ac:dyDescent="0.3">
      <c r="A45" s="44" t="s">
        <v>21</v>
      </c>
      <c r="B45" s="57">
        <f>Q45</f>
        <v>3.75</v>
      </c>
      <c r="C45" s="43" t="str">
        <f>IF(L45="","",L45)</f>
        <v>cup</v>
      </c>
      <c r="D45" s="44" t="str">
        <f>_xlfn.CONCAT(K45, U45)</f>
        <v>split peas. Soaked by Tenzo the night before. Rinse and drain first</v>
      </c>
      <c r="E45" s="72" t="s">
        <v>348</v>
      </c>
      <c r="F45" s="73">
        <f>saLuCount</f>
        <v>10</v>
      </c>
      <c r="G45" s="73"/>
      <c r="I45" s="59">
        <v>4</v>
      </c>
      <c r="J45" s="60" t="s">
        <v>16</v>
      </c>
      <c r="K45" s="60" t="s">
        <v>7</v>
      </c>
      <c r="L45" s="61" t="s">
        <v>16</v>
      </c>
      <c r="M45" s="51">
        <f>INDEX(itemGPerQty, MATCH(K45, itemNames, 0))</f>
        <v>0.84699999999999998</v>
      </c>
      <c r="N45" s="51">
        <f>INDEX(itemMlPerQty, MATCH(K45, itemNames, 0))</f>
        <v>0.946353</v>
      </c>
      <c r="O45" s="51">
        <f t="shared" si="77"/>
        <v>0.84699995166919739</v>
      </c>
      <c r="P45" s="51">
        <f t="shared" si="78"/>
        <v>0.94635294599999997</v>
      </c>
      <c r="Q45" s="51">
        <f>MROUND(IF(AND(J45 = "", L45 = ""), I45 * recipe01DayScale, IF(ISNA(CONVERT(O45, "kg", L45)), CONVERT(P45 * recipe01DayScale, "l", L45), CONVERT(O45 * recipe01DayScale, "kg", L45))), roundTo)</f>
        <v>3.75</v>
      </c>
      <c r="R45" s="52">
        <f>recipe01TotScale * IF(L45 = "", Q45 * M45, IF(ISNA(CONVERT(Q45, L45, "kg")), CONVERT(Q45, L45, "l") * IF(N45 &lt;&gt; 0, M45 / N45, 0), CONVERT(Q45, L45, "kg")))</f>
        <v>0.79406245468987258</v>
      </c>
      <c r="S45" s="52">
        <f>recipe01TotScale * IF(R45 = 0, IF(L45 = "", Q45 * N45, IF(ISNA(CONVERT(Q45, L45, "l")), CONVERT(Q45, L45, "kg") * IF(M45 &lt;&gt; 0, N45 / M45, 0), CONVERT(Q45, L45, "l"))), 0)</f>
        <v>0</v>
      </c>
      <c r="T45" s="51">
        <f>recipe01TotScale * IF(AND(R45 = 0, S45 = 0, J45 = "", L45 = ""), Q45, 0)</f>
        <v>0</v>
      </c>
      <c r="U45" s="48" t="s">
        <v>250</v>
      </c>
      <c r="V45" s="48" t="b">
        <f>INDEX(itemPrepMethods, MATCH(K45, itemNames, 0))="chop"</f>
        <v>0</v>
      </c>
      <c r="W45" s="62" t="str">
        <f>IF(V45, Q45, "")</f>
        <v/>
      </c>
      <c r="X45" s="63" t="str">
        <f>IF(V45, IF(L45 = "", "", L45), "")</f>
        <v/>
      </c>
      <c r="Y45" s="63" t="str">
        <f>IF(V45, K45, "")</f>
        <v/>
      </c>
      <c r="Z45" s="64"/>
      <c r="AA45" s="48" t="b">
        <f>INDEX(itemPrepMethods, MATCH(K45, itemNames, 0))="soak"</f>
        <v>1</v>
      </c>
      <c r="AB45" s="63">
        <f>IF(AA45, Q45, "")</f>
        <v>3.75</v>
      </c>
      <c r="AC45" s="63" t="str">
        <f>IF(AA45, IF(L45 = "", "", L45), "")</f>
        <v>cup</v>
      </c>
      <c r="AD45" s="63" t="str">
        <f>IF(AA45, K45, "")</f>
        <v>split peas</v>
      </c>
    </row>
    <row r="46" spans="1:30" ht="15.75" thickBot="1" x14ac:dyDescent="0.3">
      <c r="A46" s="110"/>
      <c r="B46" s="110"/>
      <c r="C46" s="110"/>
      <c r="D46" s="110"/>
      <c r="E46" s="72" t="s">
        <v>373</v>
      </c>
      <c r="F46" s="55">
        <f>F45/F42</f>
        <v>1</v>
      </c>
      <c r="G46" s="56" t="s">
        <v>381</v>
      </c>
      <c r="I46" s="51"/>
      <c r="M46" s="48"/>
      <c r="N46" s="48"/>
      <c r="W46" s="81"/>
      <c r="X46" s="81"/>
      <c r="Y46" s="81"/>
      <c r="Z46" s="81"/>
      <c r="AA46" s="73"/>
      <c r="AB46" s="81"/>
      <c r="AC46" s="81"/>
      <c r="AD46" s="81"/>
    </row>
    <row r="47" spans="1:30" x14ac:dyDescent="0.25">
      <c r="A47" s="110" t="s">
        <v>19</v>
      </c>
      <c r="B47" s="110"/>
      <c r="C47" s="110"/>
      <c r="D47" s="110"/>
      <c r="I47" s="51"/>
      <c r="M47" s="48"/>
      <c r="N47" s="48"/>
      <c r="W47" s="81"/>
      <c r="X47" s="81"/>
      <c r="Y47" s="81"/>
      <c r="Z47" s="81"/>
      <c r="AA47" s="73"/>
      <c r="AB47" s="81"/>
      <c r="AC47" s="81"/>
      <c r="AD47" s="81"/>
    </row>
    <row r="48" spans="1:30" x14ac:dyDescent="0.25">
      <c r="A48" s="44" t="s">
        <v>21</v>
      </c>
      <c r="B48" s="57">
        <f>Q48</f>
        <v>6.25</v>
      </c>
      <c r="C48" s="43" t="str">
        <f>IF(L48="","",L48)</f>
        <v/>
      </c>
      <c r="D48" s="44" t="str">
        <f>_xlfn.CONCAT(K48, U48)</f>
        <v>garlic cloves. Remove from oil once cooked</v>
      </c>
      <c r="I48" s="59">
        <v>7</v>
      </c>
      <c r="J48" s="60"/>
      <c r="K48" s="60" t="s">
        <v>8</v>
      </c>
      <c r="L48" s="61"/>
      <c r="M48" s="51">
        <f>INDEX(itemGPerQty, MATCH(K48, itemNames, 0))</f>
        <v>0</v>
      </c>
      <c r="N48" s="51">
        <f>INDEX(itemMlPerQty, MATCH(K48, itemNames, 0))</f>
        <v>0</v>
      </c>
      <c r="O48" s="51">
        <f t="shared" ref="O48" si="79">IF(J48 = "", I48 * M48, IF(ISNA(CONVERT(I48, J48, "kg")), CONVERT(I48, J48, "l") * IF(N48 &lt;&gt; 0, M48 / N48, 0), CONVERT(I48, J48, "kg")))</f>
        <v>0</v>
      </c>
      <c r="P48" s="51">
        <f t="shared" ref="P48" si="80">IF(J48 = "", I48 * N48, IF(ISNA(CONVERT(I48, J48, "l")), CONVERT(I48, J48, "kg") * IF(M48 &lt;&gt; 0, N48 / M48, 0), CONVERT(I48, J48, "l")))</f>
        <v>0</v>
      </c>
      <c r="Q48" s="51">
        <f>MROUND(IF(AND(J48 = "", L48 = ""), I48 * recipe01DayScale, IF(ISNA(CONVERT(O48, "kg", L48)), CONVERT(P48 * recipe01DayScale, "l", L48), CONVERT(O48 * recipe01DayScale, "kg", L48))), roundTo)</f>
        <v>6.25</v>
      </c>
      <c r="R48" s="52">
        <f>recipe01TotScale * IF(L48 = "", Q48 * M48, IF(ISNA(CONVERT(Q48, L48, "kg")), CONVERT(Q48, L48, "l") * IF(N48 &lt;&gt; 0, M48 / N48, 0), CONVERT(Q48, L48, "kg")))</f>
        <v>0</v>
      </c>
      <c r="S48" s="52">
        <f>recipe01TotScale * IF(R48 = 0, IF(L48 = "", Q48 * N48, IF(ISNA(CONVERT(Q48, L48, "l")), CONVERT(Q48, L48, "kg") * IF(M48 &lt;&gt; 0, N48 / M48, 0), CONVERT(Q48, L48, "l"))), 0)</f>
        <v>0</v>
      </c>
      <c r="T48" s="51">
        <f>recipe01TotScale * IF(AND(R48 = 0, S48 = 0, J48 = "", L48 = ""), Q48, 0)</f>
        <v>6.25</v>
      </c>
      <c r="U48" s="48" t="s">
        <v>249</v>
      </c>
      <c r="V48" s="48" t="b">
        <f>INDEX(itemPrepMethods, MATCH(K48, itemNames, 0))="chop"</f>
        <v>0</v>
      </c>
      <c r="W48" s="62" t="str">
        <f>IF(V48, Q48, "")</f>
        <v/>
      </c>
      <c r="X48" s="63" t="str">
        <f>IF(V48, IF(L48 = "", "", L48), "")</f>
        <v/>
      </c>
      <c r="Y48" s="63" t="str">
        <f>IF(V48, K48, "")</f>
        <v/>
      </c>
      <c r="Z48" s="64"/>
      <c r="AA48" s="48" t="b">
        <f>INDEX(itemPrepMethods, MATCH(K48, itemNames, 0))="soak"</f>
        <v>0</v>
      </c>
      <c r="AB48" s="63" t="str">
        <f>IF(AA48, Q48, "")</f>
        <v/>
      </c>
      <c r="AC48" s="63" t="str">
        <f>IF(AA48, IF(L48 = "", "", L48), "")</f>
        <v/>
      </c>
      <c r="AD48" s="63" t="str">
        <f>IF(AA48, K48, "")</f>
        <v/>
      </c>
    </row>
    <row r="49" spans="1:30" x14ac:dyDescent="0.25">
      <c r="A49" s="44" t="s">
        <v>21</v>
      </c>
      <c r="B49" s="57">
        <f>Q49</f>
        <v>2</v>
      </c>
      <c r="C49" s="43" t="str">
        <f>IF(L49="","",L49)</f>
        <v/>
      </c>
      <c r="D49" s="44" t="str">
        <f>_xlfn.CONCAT(K49, U49)</f>
        <v>chopped onions</v>
      </c>
      <c r="I49" s="59">
        <v>2.25</v>
      </c>
      <c r="J49" s="60"/>
      <c r="K49" s="60" t="s">
        <v>6</v>
      </c>
      <c r="L49" s="61"/>
      <c r="M49" s="51">
        <f>INDEX(itemGPerQty, MATCH(K49, itemNames, 0))</f>
        <v>0.185</v>
      </c>
      <c r="N49" s="51">
        <f>INDEX(itemMlPerQty, MATCH(K49, itemNames, 0))</f>
        <v>0.3</v>
      </c>
      <c r="O49" s="51">
        <f>IF(J49 = "", I49 * M49, IF(ISNA(CONVERT(I49, J49, "kg")), CONVERT(I49, J49, "l") * IF(N49 &lt;&gt; 0, M49 / N49, 0), CONVERT(I49, J49, "kg")))</f>
        <v>0.41625000000000001</v>
      </c>
      <c r="P49" s="51">
        <f>IF(J49 = "", I49 * N49, IF(ISNA(CONVERT(I49, J49, "l")), CONVERT(I49, J49, "kg") * IF(M49 &lt;&gt; 0, N49 / M49, 0), CONVERT(I49, J49, "l")))</f>
        <v>0.67499999999999993</v>
      </c>
      <c r="Q49" s="51">
        <f>MROUND(IF(AND(J49 = "", L49 = ""), I49 * recipe01DayScale, IF(ISNA(CONVERT(O49, "kg", L49)), CONVERT(P49 * recipe01DayScale, "l", L49), CONVERT(O49 * recipe01DayScale, "kg", L49))), roundTo)</f>
        <v>2</v>
      </c>
      <c r="R49" s="52">
        <f>recipe01TotScale * IF(L49 = "", Q49 * M49, IF(ISNA(CONVERT(Q49, L49, "kg")), CONVERT(Q49, L49, "l") * IF(N49 &lt;&gt; 0, M49 / N49, 0), CONVERT(Q49, L49, "kg")))</f>
        <v>0.37</v>
      </c>
      <c r="S49" s="52">
        <f>recipe01TotScale * IF(R49 = 0, IF(L49 = "", Q49 * N49, IF(ISNA(CONVERT(Q49, L49, "l")), CONVERT(Q49, L49, "kg") * IF(M49 &lt;&gt; 0, N49 / M49, 0), CONVERT(Q49, L49, "l"))), 0)</f>
        <v>0</v>
      </c>
      <c r="T49" s="51">
        <f>recipe01TotScale * IF(AND(R49 = 0, S49 = 0, J49 = "", L49 = ""), Q49, 0)</f>
        <v>0</v>
      </c>
      <c r="V49" s="48" t="b">
        <f>INDEX(itemPrepMethods, MATCH(K49, itemNames, 0))="chop"</f>
        <v>1</v>
      </c>
      <c r="W49" s="62">
        <f>IF(V49, Q49, "")</f>
        <v>2</v>
      </c>
      <c r="X49" s="63" t="str">
        <f>IF(V49, IF(L49 = "", "", L49), "")</f>
        <v/>
      </c>
      <c r="Y49" s="63" t="str">
        <f>IF(V49, K49, "")</f>
        <v>chopped onions</v>
      </c>
      <c r="Z49" s="64"/>
      <c r="AA49" s="48" t="b">
        <f>INDEX(itemPrepMethods, MATCH(K49, itemNames, 0))="soak"</f>
        <v>0</v>
      </c>
      <c r="AB49" s="63" t="str">
        <f>IF(AA49, Q49, "")</f>
        <v/>
      </c>
      <c r="AC49" s="63" t="str">
        <f>IF(AA49, IF(L49 = "", "", L49), "")</f>
        <v/>
      </c>
      <c r="AD49" s="63" t="str">
        <f>IF(AA49, K49, "")</f>
        <v/>
      </c>
    </row>
    <row r="50" spans="1:30" x14ac:dyDescent="0.25">
      <c r="A50" s="110"/>
      <c r="B50" s="110"/>
      <c r="C50" s="110"/>
      <c r="D50" s="110"/>
      <c r="I50" s="51"/>
      <c r="M50" s="48"/>
      <c r="N50" s="48"/>
      <c r="W50" s="81"/>
      <c r="X50" s="81"/>
      <c r="Y50" s="81"/>
      <c r="Z50" s="81"/>
      <c r="AA50" s="73"/>
      <c r="AB50" s="81"/>
      <c r="AC50" s="81"/>
      <c r="AD50" s="81"/>
    </row>
    <row r="51" spans="1:30" x14ac:dyDescent="0.25">
      <c r="A51" s="110" t="s">
        <v>225</v>
      </c>
      <c r="B51" s="110"/>
      <c r="C51" s="110"/>
      <c r="D51" s="110"/>
      <c r="I51" s="51"/>
      <c r="M51" s="48"/>
      <c r="N51" s="48"/>
      <c r="W51" s="81"/>
      <c r="X51" s="81"/>
      <c r="Y51" s="81"/>
      <c r="Z51" s="81"/>
      <c r="AA51" s="73"/>
      <c r="AB51" s="81"/>
      <c r="AC51" s="81"/>
      <c r="AD51" s="81"/>
    </row>
    <row r="52" spans="1:30" x14ac:dyDescent="0.25">
      <c r="A52" s="44" t="s">
        <v>21</v>
      </c>
      <c r="B52" s="57">
        <f>Q52</f>
        <v>4.5</v>
      </c>
      <c r="C52" s="43" t="str">
        <f>IF(L52="","",L52)</f>
        <v>tbs</v>
      </c>
      <c r="D52" s="44" t="str">
        <f>_xlfn.CONCAT(K52, U52)</f>
        <v>curry powder</v>
      </c>
      <c r="I52" s="59">
        <v>5</v>
      </c>
      <c r="J52" s="60" t="s">
        <v>15</v>
      </c>
      <c r="K52" s="60" t="s">
        <v>9</v>
      </c>
      <c r="L52" s="61" t="s">
        <v>15</v>
      </c>
      <c r="M52" s="51">
        <f>INDEX(itemGPerQty, MATCH(K52, itemNames, 0))</f>
        <v>1.2E-2</v>
      </c>
      <c r="N52" s="51">
        <f>INDEX(itemMlPerQty, MATCH(K52, itemNames, 0))</f>
        <v>2.2180100000000001E-2</v>
      </c>
      <c r="O52" s="51">
        <f t="shared" ref="O52:O56" si="81">IF(J52 = "", I52 * M52, IF(ISNA(CONVERT(I52, J52, "kg")), CONVERT(I52, J52, "l") * IF(N52 &lt;&gt; 0, M52 / N52, 0), CONVERT(I52, J52, "kg")))</f>
        <v>4.0000085070626371E-2</v>
      </c>
      <c r="P52" s="51">
        <f t="shared" ref="P52:P56" si="82">IF(J52 = "", I52 * N52, IF(ISNA(CONVERT(I52, J52, "l")), CONVERT(I52, J52, "kg") * IF(M52 &lt;&gt; 0, N52 / M52, 0), CONVERT(I52, J52, "l")))</f>
        <v>7.3933823906250001E-2</v>
      </c>
      <c r="Q52" s="51">
        <f>MROUND(IF(AND(J52 = "", L52 = ""), I52 * recipe01DayScale, IF(ISNA(CONVERT(O52, "kg", L52)), CONVERT(P52 * recipe01DayScale, "l", L52), CONVERT(O52 * recipe01DayScale, "kg", L52))), roundTo)</f>
        <v>4.5</v>
      </c>
      <c r="R52" s="52">
        <f>recipe01TotScale * IF(L52 = "", Q52 * M52, IF(ISNA(CONVERT(Q52, L52, "kg")), CONVERT(Q52, L52, "l") * IF(N52 &lt;&gt; 0, M52 / N52, 0), CONVERT(Q52, L52, "kg")))</f>
        <v>3.6000076563563729E-2</v>
      </c>
      <c r="S52" s="52">
        <f>recipe01TotScale * IF(R52 = 0, IF(L52 = "", Q52 * N52, IF(ISNA(CONVERT(Q52, L52, "l")), CONVERT(Q52, L52, "kg") * IF(M52 &lt;&gt; 0, N52 / M52, 0), CONVERT(Q52, L52, "l"))), 0)</f>
        <v>0</v>
      </c>
      <c r="T52" s="51">
        <f>recipe01TotScale * IF(AND(R52 = 0, S52 = 0, J52 = "", L52 = ""), Q52, 0)</f>
        <v>0</v>
      </c>
      <c r="V52" s="48" t="b">
        <f>INDEX(itemPrepMethods, MATCH(K52, itemNames, 0))="chop"</f>
        <v>0</v>
      </c>
      <c r="W52" s="62" t="str">
        <f>IF(V52, Q52, "")</f>
        <v/>
      </c>
      <c r="X52" s="63" t="str">
        <f>IF(V52, IF(L52 = "", "", L52), "")</f>
        <v/>
      </c>
      <c r="Y52" s="63" t="str">
        <f>IF(V52, K52, "")</f>
        <v/>
      </c>
      <c r="Z52" s="64"/>
      <c r="AA52" s="48" t="b">
        <f>INDEX(itemPrepMethods, MATCH(K52, itemNames, 0))="soak"</f>
        <v>0</v>
      </c>
      <c r="AB52" s="63" t="str">
        <f>IF(AA52, Q52, "")</f>
        <v/>
      </c>
      <c r="AC52" s="63" t="str">
        <f>IF(AA52, IF(L52 = "", "", L52), "")</f>
        <v/>
      </c>
      <c r="AD52" s="63" t="str">
        <f>IF(AA52, K52, "")</f>
        <v/>
      </c>
    </row>
    <row r="53" spans="1:30" x14ac:dyDescent="0.25">
      <c r="A53" s="44" t="s">
        <v>21</v>
      </c>
      <c r="B53" s="57">
        <f>Q53</f>
        <v>3.75</v>
      </c>
      <c r="C53" s="43" t="str">
        <f>IF(L53="","",L53)</f>
        <v>tbs</v>
      </c>
      <c r="D53" s="44" t="str">
        <f>_xlfn.CONCAT(K53, U53)</f>
        <v>garam masala</v>
      </c>
      <c r="I53" s="59">
        <v>4</v>
      </c>
      <c r="J53" s="60" t="s">
        <v>15</v>
      </c>
      <c r="K53" s="60" t="s">
        <v>10</v>
      </c>
      <c r="L53" s="61" t="s">
        <v>15</v>
      </c>
      <c r="M53" s="51">
        <f>INDEX(itemGPerQty, MATCH(K53, itemNames, 0))</f>
        <v>0.01</v>
      </c>
      <c r="N53" s="51">
        <f>INDEX(itemMlPerQty, MATCH(K53, itemNames, 0))</f>
        <v>2.2180100000000001E-2</v>
      </c>
      <c r="O53" s="51">
        <f t="shared" si="81"/>
        <v>2.6666723380417583E-2</v>
      </c>
      <c r="P53" s="51">
        <f t="shared" si="82"/>
        <v>5.9147059124999998E-2</v>
      </c>
      <c r="Q53" s="51">
        <f>MROUND(IF(AND(J53 = "", L53 = ""), I53 * recipe01DayScale, IF(ISNA(CONVERT(O53, "kg", L53)), CONVERT(P53 * recipe01DayScale, "l", L53), CONVERT(O53 * recipe01DayScale, "kg", L53))), roundTo)</f>
        <v>3.75</v>
      </c>
      <c r="R53" s="52">
        <f>recipe01TotScale * IF(L53 = "", Q53 * M53, IF(ISNA(CONVERT(Q53, L53, "kg")), CONVERT(Q53, L53, "l") * IF(N53 &lt;&gt; 0, M53 / N53, 0), CONVERT(Q53, L53, "kg")))</f>
        <v>2.5000053169141483E-2</v>
      </c>
      <c r="S53" s="52">
        <f>recipe01TotScale * IF(R53 = 0, IF(L53 = "", Q53 * N53, IF(ISNA(CONVERT(Q53, L53, "l")), CONVERT(Q53, L53, "kg") * IF(M53 &lt;&gt; 0, N53 / M53, 0), CONVERT(Q53, L53, "l"))), 0)</f>
        <v>0</v>
      </c>
      <c r="T53" s="51">
        <f>recipe01TotScale * IF(AND(R53 = 0, S53 = 0, J53 = "", L53 = ""), Q53, 0)</f>
        <v>0</v>
      </c>
      <c r="V53" s="48" t="b">
        <f>INDEX(itemPrepMethods, MATCH(K53, itemNames, 0))="chop"</f>
        <v>0</v>
      </c>
      <c r="W53" s="62" t="str">
        <f>IF(V53, Q53, "")</f>
        <v/>
      </c>
      <c r="X53" s="63" t="str">
        <f>IF(V53, IF(L53 = "", "", L53), "")</f>
        <v/>
      </c>
      <c r="Y53" s="63" t="str">
        <f>IF(V53, K53, "")</f>
        <v/>
      </c>
      <c r="Z53" s="64"/>
      <c r="AA53" s="48" t="b">
        <f>INDEX(itemPrepMethods, MATCH(K53, itemNames, 0))="soak"</f>
        <v>0</v>
      </c>
      <c r="AB53" s="63" t="str">
        <f>IF(AA53, Q53, "")</f>
        <v/>
      </c>
      <c r="AC53" s="63" t="str">
        <f>IF(AA53, IF(L53 = "", "", L53), "")</f>
        <v/>
      </c>
      <c r="AD53" s="63" t="str">
        <f>IF(AA53, K53, "")</f>
        <v/>
      </c>
    </row>
    <row r="54" spans="1:30" x14ac:dyDescent="0.25">
      <c r="A54" s="44" t="s">
        <v>21</v>
      </c>
      <c r="B54" s="57">
        <f>Q54</f>
        <v>2.75</v>
      </c>
      <c r="C54" s="43" t="str">
        <f>IF(L54="","",L54)</f>
        <v>tsp</v>
      </c>
      <c r="D54" s="44" t="str">
        <f>_xlfn.CONCAT(K54, U54)</f>
        <v>ground turmeric</v>
      </c>
      <c r="I54" s="59">
        <v>3</v>
      </c>
      <c r="J54" s="60" t="s">
        <v>13</v>
      </c>
      <c r="K54" s="60" t="s">
        <v>326</v>
      </c>
      <c r="L54" s="61" t="s">
        <v>13</v>
      </c>
      <c r="M54" s="51">
        <f>INDEX(itemGPerQty, MATCH(K54, itemNames, 0))</f>
        <v>1.4E-2</v>
      </c>
      <c r="N54" s="51">
        <f>INDEX(itemMlPerQty, MATCH(K54, itemNames, 0))</f>
        <v>2.2180100000000001E-2</v>
      </c>
      <c r="O54" s="51">
        <f t="shared" si="81"/>
        <v>9.3333531831461536E-3</v>
      </c>
      <c r="P54" s="51">
        <f t="shared" si="82"/>
        <v>1.478676478125E-2</v>
      </c>
      <c r="Q54" s="51">
        <f>MROUND(IF(AND(J54 = "", L54 = ""), I54 * recipe01DayScale, IF(ISNA(CONVERT(O54, "kg", L54)), CONVERT(P54 * recipe01DayScale, "l", L54), CONVERT(O54 * recipe01DayScale, "kg", L54))), roundTo)</f>
        <v>2.75</v>
      </c>
      <c r="R54" s="52">
        <f>recipe01TotScale * IF(L54 = "", Q54 * M54, IF(ISNA(CONVERT(Q54, L54, "kg")), CONVERT(Q54, L54, "l") * IF(N54 &lt;&gt; 0, M54 / N54, 0), CONVERT(Q54, L54, "kg")))</f>
        <v>8.5555737512173075E-3</v>
      </c>
      <c r="S54" s="52">
        <f>recipe01TotScale * IF(R54 = 0, IF(L54 = "", Q54 * N54, IF(ISNA(CONVERT(Q54, L54, "l")), CONVERT(Q54, L54, "kg") * IF(M54 &lt;&gt; 0, N54 / M54, 0), CONVERT(Q54, L54, "l"))), 0)</f>
        <v>0</v>
      </c>
      <c r="T54" s="51">
        <f>recipe01TotScale * IF(AND(R54 = 0, S54 = 0, J54 = "", L54 = ""), Q54, 0)</f>
        <v>0</v>
      </c>
      <c r="V54" s="48" t="b">
        <f>INDEX(itemPrepMethods, MATCH(K54, itemNames, 0))="chop"</f>
        <v>0</v>
      </c>
      <c r="W54" s="62" t="str">
        <f>IF(V54, Q54, "")</f>
        <v/>
      </c>
      <c r="X54" s="63" t="str">
        <f>IF(V54, IF(L54 = "", "", L54), "")</f>
        <v/>
      </c>
      <c r="Y54" s="63" t="str">
        <f>IF(V54, K54, "")</f>
        <v/>
      </c>
      <c r="Z54" s="64"/>
      <c r="AA54" s="48" t="b">
        <f>INDEX(itemPrepMethods, MATCH(K54, itemNames, 0))="soak"</f>
        <v>0</v>
      </c>
      <c r="AB54" s="63" t="str">
        <f>IF(AA54, Q54, "")</f>
        <v/>
      </c>
      <c r="AC54" s="63" t="str">
        <f>IF(AA54, IF(L54 = "", "", L54), "")</f>
        <v/>
      </c>
      <c r="AD54" s="63" t="str">
        <f>IF(AA54, K54, "")</f>
        <v/>
      </c>
    </row>
    <row r="55" spans="1:30" x14ac:dyDescent="0.25">
      <c r="A55" s="44" t="s">
        <v>21</v>
      </c>
      <c r="B55" s="57">
        <f>Q55</f>
        <v>2.75</v>
      </c>
      <c r="C55" s="43" t="str">
        <f>IF(L55="","",L55)</f>
        <v>tsp</v>
      </c>
      <c r="D55" s="44" t="str">
        <f>_xlfn.CONCAT(K55, U55)</f>
        <v>ground cumin</v>
      </c>
      <c r="I55" s="59">
        <v>3</v>
      </c>
      <c r="J55" s="60" t="s">
        <v>13</v>
      </c>
      <c r="K55" s="60" t="s">
        <v>14</v>
      </c>
      <c r="L55" s="61" t="s">
        <v>13</v>
      </c>
      <c r="M55" s="51">
        <f>INDEX(itemGPerQty, MATCH(K55, itemNames, 0))</f>
        <v>1.0999999999999999E-2</v>
      </c>
      <c r="N55" s="51">
        <f>INDEX(itemMlPerQty, MATCH(K55, itemNames, 0))</f>
        <v>2.2180100000000001E-2</v>
      </c>
      <c r="O55" s="51">
        <f t="shared" si="81"/>
        <v>7.3333489296148338E-3</v>
      </c>
      <c r="P55" s="51">
        <f t="shared" si="82"/>
        <v>1.478676478125E-2</v>
      </c>
      <c r="Q55" s="51">
        <f>MROUND(IF(AND(J55 = "", L55 = ""), I55 * recipe01DayScale, IF(ISNA(CONVERT(O55, "kg", L55)), CONVERT(P55 * recipe01DayScale, "l", L55), CONVERT(O55 * recipe01DayScale, "kg", L55))), roundTo)</f>
        <v>2.75</v>
      </c>
      <c r="R55" s="52">
        <f>recipe01TotScale * IF(L55 = "", Q55 * M55, IF(ISNA(CONVERT(Q55, L55, "kg")), CONVERT(Q55, L55, "l") * IF(N55 &lt;&gt; 0, M55 / N55, 0), CONVERT(Q55, L55, "kg")))</f>
        <v>6.7222365188135983E-3</v>
      </c>
      <c r="S55" s="52">
        <f>recipe01TotScale * IF(R55 = 0, IF(L55 = "", Q55 * N55, IF(ISNA(CONVERT(Q55, L55, "l")), CONVERT(Q55, L55, "kg") * IF(M55 &lt;&gt; 0, N55 / M55, 0), CONVERT(Q55, L55, "l"))), 0)</f>
        <v>0</v>
      </c>
      <c r="T55" s="51">
        <f>recipe01TotScale * IF(AND(R55 = 0, S55 = 0, J55 = "", L55 = ""), Q55, 0)</f>
        <v>0</v>
      </c>
      <c r="V55" s="48" t="b">
        <f>INDEX(itemPrepMethods, MATCH(K55, itemNames, 0))="chop"</f>
        <v>0</v>
      </c>
      <c r="W55" s="62" t="str">
        <f>IF(V55, Q55, "")</f>
        <v/>
      </c>
      <c r="X55" s="63" t="str">
        <f>IF(V55, IF(L55 = "", "", L55), "")</f>
        <v/>
      </c>
      <c r="Y55" s="63" t="str">
        <f>IF(V55, K55, "")</f>
        <v/>
      </c>
      <c r="Z55" s="64"/>
      <c r="AA55" s="48" t="b">
        <f>INDEX(itemPrepMethods, MATCH(K55, itemNames, 0))="soak"</f>
        <v>0</v>
      </c>
      <c r="AB55" s="63" t="str">
        <f>IF(AA55, Q55, "")</f>
        <v/>
      </c>
      <c r="AC55" s="63" t="str">
        <f>IF(AA55, IF(L55 = "", "", L55), "")</f>
        <v/>
      </c>
      <c r="AD55" s="63" t="str">
        <f>IF(AA55, K55, "")</f>
        <v/>
      </c>
    </row>
    <row r="56" spans="1:30" x14ac:dyDescent="0.25">
      <c r="A56" s="44" t="s">
        <v>21</v>
      </c>
      <c r="B56" s="57">
        <f>Q56</f>
        <v>1.75</v>
      </c>
      <c r="C56" s="43" t="str">
        <f>IF(L56="","",L56)</f>
        <v>tsp</v>
      </c>
      <c r="D56" s="44" t="str">
        <f>_xlfn.CONCAT(K56, U56)</f>
        <v>salt</v>
      </c>
      <c r="I56" s="59">
        <v>2</v>
      </c>
      <c r="J56" s="60" t="s">
        <v>13</v>
      </c>
      <c r="K56" s="60" t="s">
        <v>11</v>
      </c>
      <c r="L56" s="61" t="s">
        <v>13</v>
      </c>
      <c r="M56" s="51">
        <f>INDEX(itemGPerQty, MATCH(K56, itemNames, 0))</f>
        <v>2.5000000000000001E-2</v>
      </c>
      <c r="N56" s="51">
        <f>INDEX(itemMlPerQty, MATCH(K56, itemNames, 0))</f>
        <v>2.2180100000000001E-2</v>
      </c>
      <c r="O56" s="51">
        <f t="shared" si="81"/>
        <v>1.111113474184066E-2</v>
      </c>
      <c r="P56" s="51">
        <f t="shared" si="82"/>
        <v>9.8578431874999997E-3</v>
      </c>
      <c r="Q56" s="51">
        <f>MROUND(IF(AND(J56 = "", L56 = ""), I56 * recipe01DayScale, IF(ISNA(CONVERT(O56, "kg", L56)), CONVERT(P56 * recipe01DayScale, "l", L56), CONVERT(O56 * recipe01DayScale, "kg", L56))), roundTo)</f>
        <v>1.75</v>
      </c>
      <c r="R56" s="52">
        <f>recipe01TotScale * IF(L56 = "", Q56 * M56, IF(ISNA(CONVERT(Q56, L56, "kg")), CONVERT(Q56, L56, "l") * IF(N56 &lt;&gt; 0, M56 / N56, 0), CONVERT(Q56, L56, "kg")))</f>
        <v>9.7222428991105784E-3</v>
      </c>
      <c r="S56" s="52">
        <f>recipe01TotScale * IF(R56 = 0, IF(L56 = "", Q56 * N56, IF(ISNA(CONVERT(Q56, L56, "l")), CONVERT(Q56, L56, "kg") * IF(M56 &lt;&gt; 0, N56 / M56, 0), CONVERT(Q56, L56, "l"))), 0)</f>
        <v>0</v>
      </c>
      <c r="T56" s="51">
        <f>recipe01TotScale * IF(AND(R56 = 0, S56 = 0, J56 = "", L56 = ""), Q56, 0)</f>
        <v>0</v>
      </c>
      <c r="V56" s="48" t="b">
        <f>INDEX(itemPrepMethods, MATCH(K56, itemNames, 0))="chop"</f>
        <v>0</v>
      </c>
      <c r="W56" s="62" t="str">
        <f>IF(V56, Q56, "")</f>
        <v/>
      </c>
      <c r="X56" s="63" t="str">
        <f>IF(V56, IF(L56 = "", "", L56), "")</f>
        <v/>
      </c>
      <c r="Y56" s="63" t="str">
        <f>IF(V56, K56, "")</f>
        <v/>
      </c>
      <c r="Z56" s="64"/>
      <c r="AA56" s="48" t="b">
        <f>INDEX(itemPrepMethods, MATCH(K56, itemNames, 0))="soak"</f>
        <v>0</v>
      </c>
      <c r="AB56" s="63" t="str">
        <f>IF(AA56, Q56, "")</f>
        <v/>
      </c>
      <c r="AC56" s="63" t="str">
        <f>IF(AA56, IF(L56 = "", "", L56), "")</f>
        <v/>
      </c>
      <c r="AD56" s="63" t="str">
        <f>IF(AA56, K56, "")</f>
        <v/>
      </c>
    </row>
    <row r="57" spans="1:30" x14ac:dyDescent="0.25">
      <c r="B57" s="57"/>
      <c r="I57" s="48"/>
      <c r="L57" s="48"/>
      <c r="W57" s="48"/>
    </row>
    <row r="58" spans="1:30" x14ac:dyDescent="0.25">
      <c r="A58" s="110" t="s">
        <v>246</v>
      </c>
      <c r="B58" s="110"/>
      <c r="C58" s="110"/>
      <c r="D58" s="110"/>
      <c r="I58" s="48"/>
      <c r="L58" s="48"/>
      <c r="W58" s="48"/>
    </row>
    <row r="59" spans="1:30" x14ac:dyDescent="0.25">
      <c r="A59" s="44" t="s">
        <v>21</v>
      </c>
      <c r="D59" s="44" t="str">
        <f>_xlfn.CONCAT(K59, U59)</f>
        <v>cooked split peas from step 1</v>
      </c>
      <c r="I59" s="51"/>
      <c r="U59" s="48" t="s">
        <v>247</v>
      </c>
      <c r="W59" s="48"/>
    </row>
    <row r="60" spans="1:30" x14ac:dyDescent="0.25">
      <c r="A60" s="44" t="s">
        <v>21</v>
      </c>
      <c r="C60" s="43" t="str">
        <f>IF(L60="","",L60)</f>
        <v/>
      </c>
      <c r="D60" s="44" t="str">
        <f>_xlfn.CONCAT(K60, U60)</f>
        <v>cooked potatoes from step 1. Should be soft but recognisable when served</v>
      </c>
      <c r="I60" s="51"/>
      <c r="J60" s="53"/>
      <c r="L60" s="53"/>
      <c r="M60" s="53"/>
      <c r="N60" s="53"/>
      <c r="O60" s="53"/>
      <c r="P60" s="53"/>
      <c r="U60" s="48" t="s">
        <v>248</v>
      </c>
      <c r="W60" s="48"/>
    </row>
    <row r="61" spans="1:30" x14ac:dyDescent="0.25">
      <c r="A61" s="44" t="s">
        <v>21</v>
      </c>
      <c r="D61" s="44" t="str">
        <f>_xlfn.CONCAT(K61, U61)</f>
        <v>NOTE: sauce will form around potatoes and peas</v>
      </c>
      <c r="I61" s="51"/>
      <c r="U61" s="48" t="s">
        <v>226</v>
      </c>
    </row>
    <row r="62" spans="1:30" ht="15.75" x14ac:dyDescent="0.25">
      <c r="A62" s="111" t="s">
        <v>24</v>
      </c>
      <c r="B62" s="111"/>
      <c r="C62" s="111"/>
      <c r="D62" s="111"/>
      <c r="E62" s="65" t="s">
        <v>136</v>
      </c>
      <c r="F62" s="112" t="s">
        <v>99</v>
      </c>
      <c r="G62" s="112"/>
    </row>
    <row r="63" spans="1:30" ht="24" x14ac:dyDescent="0.2">
      <c r="A63" s="111" t="s">
        <v>25</v>
      </c>
      <c r="B63" s="111"/>
      <c r="C63" s="111"/>
      <c r="D63" s="111"/>
      <c r="E63" s="46" t="s">
        <v>59</v>
      </c>
      <c r="F63" s="97">
        <v>11</v>
      </c>
      <c r="I63" s="76" t="s">
        <v>57</v>
      </c>
      <c r="J63" s="77" t="s">
        <v>58</v>
      </c>
      <c r="K63" s="77" t="s">
        <v>17</v>
      </c>
      <c r="L63" s="78" t="s">
        <v>56</v>
      </c>
      <c r="M63" s="76" t="s">
        <v>151</v>
      </c>
      <c r="N63" s="76" t="s">
        <v>152</v>
      </c>
      <c r="O63" s="76" t="s">
        <v>153</v>
      </c>
      <c r="P63" s="76" t="s">
        <v>154</v>
      </c>
      <c r="Q63" s="77" t="s">
        <v>374</v>
      </c>
      <c r="R63" s="79" t="s">
        <v>375</v>
      </c>
      <c r="S63" s="79" t="s">
        <v>376</v>
      </c>
      <c r="T63" s="76" t="s">
        <v>377</v>
      </c>
      <c r="U63" s="77" t="s">
        <v>22</v>
      </c>
      <c r="V63" s="77" t="s">
        <v>218</v>
      </c>
      <c r="W63" s="80" t="s">
        <v>374</v>
      </c>
      <c r="X63" s="77" t="s">
        <v>216</v>
      </c>
      <c r="Y63" s="77" t="s">
        <v>217</v>
      </c>
      <c r="Z63" s="77" t="s">
        <v>321</v>
      </c>
      <c r="AA63" s="77" t="s">
        <v>219</v>
      </c>
      <c r="AB63" s="80" t="s">
        <v>374</v>
      </c>
      <c r="AC63" s="77" t="s">
        <v>220</v>
      </c>
      <c r="AD63" s="77" t="s">
        <v>221</v>
      </c>
    </row>
    <row r="64" spans="1:30" ht="16.5" thickBot="1" x14ac:dyDescent="0.3">
      <c r="A64" s="113"/>
      <c r="B64" s="113"/>
      <c r="C64" s="113"/>
      <c r="D64" s="113"/>
      <c r="E64" s="72" t="s">
        <v>369</v>
      </c>
      <c r="F64" s="97">
        <f>saDiCount</f>
        <v>10</v>
      </c>
      <c r="G64" s="51"/>
      <c r="I64" s="68"/>
      <c r="J64" s="46"/>
      <c r="K64" s="46"/>
      <c r="L64" s="69"/>
      <c r="M64" s="68"/>
      <c r="N64" s="68"/>
      <c r="O64" s="68"/>
      <c r="P64" s="68"/>
      <c r="Q64" s="46"/>
      <c r="R64" s="70"/>
      <c r="S64" s="70"/>
      <c r="T64" s="68"/>
      <c r="U64" s="46"/>
    </row>
    <row r="65" spans="1:30" ht="15.75" thickBot="1" x14ac:dyDescent="0.3">
      <c r="A65" s="110" t="s">
        <v>18</v>
      </c>
      <c r="B65" s="110"/>
      <c r="C65" s="110"/>
      <c r="D65" s="110"/>
      <c r="E65" s="72" t="s">
        <v>372</v>
      </c>
      <c r="F65" s="55">
        <f>F64/F63</f>
        <v>0.90909090909090906</v>
      </c>
      <c r="G65" s="56" t="s">
        <v>382</v>
      </c>
      <c r="H65" s="51"/>
      <c r="I65" s="51"/>
    </row>
    <row r="66" spans="1:30" x14ac:dyDescent="0.25">
      <c r="A66" s="44" t="s">
        <v>21</v>
      </c>
      <c r="B66" s="57">
        <f>Q66</f>
        <v>1.5</v>
      </c>
      <c r="C66" s="43" t="str">
        <f>IF(L66="","",L66)</f>
        <v>cup</v>
      </c>
      <c r="D66" s="44" t="str">
        <f>_xlfn.CONCAT(K66, U66)</f>
        <v>chickpeas. Soaked by Tenzo the night before. Rinse and drain first</v>
      </c>
      <c r="E66" s="73"/>
      <c r="F66" s="73"/>
      <c r="G66" s="73"/>
      <c r="H66" s="58"/>
      <c r="I66" s="59">
        <v>1.75</v>
      </c>
      <c r="J66" s="60" t="s">
        <v>16</v>
      </c>
      <c r="K66" s="60" t="s">
        <v>101</v>
      </c>
      <c r="L66" s="61" t="s">
        <v>16</v>
      </c>
      <c r="M66" s="51">
        <f>INDEX(itemGPerQty, MATCH(K66, itemNames, 0))</f>
        <v>0.76300000000000001</v>
      </c>
      <c r="N66" s="51">
        <f>INDEX(itemMlPerQty, MATCH(K66, itemNames, 0))</f>
        <v>0.946353</v>
      </c>
      <c r="O66" s="51">
        <f>IF(J66 = "", I66 * M66, IF(ISNA(CONVERT(I66, J66, "kg")), CONVERT(I66, J66, "l") * IF(N66 &lt;&gt; 0, M66 / N66, 0), CONVERT(I66, J66, "kg")))</f>
        <v>0.33381248095227151</v>
      </c>
      <c r="P66" s="51">
        <f>IF(J66 = "", I66 * N66, IF(ISNA(CONVERT(I66, J66, "l")), CONVERT(I66, J66, "kg") * IF(M66 &lt;&gt; 0, N66 / M66, 0), CONVERT(I66, J66, "l")))</f>
        <v>0.41402941387499997</v>
      </c>
      <c r="Q66" s="51">
        <f>MROUND(IF(AND(J66 = "", L66 = ""), I66 * recipe02DayScale, IF(ISNA(CONVERT(O66, "kg", L66)), CONVERT(P66 * recipe02DayScale, "l", L66), CONVERT(O66 * recipe02DayScale, "kg", L66))), roundTo)</f>
        <v>1.5</v>
      </c>
      <c r="R66" s="52">
        <f>recipe02TotScale * IF(L66 = "", Q66 * M66, IF(ISNA(CONVERT(Q66, L66, "kg")), CONVERT(Q66, L66, "l") * IF(N66 &lt;&gt; 0, M66 / N66, 0), CONVERT(Q66, L66, "kg")))</f>
        <v>0.28612498367337558</v>
      </c>
      <c r="S66" s="52">
        <f>recipe02TotScale * IF(R66 = 0, IF(L66 = "", Q66 * N66, IF(ISNA(CONVERT(Q66, L66, "l")), CONVERT(Q66, L66, "kg") * IF(M66 &lt;&gt; 0, N66 / M66, 0), CONVERT(Q66, L66, "l"))), 0)</f>
        <v>0</v>
      </c>
      <c r="T66" s="51">
        <f>recipe02TotScale * IF(AND(R66 = 0, S66 = 0, J66 = "", L66 = ""), Q66, 0)</f>
        <v>0</v>
      </c>
      <c r="U66" s="48" t="s">
        <v>250</v>
      </c>
      <c r="V66" s="48" t="b">
        <f>INDEX(itemPrepMethods, MATCH(K66, itemNames, 0))="chop"</f>
        <v>0</v>
      </c>
      <c r="W66" s="62" t="str">
        <f>IF(V66, Q66, "")</f>
        <v/>
      </c>
      <c r="X66" s="63" t="str">
        <f>IF(V66, IF(L66 = "", "", L66), "")</f>
        <v/>
      </c>
      <c r="Y66" s="63" t="str">
        <f>IF(V66, K66, "")</f>
        <v/>
      </c>
      <c r="Z66" s="64"/>
      <c r="AA66" s="48" t="b">
        <f>INDEX(itemPrepMethods, MATCH(K66, itemNames, 0))="soak"</f>
        <v>1</v>
      </c>
      <c r="AB66" s="63">
        <f>IF(AA66, Q66, "")</f>
        <v>1.5</v>
      </c>
      <c r="AC66" s="63" t="str">
        <f>IF(AA66, IF(L66 = "", "", L66), "")</f>
        <v>cup</v>
      </c>
      <c r="AD66" s="63" t="str">
        <f>IF(AA66, K66, "")</f>
        <v>chickpeas</v>
      </c>
    </row>
    <row r="67" spans="1:30" ht="15.75" thickBot="1" x14ac:dyDescent="0.3">
      <c r="A67" s="110"/>
      <c r="B67" s="110"/>
      <c r="C67" s="110"/>
      <c r="D67" s="110"/>
      <c r="E67" s="72" t="s">
        <v>348</v>
      </c>
      <c r="F67" s="73">
        <f>saDiCount</f>
        <v>10</v>
      </c>
      <c r="G67" s="73"/>
      <c r="I67" s="51"/>
      <c r="M67" s="48"/>
      <c r="N67" s="48"/>
      <c r="O67" s="48"/>
      <c r="P67" s="48"/>
      <c r="W67" s="81"/>
      <c r="X67" s="81"/>
      <c r="Y67" s="81"/>
      <c r="Z67" s="81"/>
      <c r="AA67" s="73"/>
      <c r="AB67" s="81"/>
      <c r="AC67" s="81"/>
      <c r="AD67" s="81"/>
    </row>
    <row r="68" spans="1:30" ht="15.75" thickBot="1" x14ac:dyDescent="0.3">
      <c r="A68" s="110" t="s">
        <v>227</v>
      </c>
      <c r="B68" s="110"/>
      <c r="C68" s="110"/>
      <c r="D68" s="110"/>
      <c r="E68" s="72" t="s">
        <v>373</v>
      </c>
      <c r="F68" s="55">
        <f>F67/F64</f>
        <v>1</v>
      </c>
      <c r="G68" s="56" t="s">
        <v>383</v>
      </c>
      <c r="I68" s="51"/>
      <c r="M68" s="48"/>
      <c r="N68" s="48"/>
      <c r="O68" s="48"/>
      <c r="P68" s="48"/>
      <c r="W68" s="81"/>
      <c r="X68" s="81"/>
      <c r="Y68" s="81"/>
      <c r="Z68" s="81"/>
      <c r="AA68" s="73"/>
      <c r="AB68" s="81"/>
      <c r="AC68" s="81"/>
      <c r="AD68" s="81"/>
    </row>
    <row r="69" spans="1:30" x14ac:dyDescent="0.25">
      <c r="A69" s="44" t="s">
        <v>21</v>
      </c>
      <c r="B69" s="57">
        <f t="shared" ref="B69:B71" si="83">Q69</f>
        <v>2.75</v>
      </c>
      <c r="C69" s="43" t="str">
        <f>IF(L69="","",L69)</f>
        <v/>
      </c>
      <c r="D69" s="44" t="str">
        <f>_xlfn.CONCAT(K69, U69)</f>
        <v>diced celery stalks</v>
      </c>
      <c r="I69" s="59">
        <v>3</v>
      </c>
      <c r="J69" s="60"/>
      <c r="K69" s="60" t="s">
        <v>105</v>
      </c>
      <c r="L69" s="61"/>
      <c r="M69" s="51">
        <f>INDEX(itemGPerQty, MATCH(K69, itemNames, 0))</f>
        <v>0</v>
      </c>
      <c r="N69" s="51">
        <f>INDEX(itemMlPerQty, MATCH(K69, itemNames, 0))</f>
        <v>0</v>
      </c>
      <c r="O69" s="51">
        <f t="shared" ref="O69:O71" si="84">IF(J69 = "", I69 * M69, IF(ISNA(CONVERT(I69, J69, "kg")), CONVERT(I69, J69, "l") * IF(N69 &lt;&gt; 0, M69 / N69, 0), CONVERT(I69, J69, "kg")))</f>
        <v>0</v>
      </c>
      <c r="P69" s="51">
        <f t="shared" ref="P69:P71" si="85">IF(J69 = "", I69 * N69, IF(ISNA(CONVERT(I69, J69, "l")), CONVERT(I69, J69, "kg") * IF(M69 &lt;&gt; 0, N69 / M69, 0), CONVERT(I69, J69, "l")))</f>
        <v>0</v>
      </c>
      <c r="Q69" s="51">
        <f>MROUND(IF(AND(J69 = "", L69 = ""), I69 * recipe02DayScale, IF(ISNA(CONVERT(O69, "kg", L69)), CONVERT(P69 * recipe02DayScale, "l", L69), CONVERT(O69 * recipe02DayScale, "kg", L69))), roundTo)</f>
        <v>2.75</v>
      </c>
      <c r="R69" s="52">
        <f>recipe02TotScale * IF(L69 = "", Q69 * M69, IF(ISNA(CONVERT(Q69, L69, "kg")), CONVERT(Q69, L69, "l") * IF(N69 &lt;&gt; 0, M69 / N69, 0), CONVERT(Q69, L69, "kg")))</f>
        <v>0</v>
      </c>
      <c r="S69" s="52">
        <f>recipe02TotScale * IF(R69 = 0, IF(L69 = "", Q69 * N69, IF(ISNA(CONVERT(Q69, L69, "l")), CONVERT(Q69, L69, "kg") * IF(M69 &lt;&gt; 0, N69 / M69, 0), CONVERT(Q69, L69, "l"))), 0)</f>
        <v>0</v>
      </c>
      <c r="T69" s="51">
        <f>recipe02TotScale * IF(AND(R69 = 0, S69 = 0, J69 = "", L69 = ""), Q69, 0)</f>
        <v>2.75</v>
      </c>
      <c r="V69" s="48" t="b">
        <f>INDEX(itemPrepMethods, MATCH(K69, itemNames, 0))="chop"</f>
        <v>1</v>
      </c>
      <c r="W69" s="62">
        <f>IF(V69, Q69, "")</f>
        <v>2.75</v>
      </c>
      <c r="X69" s="63" t="str">
        <f>IF(V69, IF(L69 = "", "", L69), "")</f>
        <v/>
      </c>
      <c r="Y69" s="63" t="str">
        <f>IF(V69, K69, "")</f>
        <v>diced celery stalks</v>
      </c>
      <c r="Z69" s="64"/>
      <c r="AA69" s="48" t="b">
        <f>INDEX(itemPrepMethods, MATCH(K69, itemNames, 0))="soak"</f>
        <v>0</v>
      </c>
      <c r="AB69" s="63" t="str">
        <f>IF(AA69, Q69, "")</f>
        <v/>
      </c>
      <c r="AC69" s="63" t="str">
        <f>IF(AA69, IF(L69 = "", "", L69), "")</f>
        <v/>
      </c>
      <c r="AD69" s="63" t="str">
        <f>IF(AA69, K69, "")</f>
        <v/>
      </c>
    </row>
    <row r="70" spans="1:30" x14ac:dyDescent="0.25">
      <c r="A70" s="44" t="s">
        <v>21</v>
      </c>
      <c r="B70" s="57">
        <f t="shared" si="83"/>
        <v>7.25</v>
      </c>
      <c r="C70" s="43" t="str">
        <f>IF(L70="","",L70)</f>
        <v/>
      </c>
      <c r="D70" s="44" t="str">
        <f>_xlfn.CONCAT(K70, U70)</f>
        <v>diced carrots</v>
      </c>
      <c r="I70" s="59">
        <v>8</v>
      </c>
      <c r="J70" s="60"/>
      <c r="K70" s="60" t="s">
        <v>104</v>
      </c>
      <c r="L70" s="61"/>
      <c r="M70" s="51">
        <f>INDEX(itemGPerQty, MATCH(K70, itemNames, 0))</f>
        <v>0</v>
      </c>
      <c r="N70" s="51">
        <f>INDEX(itemMlPerQty, MATCH(K70, itemNames, 0))</f>
        <v>0</v>
      </c>
      <c r="O70" s="51">
        <f t="shared" si="84"/>
        <v>0</v>
      </c>
      <c r="P70" s="51">
        <f t="shared" si="85"/>
        <v>0</v>
      </c>
      <c r="Q70" s="51">
        <f>MROUND(IF(AND(J70 = "", L70 = ""), I70 * recipe02DayScale, IF(ISNA(CONVERT(O70, "kg", L70)), CONVERT(P70 * recipe02DayScale, "l", L70), CONVERT(O70 * recipe02DayScale, "kg", L70))), roundTo)</f>
        <v>7.25</v>
      </c>
      <c r="R70" s="52">
        <f>recipe02TotScale * IF(L70 = "", Q70 * M70, IF(ISNA(CONVERT(Q70, L70, "kg")), CONVERT(Q70, L70, "l") * IF(N70 &lt;&gt; 0, M70 / N70, 0), CONVERT(Q70, L70, "kg")))</f>
        <v>0</v>
      </c>
      <c r="S70" s="52">
        <f>recipe02TotScale * IF(R70 = 0, IF(L70 = "", Q70 * N70, IF(ISNA(CONVERT(Q70, L70, "l")), CONVERT(Q70, L70, "kg") * IF(M70 &lt;&gt; 0, N70 / M70, 0), CONVERT(Q70, L70, "l"))), 0)</f>
        <v>0</v>
      </c>
      <c r="T70" s="51">
        <f>recipe02TotScale * IF(AND(R70 = 0, S70 = 0, J70 = "", L70 = ""), Q70, 0)</f>
        <v>7.25</v>
      </c>
      <c r="V70" s="48" t="b">
        <f>INDEX(itemPrepMethods, MATCH(K70, itemNames, 0))="chop"</f>
        <v>1</v>
      </c>
      <c r="W70" s="62">
        <f>IF(V70, Q70, "")</f>
        <v>7.25</v>
      </c>
      <c r="X70" s="63" t="str">
        <f>IF(V70, IF(L70 = "", "", L70), "")</f>
        <v/>
      </c>
      <c r="Y70" s="63" t="str">
        <f>IF(V70, K70, "")</f>
        <v>diced carrots</v>
      </c>
      <c r="Z70" s="64"/>
      <c r="AA70" s="48" t="b">
        <f>INDEX(itemPrepMethods, MATCH(K70, itemNames, 0))="soak"</f>
        <v>0</v>
      </c>
      <c r="AB70" s="63" t="str">
        <f>IF(AA70, Q70, "")</f>
        <v/>
      </c>
      <c r="AC70" s="63" t="str">
        <f>IF(AA70, IF(L70 = "", "", L70), "")</f>
        <v/>
      </c>
      <c r="AD70" s="63" t="str">
        <f>IF(AA70, K70, "")</f>
        <v/>
      </c>
    </row>
    <row r="71" spans="1:30" x14ac:dyDescent="0.25">
      <c r="A71" s="44" t="s">
        <v>21</v>
      </c>
      <c r="B71" s="57">
        <f t="shared" si="83"/>
        <v>1.75</v>
      </c>
      <c r="C71" s="43" t="str">
        <f>IF(L71="","",L71)</f>
        <v>tsp</v>
      </c>
      <c r="D71" s="44" t="str">
        <f>_xlfn.CONCAT(K71, U71)</f>
        <v>salt</v>
      </c>
      <c r="I71" s="59">
        <v>2</v>
      </c>
      <c r="J71" s="60" t="s">
        <v>13</v>
      </c>
      <c r="K71" s="60" t="s">
        <v>11</v>
      </c>
      <c r="L71" s="61" t="s">
        <v>13</v>
      </c>
      <c r="M71" s="51">
        <f>INDEX(itemGPerQty, MATCH(K71, itemNames, 0))</f>
        <v>2.5000000000000001E-2</v>
      </c>
      <c r="N71" s="51">
        <f>INDEX(itemMlPerQty, MATCH(K71, itemNames, 0))</f>
        <v>2.2180100000000001E-2</v>
      </c>
      <c r="O71" s="51">
        <f t="shared" si="84"/>
        <v>1.111113474184066E-2</v>
      </c>
      <c r="P71" s="51">
        <f t="shared" si="85"/>
        <v>9.8578431874999997E-3</v>
      </c>
      <c r="Q71" s="51">
        <f>MROUND(IF(AND(J71 = "", L71 = ""), I71 * recipe02DayScale, IF(ISNA(CONVERT(O71, "kg", L71)), CONVERT(P71 * recipe02DayScale, "l", L71), CONVERT(O71 * recipe02DayScale, "kg", L71))), roundTo)</f>
        <v>1.75</v>
      </c>
      <c r="R71" s="52">
        <f>recipe02TotScale * IF(L71 = "", Q71 * M71, IF(ISNA(CONVERT(Q71, L71, "kg")), CONVERT(Q71, L71, "l") * IF(N71 &lt;&gt; 0, M71 / N71, 0), CONVERT(Q71, L71, "kg")))</f>
        <v>9.7222428991105784E-3</v>
      </c>
      <c r="S71" s="52">
        <f>recipe02TotScale * IF(R71 = 0, IF(L71 = "", Q71 * N71, IF(ISNA(CONVERT(Q71, L71, "l")), CONVERT(Q71, L71, "kg") * IF(M71 &lt;&gt; 0, N71 / M71, 0), CONVERT(Q71, L71, "l"))), 0)</f>
        <v>0</v>
      </c>
      <c r="T71" s="51">
        <f>recipe02TotScale * IF(AND(R71 = 0, S71 = 0, J71 = "", L71 = ""), Q71, 0)</f>
        <v>0</v>
      </c>
      <c r="V71" s="48" t="b">
        <f>INDEX(itemPrepMethods, MATCH(K71, itemNames, 0))="chop"</f>
        <v>0</v>
      </c>
      <c r="W71" s="62" t="str">
        <f>IF(V71, Q71, "")</f>
        <v/>
      </c>
      <c r="X71" s="63" t="str">
        <f>IF(V71, IF(L71 = "", "", L71), "")</f>
        <v/>
      </c>
      <c r="Y71" s="63" t="str">
        <f>IF(V71, K71, "")</f>
        <v/>
      </c>
      <c r="Z71" s="64"/>
      <c r="AA71" s="48" t="b">
        <f>INDEX(itemPrepMethods, MATCH(K71, itemNames, 0))="soak"</f>
        <v>0</v>
      </c>
      <c r="AB71" s="63" t="str">
        <f>IF(AA71, Q71, "")</f>
        <v/>
      </c>
      <c r="AC71" s="63" t="str">
        <f>IF(AA71, IF(L71 = "", "", L71), "")</f>
        <v/>
      </c>
      <c r="AD71" s="63" t="str">
        <f>IF(AA71, K71, "")</f>
        <v/>
      </c>
    </row>
    <row r="72" spans="1:30" x14ac:dyDescent="0.25">
      <c r="A72" s="110"/>
      <c r="B72" s="110"/>
      <c r="C72" s="110"/>
      <c r="D72" s="110"/>
      <c r="I72" s="51"/>
      <c r="M72" s="48"/>
      <c r="N72" s="48"/>
      <c r="O72" s="48"/>
      <c r="P72" s="48"/>
      <c r="W72" s="81"/>
      <c r="X72" s="81"/>
      <c r="Y72" s="81"/>
      <c r="Z72" s="81"/>
      <c r="AA72" s="73"/>
      <c r="AB72" s="81"/>
      <c r="AC72" s="81"/>
      <c r="AD72" s="81"/>
    </row>
    <row r="73" spans="1:30" x14ac:dyDescent="0.25">
      <c r="A73" s="110" t="s">
        <v>228</v>
      </c>
      <c r="B73" s="110"/>
      <c r="C73" s="110"/>
      <c r="D73" s="110"/>
      <c r="I73" s="51"/>
      <c r="M73" s="48"/>
      <c r="N73" s="48"/>
      <c r="O73" s="48"/>
      <c r="P73" s="48"/>
      <c r="W73" s="81"/>
      <c r="X73" s="81"/>
      <c r="Y73" s="81"/>
      <c r="Z73" s="81"/>
      <c r="AA73" s="73"/>
      <c r="AB73" s="81"/>
      <c r="AC73" s="81"/>
      <c r="AD73" s="81"/>
    </row>
    <row r="74" spans="1:30" x14ac:dyDescent="0.25">
      <c r="A74" s="44" t="s">
        <v>21</v>
      </c>
      <c r="B74" s="57">
        <f t="shared" ref="B74:B79" si="86">Q74</f>
        <v>2.75</v>
      </c>
      <c r="C74" s="43" t="str">
        <f t="shared" ref="C74:C79" si="87">IF(L74="","",L74)</f>
        <v>tsp</v>
      </c>
      <c r="D74" s="44" t="str">
        <f t="shared" ref="D74:D79" si="88">_xlfn.CONCAT(K74, U74)</f>
        <v>paprika</v>
      </c>
      <c r="I74" s="59">
        <v>3</v>
      </c>
      <c r="J74" s="60" t="s">
        <v>13</v>
      </c>
      <c r="K74" s="60" t="s">
        <v>107</v>
      </c>
      <c r="L74" s="61" t="s">
        <v>13</v>
      </c>
      <c r="M74" s="51">
        <f t="shared" ref="M74:M79" si="89">INDEX(itemGPerQty, MATCH(K74, itemNames, 0))</f>
        <v>1.2E-2</v>
      </c>
      <c r="N74" s="51">
        <f t="shared" ref="N74:N79" si="90">INDEX(itemMlPerQty, MATCH(K74, itemNames, 0))</f>
        <v>2.2180100000000001E-2</v>
      </c>
      <c r="O74" s="51">
        <f t="shared" ref="O74:O79" si="91">IF(J74 = "", I74 * M74, IF(ISNA(CONVERT(I74, J74, "kg")), CONVERT(I74, J74, "l") * IF(N74 &lt;&gt; 0, M74 / N74, 0), CONVERT(I74, J74, "kg")))</f>
        <v>8.0000170141252738E-3</v>
      </c>
      <c r="P74" s="51">
        <f t="shared" ref="P74:P79" si="92">IF(J74 = "", I74 * N74, IF(ISNA(CONVERT(I74, J74, "l")), CONVERT(I74, J74, "kg") * IF(M74 &lt;&gt; 0, N74 / M74, 0), CONVERT(I74, J74, "l")))</f>
        <v>1.478676478125E-2</v>
      </c>
      <c r="Q74" s="51">
        <f t="shared" ref="Q74:Q79" si="93">MROUND(IF(AND(J74 = "", L74 = ""), I74 * recipe02DayScale, IF(ISNA(CONVERT(O74, "kg", L74)), CONVERT(P74 * recipe02DayScale, "l", L74), CONVERT(O74 * recipe02DayScale, "kg", L74))), roundTo)</f>
        <v>2.75</v>
      </c>
      <c r="R74" s="52">
        <f t="shared" ref="R74:R79" si="94">recipe02TotScale * IF(L74 = "", Q74 * M74, IF(ISNA(CONVERT(Q74, L74, "kg")), CONVERT(Q74, L74, "l") * IF(N74 &lt;&gt; 0, M74 / N74, 0), CONVERT(Q74, L74, "kg")))</f>
        <v>7.3333489296148356E-3</v>
      </c>
      <c r="S74" s="52">
        <f t="shared" ref="S74:S79" si="95">recipe02TotScale * IF(R74 = 0, IF(L74 = "", Q74 * N74, IF(ISNA(CONVERT(Q74, L74, "l")), CONVERT(Q74, L74, "kg") * IF(M74 &lt;&gt; 0, N74 / M74, 0), CONVERT(Q74, L74, "l"))), 0)</f>
        <v>0</v>
      </c>
      <c r="T74" s="51">
        <f t="shared" ref="T74:T79" si="96">recipe02TotScale * IF(AND(R74 = 0, S74 = 0, J74 = "", L74 = ""), Q74, 0)</f>
        <v>0</v>
      </c>
      <c r="V74" s="48" t="b">
        <f t="shared" ref="V74:V79" si="97">INDEX(itemPrepMethods, MATCH(K74, itemNames, 0))="chop"</f>
        <v>0</v>
      </c>
      <c r="W74" s="62" t="str">
        <f t="shared" ref="W74:W79" si="98">IF(V74, Q74, "")</f>
        <v/>
      </c>
      <c r="X74" s="63" t="str">
        <f t="shared" ref="X74:X79" si="99">IF(V74, IF(L74 = "", "", L74), "")</f>
        <v/>
      </c>
      <c r="Y74" s="63" t="str">
        <f t="shared" ref="Y74:Y79" si="100">IF(V74, K74, "")</f>
        <v/>
      </c>
      <c r="Z74" s="64"/>
      <c r="AA74" s="48" t="b">
        <f t="shared" ref="AA74:AA79" si="101">INDEX(itemPrepMethods, MATCH(K74, itemNames, 0))="soak"</f>
        <v>0</v>
      </c>
      <c r="AB74" s="63" t="str">
        <f t="shared" ref="AB74:AB79" si="102">IF(AA74, Q74, "")</f>
        <v/>
      </c>
      <c r="AC74" s="63" t="str">
        <f t="shared" ref="AC74:AC79" si="103">IF(AA74, IF(L74 = "", "", L74), "")</f>
        <v/>
      </c>
      <c r="AD74" s="63" t="str">
        <f t="shared" ref="AD74:AD79" si="104">IF(AA74, K74, "")</f>
        <v/>
      </c>
    </row>
    <row r="75" spans="1:30" x14ac:dyDescent="0.25">
      <c r="A75" s="44" t="s">
        <v>21</v>
      </c>
      <c r="B75" s="57">
        <f t="shared" si="86"/>
        <v>1.75</v>
      </c>
      <c r="C75" s="43" t="str">
        <f t="shared" si="87"/>
        <v>tsp</v>
      </c>
      <c r="D75" s="44" t="str">
        <f t="shared" si="88"/>
        <v>ground turmeric</v>
      </c>
      <c r="I75" s="59">
        <v>2</v>
      </c>
      <c r="J75" s="60" t="s">
        <v>13</v>
      </c>
      <c r="K75" s="60" t="s">
        <v>326</v>
      </c>
      <c r="L75" s="61" t="s">
        <v>13</v>
      </c>
      <c r="M75" s="51">
        <f t="shared" si="89"/>
        <v>1.4E-2</v>
      </c>
      <c r="N75" s="51">
        <f t="shared" si="90"/>
        <v>2.2180100000000001E-2</v>
      </c>
      <c r="O75" s="51">
        <f t="shared" si="91"/>
        <v>6.2222354554307691E-3</v>
      </c>
      <c r="P75" s="51">
        <f t="shared" si="92"/>
        <v>9.8578431874999997E-3</v>
      </c>
      <c r="Q75" s="51">
        <f t="shared" si="93"/>
        <v>1.75</v>
      </c>
      <c r="R75" s="52">
        <f t="shared" si="94"/>
        <v>5.4444560235019238E-3</v>
      </c>
      <c r="S75" s="52">
        <f t="shared" si="95"/>
        <v>0</v>
      </c>
      <c r="T75" s="51">
        <f t="shared" si="96"/>
        <v>0</v>
      </c>
      <c r="V75" s="48" t="b">
        <f t="shared" si="97"/>
        <v>0</v>
      </c>
      <c r="W75" s="62" t="str">
        <f t="shared" si="98"/>
        <v/>
      </c>
      <c r="X75" s="63" t="str">
        <f t="shared" si="99"/>
        <v/>
      </c>
      <c r="Y75" s="63" t="str">
        <f t="shared" si="100"/>
        <v/>
      </c>
      <c r="Z75" s="64"/>
      <c r="AA75" s="48" t="b">
        <f t="shared" si="101"/>
        <v>0</v>
      </c>
      <c r="AB75" s="63" t="str">
        <f t="shared" si="102"/>
        <v/>
      </c>
      <c r="AC75" s="63" t="str">
        <f t="shared" si="103"/>
        <v/>
      </c>
      <c r="AD75" s="63" t="str">
        <f t="shared" si="104"/>
        <v/>
      </c>
    </row>
    <row r="76" spans="1:30" x14ac:dyDescent="0.25">
      <c r="A76" s="44" t="s">
        <v>21</v>
      </c>
      <c r="B76" s="57">
        <f t="shared" si="86"/>
        <v>1.75</v>
      </c>
      <c r="C76" s="43" t="str">
        <f t="shared" si="87"/>
        <v>tsp</v>
      </c>
      <c r="D76" s="44" t="str">
        <f t="shared" si="88"/>
        <v>dried basil</v>
      </c>
      <c r="I76" s="59">
        <v>2</v>
      </c>
      <c r="J76" s="60" t="s">
        <v>13</v>
      </c>
      <c r="K76" s="60" t="s">
        <v>108</v>
      </c>
      <c r="L76" s="61" t="s">
        <v>13</v>
      </c>
      <c r="M76" s="51">
        <f t="shared" si="89"/>
        <v>3.0000000000000001E-3</v>
      </c>
      <c r="N76" s="51">
        <f t="shared" si="90"/>
        <v>2.2180100000000001E-2</v>
      </c>
      <c r="O76" s="51">
        <f t="shared" si="91"/>
        <v>1.333336169020879E-3</v>
      </c>
      <c r="P76" s="51">
        <f t="shared" si="92"/>
        <v>9.8578431874999997E-3</v>
      </c>
      <c r="Q76" s="51">
        <f t="shared" si="93"/>
        <v>1.75</v>
      </c>
      <c r="R76" s="52">
        <f t="shared" si="94"/>
        <v>1.1666691478932692E-3</v>
      </c>
      <c r="S76" s="52">
        <f t="shared" si="95"/>
        <v>0</v>
      </c>
      <c r="T76" s="51">
        <f t="shared" si="96"/>
        <v>0</v>
      </c>
      <c r="V76" s="48" t="b">
        <f t="shared" si="97"/>
        <v>0</v>
      </c>
      <c r="W76" s="62" t="str">
        <f t="shared" si="98"/>
        <v/>
      </c>
      <c r="X76" s="63" t="str">
        <f t="shared" si="99"/>
        <v/>
      </c>
      <c r="Y76" s="63" t="str">
        <f t="shared" si="100"/>
        <v/>
      </c>
      <c r="Z76" s="64"/>
      <c r="AA76" s="48" t="b">
        <f t="shared" si="101"/>
        <v>0</v>
      </c>
      <c r="AB76" s="63" t="str">
        <f t="shared" si="102"/>
        <v/>
      </c>
      <c r="AC76" s="63" t="str">
        <f t="shared" si="103"/>
        <v/>
      </c>
      <c r="AD76" s="63" t="str">
        <f t="shared" si="104"/>
        <v/>
      </c>
    </row>
    <row r="77" spans="1:30" x14ac:dyDescent="0.25">
      <c r="A77" s="44" t="s">
        <v>21</v>
      </c>
      <c r="B77" s="57">
        <f t="shared" si="86"/>
        <v>0.5</v>
      </c>
      <c r="C77" s="43" t="str">
        <f t="shared" si="87"/>
        <v>tsp</v>
      </c>
      <c r="D77" s="44" t="str">
        <f t="shared" si="88"/>
        <v>cinnamon</v>
      </c>
      <c r="I77" s="59">
        <v>0.5</v>
      </c>
      <c r="J77" s="60" t="s">
        <v>13</v>
      </c>
      <c r="K77" s="60" t="s">
        <v>109</v>
      </c>
      <c r="L77" s="61" t="s">
        <v>13</v>
      </c>
      <c r="M77" s="51">
        <f t="shared" si="89"/>
        <v>1.0999999999999999E-2</v>
      </c>
      <c r="N77" s="51">
        <f t="shared" si="90"/>
        <v>2.2180100000000001E-2</v>
      </c>
      <c r="O77" s="51">
        <f t="shared" si="91"/>
        <v>1.2222248216024723E-3</v>
      </c>
      <c r="P77" s="51">
        <f t="shared" si="92"/>
        <v>2.4644607968749999E-3</v>
      </c>
      <c r="Q77" s="51">
        <f t="shared" si="93"/>
        <v>0.5</v>
      </c>
      <c r="R77" s="52">
        <f t="shared" si="94"/>
        <v>1.2222248216024723E-3</v>
      </c>
      <c r="S77" s="52">
        <f t="shared" si="95"/>
        <v>0</v>
      </c>
      <c r="T77" s="51">
        <f t="shared" si="96"/>
        <v>0</v>
      </c>
      <c r="V77" s="48" t="b">
        <f t="shared" si="97"/>
        <v>0</v>
      </c>
      <c r="W77" s="62" t="str">
        <f t="shared" si="98"/>
        <v/>
      </c>
      <c r="X77" s="63" t="str">
        <f t="shared" si="99"/>
        <v/>
      </c>
      <c r="Y77" s="63" t="str">
        <f t="shared" si="100"/>
        <v/>
      </c>
      <c r="Z77" s="64"/>
      <c r="AA77" s="48" t="b">
        <f t="shared" si="101"/>
        <v>0</v>
      </c>
      <c r="AB77" s="63" t="str">
        <f t="shared" si="102"/>
        <v/>
      </c>
      <c r="AC77" s="63" t="str">
        <f t="shared" si="103"/>
        <v/>
      </c>
      <c r="AD77" s="63" t="str">
        <f t="shared" si="104"/>
        <v/>
      </c>
    </row>
    <row r="78" spans="1:30" x14ac:dyDescent="0.25">
      <c r="A78" s="44" t="s">
        <v>21</v>
      </c>
      <c r="B78" s="57">
        <f t="shared" si="86"/>
        <v>1.75</v>
      </c>
      <c r="C78" s="43" t="str">
        <f t="shared" si="87"/>
        <v/>
      </c>
      <c r="D78" s="44" t="str">
        <f t="shared" si="88"/>
        <v>bay leaves</v>
      </c>
      <c r="I78" s="59">
        <v>2</v>
      </c>
      <c r="J78" s="60"/>
      <c r="K78" s="60" t="s">
        <v>93</v>
      </c>
      <c r="L78" s="61"/>
      <c r="M78" s="51">
        <f t="shared" si="89"/>
        <v>0</v>
      </c>
      <c r="N78" s="51">
        <f t="shared" si="90"/>
        <v>0</v>
      </c>
      <c r="O78" s="51">
        <f t="shared" si="91"/>
        <v>0</v>
      </c>
      <c r="P78" s="51">
        <f t="shared" si="92"/>
        <v>0</v>
      </c>
      <c r="Q78" s="51">
        <f t="shared" si="93"/>
        <v>1.75</v>
      </c>
      <c r="R78" s="52">
        <f t="shared" si="94"/>
        <v>0</v>
      </c>
      <c r="S78" s="52">
        <f t="shared" si="95"/>
        <v>0</v>
      </c>
      <c r="T78" s="51">
        <f t="shared" si="96"/>
        <v>1.75</v>
      </c>
      <c r="V78" s="48" t="b">
        <f t="shared" si="97"/>
        <v>0</v>
      </c>
      <c r="W78" s="62" t="str">
        <f t="shared" si="98"/>
        <v/>
      </c>
      <c r="X78" s="63" t="str">
        <f t="shared" si="99"/>
        <v/>
      </c>
      <c r="Y78" s="63" t="str">
        <f t="shared" si="100"/>
        <v/>
      </c>
      <c r="Z78" s="64"/>
      <c r="AA78" s="48" t="b">
        <f t="shared" si="101"/>
        <v>0</v>
      </c>
      <c r="AB78" s="63" t="str">
        <f t="shared" si="102"/>
        <v/>
      </c>
      <c r="AC78" s="63" t="str">
        <f t="shared" si="103"/>
        <v/>
      </c>
      <c r="AD78" s="63" t="str">
        <f t="shared" si="104"/>
        <v/>
      </c>
    </row>
    <row r="79" spans="1:30" x14ac:dyDescent="0.25">
      <c r="A79" s="44" t="s">
        <v>21</v>
      </c>
      <c r="B79" s="57">
        <f t="shared" si="86"/>
        <v>7.25</v>
      </c>
      <c r="C79" s="43" t="str">
        <f t="shared" si="87"/>
        <v>cup</v>
      </c>
      <c r="D79" s="44" t="str">
        <f t="shared" si="88"/>
        <v>water, approximately</v>
      </c>
      <c r="I79" s="59">
        <v>8</v>
      </c>
      <c r="J79" s="60" t="s">
        <v>16</v>
      </c>
      <c r="K79" s="60" t="s">
        <v>48</v>
      </c>
      <c r="L79" s="61" t="s">
        <v>16</v>
      </c>
      <c r="M79" s="51">
        <f t="shared" si="89"/>
        <v>1</v>
      </c>
      <c r="N79" s="51">
        <f t="shared" si="90"/>
        <v>1</v>
      </c>
      <c r="O79" s="51">
        <f t="shared" si="91"/>
        <v>1.8927058919999999</v>
      </c>
      <c r="P79" s="51">
        <f t="shared" si="92"/>
        <v>1.8927058919999999</v>
      </c>
      <c r="Q79" s="51">
        <f t="shared" si="93"/>
        <v>7.25</v>
      </c>
      <c r="R79" s="52">
        <f t="shared" si="94"/>
        <v>1.715264714625</v>
      </c>
      <c r="S79" s="52">
        <f t="shared" si="95"/>
        <v>0</v>
      </c>
      <c r="T79" s="51">
        <f t="shared" si="96"/>
        <v>0</v>
      </c>
      <c r="U79" s="48" t="s">
        <v>232</v>
      </c>
      <c r="V79" s="48" t="b">
        <f t="shared" si="97"/>
        <v>0</v>
      </c>
      <c r="W79" s="62" t="str">
        <f t="shared" si="98"/>
        <v/>
      </c>
      <c r="X79" s="63" t="str">
        <f t="shared" si="99"/>
        <v/>
      </c>
      <c r="Y79" s="63" t="str">
        <f t="shared" si="100"/>
        <v/>
      </c>
      <c r="Z79" s="64"/>
      <c r="AA79" s="48" t="b">
        <f t="shared" si="101"/>
        <v>0</v>
      </c>
      <c r="AB79" s="63" t="str">
        <f t="shared" si="102"/>
        <v/>
      </c>
      <c r="AC79" s="63" t="str">
        <f t="shared" si="103"/>
        <v/>
      </c>
      <c r="AD79" s="63" t="str">
        <f t="shared" si="104"/>
        <v/>
      </c>
    </row>
    <row r="80" spans="1:30" x14ac:dyDescent="0.25">
      <c r="A80" s="110"/>
      <c r="B80" s="110"/>
      <c r="C80" s="110"/>
      <c r="D80" s="110"/>
      <c r="I80" s="51"/>
      <c r="M80" s="48"/>
      <c r="N80" s="48"/>
      <c r="O80" s="48"/>
      <c r="P80" s="48"/>
      <c r="W80" s="81"/>
      <c r="X80" s="81"/>
      <c r="Y80" s="81"/>
      <c r="Z80" s="81"/>
      <c r="AA80" s="73"/>
      <c r="AB80" s="81"/>
      <c r="AC80" s="81"/>
      <c r="AD80" s="81"/>
    </row>
    <row r="81" spans="1:30" x14ac:dyDescent="0.25">
      <c r="A81" s="110" t="s">
        <v>229</v>
      </c>
      <c r="B81" s="110"/>
      <c r="C81" s="110"/>
      <c r="D81" s="110"/>
      <c r="I81" s="51"/>
      <c r="M81" s="48"/>
      <c r="N81" s="48"/>
      <c r="O81" s="48"/>
      <c r="P81" s="48"/>
      <c r="W81" s="81"/>
      <c r="X81" s="81"/>
      <c r="Y81" s="81"/>
      <c r="Z81" s="81"/>
      <c r="AA81" s="73"/>
      <c r="AB81" s="81"/>
      <c r="AC81" s="81"/>
      <c r="AD81" s="81"/>
    </row>
    <row r="82" spans="1:30" x14ac:dyDescent="0.25">
      <c r="A82" s="110"/>
      <c r="B82" s="110"/>
      <c r="C82" s="110"/>
      <c r="D82" s="110"/>
      <c r="I82" s="51"/>
      <c r="M82" s="48"/>
      <c r="N82" s="48"/>
      <c r="O82" s="48"/>
      <c r="P82" s="48"/>
      <c r="W82" s="81"/>
      <c r="X82" s="81"/>
      <c r="Y82" s="81"/>
      <c r="Z82" s="81"/>
      <c r="AA82" s="73"/>
      <c r="AB82" s="81"/>
      <c r="AC82" s="81"/>
      <c r="AD82" s="81"/>
    </row>
    <row r="83" spans="1:30" x14ac:dyDescent="0.25">
      <c r="A83" s="110" t="s">
        <v>230</v>
      </c>
      <c r="B83" s="110"/>
      <c r="C83" s="110"/>
      <c r="D83" s="110"/>
      <c r="I83" s="51"/>
      <c r="M83" s="48"/>
      <c r="N83" s="48"/>
      <c r="O83" s="48"/>
      <c r="P83" s="48"/>
      <c r="W83" s="81"/>
      <c r="X83" s="81"/>
      <c r="Y83" s="81"/>
      <c r="Z83" s="81"/>
      <c r="AA83" s="73"/>
      <c r="AB83" s="81"/>
      <c r="AC83" s="81"/>
      <c r="AD83" s="81"/>
    </row>
    <row r="84" spans="1:30" x14ac:dyDescent="0.25">
      <c r="A84" s="44" t="s">
        <v>21</v>
      </c>
      <c r="B84" s="66">
        <f t="shared" ref="B84" si="105">Q84</f>
        <v>0</v>
      </c>
      <c r="C84" s="43" t="str">
        <f>IF(L84="","",L84)</f>
        <v>cup</v>
      </c>
      <c r="D84" s="44" t="str">
        <f>_xlfn.CONCAT(K84, U84)</f>
        <v>diced green capsicums</v>
      </c>
      <c r="I84" s="59">
        <v>2</v>
      </c>
      <c r="J84" s="60"/>
      <c r="K84" s="60" t="s">
        <v>231</v>
      </c>
      <c r="L84" s="61" t="s">
        <v>16</v>
      </c>
      <c r="M84" s="51">
        <f>INDEX(itemGPerQty, MATCH(K84, itemNames, 0))</f>
        <v>0</v>
      </c>
      <c r="N84" s="51">
        <f>INDEX(itemMlPerQty, MATCH(K84, itemNames, 0))</f>
        <v>0</v>
      </c>
      <c r="O84" s="51">
        <f t="shared" ref="O84" si="106">IF(J84 = "", I84 * M84, IF(ISNA(CONVERT(I84, J84, "kg")), CONVERT(I84, J84, "l") * IF(N84 &lt;&gt; 0, M84 / N84, 0), CONVERT(I84, J84, "kg")))</f>
        <v>0</v>
      </c>
      <c r="P84" s="51">
        <f t="shared" ref="P84" si="107">IF(J84 = "", I84 * N84, IF(ISNA(CONVERT(I84, J84, "l")), CONVERT(I84, J84, "kg") * IF(M84 &lt;&gt; 0, N84 / M84, 0), CONVERT(I84, J84, "l")))</f>
        <v>0</v>
      </c>
      <c r="Q84" s="51">
        <f>MROUND(IF(AND(J84 = "", L84 = ""), I84 * recipe02DayScale, IF(ISNA(CONVERT(O84, "kg", L84)), CONVERT(P84 * recipe02DayScale, "l", L84), CONVERT(O84 * recipe02DayScale, "kg", L84))), roundTo)</f>
        <v>0</v>
      </c>
      <c r="R84" s="52">
        <f>recipe02TotScale * IF(L84 = "", Q84 * M84, IF(ISNA(CONVERT(Q84, L84, "kg")), CONVERT(Q84, L84, "l") * IF(N84 &lt;&gt; 0, M84 / N84, 0), CONVERT(Q84, L84, "kg")))</f>
        <v>0</v>
      </c>
      <c r="S84" s="52">
        <f>recipe02TotScale * IF(R84 = 0, IF(L84 = "", Q84 * N84, IF(ISNA(CONVERT(Q84, L84, "l")), CONVERT(Q84, L84, "kg") * IF(M84 &lt;&gt; 0, N84 / M84, 0), CONVERT(Q84, L84, "l"))), 0)</f>
        <v>0</v>
      </c>
      <c r="T84" s="51">
        <f>recipe02TotScale * IF(AND(R84 = 0, S84 = 0, J84 = "", L84 = ""), Q84, 0)</f>
        <v>0</v>
      </c>
      <c r="V84" s="48" t="b">
        <f>INDEX(itemPrepMethods, MATCH(K84, itemNames, 0))="chop"</f>
        <v>1</v>
      </c>
      <c r="W84" s="62">
        <f>IF(V84, Q84, "")</f>
        <v>0</v>
      </c>
      <c r="X84" s="63" t="str">
        <f>IF(V84, IF(L84 = "", "", L84), "")</f>
        <v>cup</v>
      </c>
      <c r="Y84" s="63" t="str">
        <f>IF(V84, K84, "")</f>
        <v>diced green capsicums</v>
      </c>
      <c r="Z84" s="64"/>
      <c r="AA84" s="48" t="b">
        <f>INDEX(itemPrepMethods, MATCH(K84, itemNames, 0))="soak"</f>
        <v>0</v>
      </c>
      <c r="AB84" s="63" t="str">
        <f>IF(AA84, Q84, "")</f>
        <v/>
      </c>
      <c r="AC84" s="63" t="str">
        <f>IF(AA84, IF(L84 = "", "", L84), "")</f>
        <v/>
      </c>
      <c r="AD84" s="63" t="str">
        <f>IF(AA84, K84, "")</f>
        <v/>
      </c>
    </row>
    <row r="85" spans="1:30" x14ac:dyDescent="0.25">
      <c r="A85" s="110"/>
      <c r="B85" s="110"/>
      <c r="C85" s="110"/>
      <c r="D85" s="110"/>
      <c r="I85" s="51"/>
      <c r="M85" s="48"/>
      <c r="N85" s="48"/>
      <c r="O85" s="48"/>
      <c r="P85" s="48"/>
    </row>
    <row r="86" spans="1:30" x14ac:dyDescent="0.25">
      <c r="A86" s="110" t="s">
        <v>233</v>
      </c>
      <c r="B86" s="110"/>
      <c r="C86" s="110"/>
      <c r="D86" s="110"/>
      <c r="I86" s="51"/>
      <c r="M86" s="48"/>
      <c r="N86" s="48"/>
      <c r="O86" s="48"/>
      <c r="P86" s="48"/>
    </row>
    <row r="87" spans="1:30" x14ac:dyDescent="0.25">
      <c r="A87" s="44" t="s">
        <v>21</v>
      </c>
      <c r="D87" s="44" t="s">
        <v>111</v>
      </c>
      <c r="I87" s="51"/>
      <c r="M87" s="48"/>
      <c r="N87" s="48"/>
      <c r="O87" s="48"/>
      <c r="P87" s="48"/>
    </row>
    <row r="88" spans="1:30" ht="15.75" x14ac:dyDescent="0.25">
      <c r="A88" s="111" t="s">
        <v>26</v>
      </c>
      <c r="B88" s="111"/>
      <c r="C88" s="111"/>
      <c r="D88" s="111"/>
      <c r="E88" s="47" t="s">
        <v>142</v>
      </c>
      <c r="F88" s="114" t="s">
        <v>81</v>
      </c>
      <c r="G88" s="114"/>
      <c r="I88" s="51"/>
    </row>
    <row r="89" spans="1:30" ht="24" x14ac:dyDescent="0.2">
      <c r="A89" s="111" t="s">
        <v>279</v>
      </c>
      <c r="B89" s="111"/>
      <c r="C89" s="111"/>
      <c r="D89" s="111"/>
      <c r="E89" s="46" t="s">
        <v>59</v>
      </c>
      <c r="F89" s="97">
        <v>21</v>
      </c>
      <c r="G89" s="51"/>
      <c r="H89" s="51"/>
      <c r="I89" s="76" t="s">
        <v>57</v>
      </c>
      <c r="J89" s="77" t="s">
        <v>58</v>
      </c>
      <c r="K89" s="77" t="s">
        <v>17</v>
      </c>
      <c r="L89" s="78" t="s">
        <v>56</v>
      </c>
      <c r="M89" s="76" t="s">
        <v>151</v>
      </c>
      <c r="N89" s="76" t="s">
        <v>152</v>
      </c>
      <c r="O89" s="76" t="s">
        <v>153</v>
      </c>
      <c r="P89" s="76" t="s">
        <v>154</v>
      </c>
      <c r="Q89" s="77" t="s">
        <v>374</v>
      </c>
      <c r="R89" s="79" t="s">
        <v>375</v>
      </c>
      <c r="S89" s="79" t="s">
        <v>376</v>
      </c>
      <c r="T89" s="76" t="s">
        <v>377</v>
      </c>
      <c r="U89" s="77" t="s">
        <v>22</v>
      </c>
      <c r="V89" s="77" t="s">
        <v>218</v>
      </c>
      <c r="W89" s="80" t="s">
        <v>374</v>
      </c>
      <c r="X89" s="77" t="s">
        <v>216</v>
      </c>
      <c r="Y89" s="77" t="s">
        <v>217</v>
      </c>
      <c r="Z89" s="77" t="s">
        <v>321</v>
      </c>
      <c r="AA89" s="77" t="s">
        <v>219</v>
      </c>
      <c r="AB89" s="80" t="s">
        <v>374</v>
      </c>
      <c r="AC89" s="77" t="s">
        <v>220</v>
      </c>
      <c r="AD89" s="77" t="s">
        <v>221</v>
      </c>
    </row>
    <row r="90" spans="1:30" ht="16.5" thickBot="1" x14ac:dyDescent="0.3">
      <c r="A90" s="113"/>
      <c r="B90" s="113"/>
      <c r="C90" s="113"/>
      <c r="D90" s="113"/>
      <c r="E90" s="72" t="s">
        <v>369</v>
      </c>
      <c r="F90" s="97">
        <f>suLuCount</f>
        <v>10</v>
      </c>
      <c r="G90" s="51"/>
      <c r="H90" s="58"/>
      <c r="I90" s="68"/>
      <c r="J90" s="46"/>
      <c r="K90" s="46"/>
      <c r="L90" s="69"/>
      <c r="M90" s="68"/>
      <c r="N90" s="68"/>
      <c r="O90" s="68"/>
      <c r="P90" s="68"/>
      <c r="U90" s="46"/>
    </row>
    <row r="91" spans="1:30" ht="15.75" thickBot="1" x14ac:dyDescent="0.3">
      <c r="A91" s="110" t="s">
        <v>258</v>
      </c>
      <c r="B91" s="110"/>
      <c r="C91" s="110"/>
      <c r="D91" s="110"/>
      <c r="E91" s="72" t="s">
        <v>372</v>
      </c>
      <c r="F91" s="55">
        <f>F90/F89</f>
        <v>0.47619047619047616</v>
      </c>
      <c r="G91" s="56" t="s">
        <v>384</v>
      </c>
      <c r="H91" s="58"/>
      <c r="I91" s="68"/>
      <c r="J91" s="46"/>
      <c r="K91" s="46"/>
      <c r="L91" s="69"/>
      <c r="M91" s="68"/>
      <c r="N91" s="68"/>
      <c r="O91" s="68"/>
      <c r="P91" s="68"/>
      <c r="U91" s="46"/>
    </row>
    <row r="92" spans="1:30" x14ac:dyDescent="0.25">
      <c r="A92" s="44" t="s">
        <v>21</v>
      </c>
      <c r="B92" s="57">
        <f t="shared" ref="B92:B119" si="108">Q92</f>
        <v>3.5</v>
      </c>
      <c r="C92" s="43" t="str">
        <f t="shared" ref="C92:C124" si="109">IF(L92="","",L92)</f>
        <v>cup</v>
      </c>
      <c r="D92" s="44" t="str">
        <f>_xlfn.CONCAT(K92, U92)</f>
        <v>red lentils. Blot with paper towels or clean tea towels to get as dry as possible</v>
      </c>
      <c r="E92" s="73"/>
      <c r="F92" s="73"/>
      <c r="G92" s="73"/>
      <c r="I92" s="67">
        <v>7.5</v>
      </c>
      <c r="J92" s="60" t="s">
        <v>16</v>
      </c>
      <c r="K92" s="60" t="s">
        <v>45</v>
      </c>
      <c r="L92" s="61" t="s">
        <v>16</v>
      </c>
      <c r="M92" s="51">
        <f t="shared" ref="M92:M119" si="110">INDEX(itemGPerQty, MATCH(K92, itemNames, 0))</f>
        <v>0.80800000000000005</v>
      </c>
      <c r="N92" s="51">
        <f t="shared" ref="N92:N119" si="111">INDEX(itemMlPerQty, MATCH(K92, itemNames, 0))</f>
        <v>0.946353</v>
      </c>
      <c r="O92" s="51">
        <f t="shared" ref="O92:O119" si="112">IF(J92 = "", I92 * M92, IF(ISNA(CONVERT(I92, J92, "kg")), CONVERT(I92, J92, "l") * IF(N92 &lt;&gt; 0, M92 / N92, 0), CONVERT(I92, J92, "kg")))</f>
        <v>1.5149999135523426</v>
      </c>
      <c r="P92" s="51">
        <f t="shared" ref="P92:P119" si="113">IF(J92 = "", I92 * N92, IF(ISNA(CONVERT(I92, J92, "l")), CONVERT(I92, J92, "kg") * IF(M92 &lt;&gt; 0, N92 / M92, 0), CONVERT(I92, J92, "l")))</f>
        <v>1.77441177375</v>
      </c>
      <c r="Q92" s="51">
        <f>MROUND(IF(AND(J92 = "", L92 = ""), I92 * recipe08DayScale, IF(ISNA(CONVERT(O92, "kg", L92)), CONVERT(P92 * recipe08DayScale, "l", L92), CONVERT(O92 * recipe08DayScale, "kg", L92))), roundTo)</f>
        <v>3.5</v>
      </c>
      <c r="R92" s="52">
        <f>recipe08TotScale * IF(L92 = "", Q92 * M92, IF(ISNA(CONVERT(Q92, L92, "kg")), CONVERT(Q92, L92, "l") * IF(N92 &lt;&gt; 0, M92 / N92, 0), CONVERT(Q92, L92, "kg")))</f>
        <v>0.70699995965775986</v>
      </c>
      <c r="S92" s="52">
        <f>recipe08TotScale * IF(R92 = 0, IF(L92 = "", Q92 * N92, IF(ISNA(CONVERT(Q92, L92, "l")), CONVERT(Q92, L92, "kg") * IF(M92 &lt;&gt; 0, N92 / M92, 0), CONVERT(Q92, L92, "l"))), 0)</f>
        <v>0</v>
      </c>
      <c r="T92" s="51">
        <f>recipe08TotScale * IF(AND(R92 = 0, S92 = 0, J92 = "", L92 = ""), Q92, 0)</f>
        <v>0</v>
      </c>
      <c r="U92" s="48" t="s">
        <v>234</v>
      </c>
      <c r="V92" s="48" t="b">
        <f>INDEX(itemPrepMethods, MATCH(K92, itemNames, 0))="chop"</f>
        <v>0</v>
      </c>
      <c r="W92" s="62" t="str">
        <f>IF(V92, Q92, "")</f>
        <v/>
      </c>
      <c r="X92" s="63" t="str">
        <f>IF(V92, IF(L92 = "", "", L92), "")</f>
        <v/>
      </c>
      <c r="Y92" s="63" t="str">
        <f>IF(V92, K92, "")</f>
        <v/>
      </c>
      <c r="Z92" s="64"/>
      <c r="AA92" s="48" t="b">
        <f>INDEX(itemPrepMethods, MATCH(K92, itemNames, 0))="soak"</f>
        <v>1</v>
      </c>
      <c r="AB92" s="63">
        <f>IF(AA92, Q92, "")</f>
        <v>3.5</v>
      </c>
      <c r="AC92" s="63" t="str">
        <f>IF(AA92, IF(L92 = "", "", L92), "")</f>
        <v>cup</v>
      </c>
      <c r="AD92" s="63" t="str">
        <f>IF(AA92, K92, "")</f>
        <v>red lentils</v>
      </c>
    </row>
    <row r="93" spans="1:30" ht="15.75" thickBot="1" x14ac:dyDescent="0.3">
      <c r="A93" s="110"/>
      <c r="B93" s="110"/>
      <c r="C93" s="110"/>
      <c r="D93" s="110"/>
      <c r="E93" s="72" t="s">
        <v>348</v>
      </c>
      <c r="F93" s="97">
        <f>suLuCount</f>
        <v>10</v>
      </c>
      <c r="G93" s="73"/>
      <c r="I93" s="51"/>
      <c r="M93" s="48"/>
      <c r="N93" s="48"/>
      <c r="O93" s="48"/>
      <c r="P93" s="48"/>
      <c r="W93" s="81"/>
      <c r="X93" s="81"/>
      <c r="Y93" s="81"/>
      <c r="Z93" s="81"/>
      <c r="AA93" s="73"/>
      <c r="AB93" s="81"/>
      <c r="AC93" s="81"/>
      <c r="AD93" s="81"/>
    </row>
    <row r="94" spans="1:30" ht="15.75" thickBot="1" x14ac:dyDescent="0.3">
      <c r="A94" s="110" t="s">
        <v>254</v>
      </c>
      <c r="B94" s="110"/>
      <c r="C94" s="110"/>
      <c r="D94" s="110"/>
      <c r="E94" s="72" t="s">
        <v>373</v>
      </c>
      <c r="F94" s="55">
        <f>F93/F90</f>
        <v>1</v>
      </c>
      <c r="G94" s="56" t="s">
        <v>385</v>
      </c>
      <c r="I94" s="51"/>
      <c r="M94" s="48"/>
      <c r="N94" s="48"/>
      <c r="O94" s="48"/>
      <c r="P94" s="48"/>
      <c r="W94" s="81"/>
      <c r="X94" s="81"/>
      <c r="Y94" s="81"/>
      <c r="Z94" s="81"/>
      <c r="AA94" s="73"/>
      <c r="AB94" s="81"/>
      <c r="AC94" s="81"/>
      <c r="AD94" s="81"/>
    </row>
    <row r="95" spans="1:30" x14ac:dyDescent="0.25">
      <c r="A95" s="44" t="s">
        <v>21</v>
      </c>
      <c r="D95" s="44" t="str">
        <f>_xlfn.CONCAT(K95, U95)</f>
        <v>washed lentils from step 1</v>
      </c>
      <c r="I95" s="51"/>
      <c r="U95" s="48" t="s">
        <v>251</v>
      </c>
      <c r="W95" s="81"/>
      <c r="X95" s="81"/>
      <c r="Y95" s="81"/>
      <c r="Z95" s="81"/>
      <c r="AA95" s="73"/>
      <c r="AB95" s="81"/>
      <c r="AC95" s="81"/>
      <c r="AD95" s="81"/>
    </row>
    <row r="96" spans="1:30" x14ac:dyDescent="0.25">
      <c r="A96" s="44" t="s">
        <v>21</v>
      </c>
      <c r="B96" s="57">
        <f t="shared" si="108"/>
        <v>1.25</v>
      </c>
      <c r="C96" s="43" t="str">
        <f t="shared" si="109"/>
        <v>tbs</v>
      </c>
      <c r="D96" s="44" t="str">
        <f>_xlfn.CONCAT(K96, U96)</f>
        <v>ground turmeric</v>
      </c>
      <c r="I96" s="67">
        <v>7.5</v>
      </c>
      <c r="J96" s="60" t="s">
        <v>13</v>
      </c>
      <c r="K96" s="60" t="s">
        <v>326</v>
      </c>
      <c r="L96" s="61" t="s">
        <v>15</v>
      </c>
      <c r="M96" s="51">
        <f t="shared" si="110"/>
        <v>1.4E-2</v>
      </c>
      <c r="N96" s="51">
        <f t="shared" si="111"/>
        <v>2.2180100000000001E-2</v>
      </c>
      <c r="O96" s="51">
        <f t="shared" si="112"/>
        <v>2.3333382957865384E-2</v>
      </c>
      <c r="P96" s="51">
        <f t="shared" si="113"/>
        <v>3.6966911953125001E-2</v>
      </c>
      <c r="Q96" s="51">
        <f>MROUND(IF(AND(J96 = "", L96 = ""), I96 * recipe08DayScale, IF(ISNA(CONVERT(O96, "kg", L96)), CONVERT(P96 * recipe08DayScale, "l", L96), CONVERT(O96 * recipe08DayScale, "kg", L96))), roundTo)</f>
        <v>1.25</v>
      </c>
      <c r="R96" s="52">
        <f>recipe08TotScale * IF(L96 = "", Q96 * M96, IF(ISNA(CONVERT(Q96, L96, "kg")), CONVERT(Q96, L96, "l") * IF(N96 &lt;&gt; 0, M96 / N96, 0), CONVERT(Q96, L96, "kg")))</f>
        <v>1.1666691478932692E-2</v>
      </c>
      <c r="S96" s="52">
        <f>recipe08TotScale * IF(R96 = 0, IF(L96 = "", Q96 * N96, IF(ISNA(CONVERT(Q96, L96, "l")), CONVERT(Q96, L96, "kg") * IF(M96 &lt;&gt; 0, N96 / M96, 0), CONVERT(Q96, L96, "l"))), 0)</f>
        <v>0</v>
      </c>
      <c r="T96" s="51">
        <f>recipe08TotScale * IF(AND(R96 = 0, S96 = 0, J96 = "", L96 = ""), Q96, 0)</f>
        <v>0</v>
      </c>
      <c r="V96" s="48" t="b">
        <f>INDEX(itemPrepMethods, MATCH(K96, itemNames, 0))="chop"</f>
        <v>0</v>
      </c>
      <c r="W96" s="62" t="str">
        <f>IF(V96, Q96, "")</f>
        <v/>
      </c>
      <c r="X96" s="63" t="str">
        <f>IF(V96, IF(L96 = "", "", L96), "")</f>
        <v/>
      </c>
      <c r="Y96" s="63" t="str">
        <f>IF(V96, K96, "")</f>
        <v/>
      </c>
      <c r="Z96" s="64"/>
      <c r="AA96" s="48" t="b">
        <f>INDEX(itemPrepMethods, MATCH(K96, itemNames, 0))="soak"</f>
        <v>0</v>
      </c>
      <c r="AB96" s="63" t="str">
        <f>IF(AA96, Q96, "")</f>
        <v/>
      </c>
      <c r="AC96" s="63" t="str">
        <f>IF(AA96, IF(L96 = "", "", L96), "")</f>
        <v/>
      </c>
      <c r="AD96" s="63" t="str">
        <f>IF(AA96, K96, "")</f>
        <v/>
      </c>
    </row>
    <row r="97" spans="1:30" x14ac:dyDescent="0.25">
      <c r="A97" s="44" t="s">
        <v>21</v>
      </c>
      <c r="B97" s="57">
        <f t="shared" si="108"/>
        <v>0.25</v>
      </c>
      <c r="C97" s="43" t="str">
        <f t="shared" si="109"/>
        <v>cup</v>
      </c>
      <c r="D97" s="44" t="str">
        <f>_xlfn.CONCAT(K97, U97)</f>
        <v>oil</v>
      </c>
      <c r="I97" s="67">
        <v>0.75</v>
      </c>
      <c r="J97" s="60" t="s">
        <v>16</v>
      </c>
      <c r="K97" s="60" t="s">
        <v>46</v>
      </c>
      <c r="L97" s="61" t="s">
        <v>16</v>
      </c>
      <c r="M97" s="51">
        <f t="shared" si="110"/>
        <v>0</v>
      </c>
      <c r="N97" s="51">
        <f t="shared" si="111"/>
        <v>0</v>
      </c>
      <c r="O97" s="51">
        <f t="shared" si="112"/>
        <v>0</v>
      </c>
      <c r="P97" s="51">
        <f t="shared" si="113"/>
        <v>0.17744117737499998</v>
      </c>
      <c r="Q97" s="51">
        <f>MROUND(IF(AND(J97 = "", L97 = ""), I97 * recipe08DayScale, IF(ISNA(CONVERT(O97, "kg", L97)), CONVERT(P97 * recipe08DayScale, "l", L97), CONVERT(O97 * recipe08DayScale, "kg", L97))), roundTo)</f>
        <v>0.25</v>
      </c>
      <c r="R97" s="52">
        <f>recipe08TotScale * IF(L97 = "", Q97 * M97, IF(ISNA(CONVERT(Q97, L97, "kg")), CONVERT(Q97, L97, "l") * IF(N97 &lt;&gt; 0, M97 / N97, 0), CONVERT(Q97, L97, "kg")))</f>
        <v>0</v>
      </c>
      <c r="S97" s="52">
        <f>recipe08TotScale * IF(R97 = 0, IF(L97 = "", Q97 * N97, IF(ISNA(CONVERT(Q97, L97, "l")), CONVERT(Q97, L97, "kg") * IF(M97 &lt;&gt; 0, N97 / M97, 0), CONVERT(Q97, L97, "l"))), 0)</f>
        <v>5.9147059124999998E-2</v>
      </c>
      <c r="T97" s="51">
        <f>recipe08TotScale * IF(AND(R97 = 0, S97 = 0, J97 = "", L97 = ""), Q97, 0)</f>
        <v>0</v>
      </c>
      <c r="V97" s="48" t="b">
        <f>INDEX(itemPrepMethods, MATCH(K97, itemNames, 0))="chop"</f>
        <v>0</v>
      </c>
      <c r="W97" s="62" t="str">
        <f>IF(V97, Q97, "")</f>
        <v/>
      </c>
      <c r="X97" s="63" t="str">
        <f>IF(V97, IF(L97 = "", "", L97), "")</f>
        <v/>
      </c>
      <c r="Y97" s="63" t="str">
        <f>IF(V97, K97, "")</f>
        <v/>
      </c>
      <c r="Z97" s="64"/>
      <c r="AA97" s="48" t="b">
        <f>INDEX(itemPrepMethods, MATCH(K97, itemNames, 0))="soak"</f>
        <v>0</v>
      </c>
      <c r="AB97" s="63" t="str">
        <f>IF(AA97, Q97, "")</f>
        <v/>
      </c>
      <c r="AC97" s="63" t="str">
        <f>IF(AA97, IF(L97 = "", "", L97), "")</f>
        <v/>
      </c>
      <c r="AD97" s="63" t="str">
        <f>IF(AA97, K97, "")</f>
        <v/>
      </c>
    </row>
    <row r="98" spans="1:30" x14ac:dyDescent="0.25">
      <c r="A98" s="110"/>
      <c r="B98" s="110"/>
      <c r="C98" s="110"/>
      <c r="D98" s="110"/>
      <c r="I98" s="51"/>
      <c r="M98" s="48"/>
      <c r="N98" s="48"/>
      <c r="O98" s="48"/>
      <c r="P98" s="48"/>
      <c r="W98" s="81"/>
      <c r="X98" s="81"/>
      <c r="Y98" s="81"/>
      <c r="Z98" s="81"/>
      <c r="AA98" s="73"/>
      <c r="AB98" s="81"/>
      <c r="AC98" s="81"/>
      <c r="AD98" s="81"/>
    </row>
    <row r="99" spans="1:30" x14ac:dyDescent="0.25">
      <c r="A99" s="110" t="s">
        <v>253</v>
      </c>
      <c r="B99" s="110"/>
      <c r="C99" s="110"/>
      <c r="D99" s="110"/>
      <c r="I99" s="51"/>
      <c r="M99" s="48"/>
      <c r="N99" s="48"/>
      <c r="O99" s="48"/>
      <c r="P99" s="48"/>
      <c r="W99" s="81"/>
      <c r="X99" s="81"/>
      <c r="Y99" s="81"/>
      <c r="Z99" s="81"/>
      <c r="AA99" s="73"/>
      <c r="AB99" s="81"/>
      <c r="AC99" s="81"/>
      <c r="AD99" s="81"/>
    </row>
    <row r="100" spans="1:30" x14ac:dyDescent="0.25">
      <c r="A100" s="44" t="s">
        <v>21</v>
      </c>
      <c r="B100" s="57">
        <f t="shared" si="108"/>
        <v>1.5</v>
      </c>
      <c r="C100" s="43" t="str">
        <f t="shared" si="109"/>
        <v/>
      </c>
      <c r="D100" s="44" t="str">
        <f>_xlfn.CONCAT(K100, U100)</f>
        <v>tins chopped tomatoes, drained</v>
      </c>
      <c r="I100" s="67">
        <v>3</v>
      </c>
      <c r="J100" s="60"/>
      <c r="K100" s="60" t="s">
        <v>47</v>
      </c>
      <c r="L100" s="61"/>
      <c r="M100" s="51">
        <f t="shared" si="110"/>
        <v>0</v>
      </c>
      <c r="N100" s="51">
        <f t="shared" si="111"/>
        <v>0</v>
      </c>
      <c r="O100" s="51">
        <f t="shared" si="112"/>
        <v>0</v>
      </c>
      <c r="P100" s="51">
        <f t="shared" si="113"/>
        <v>0</v>
      </c>
      <c r="Q100" s="51">
        <f>MROUND(IF(AND(J100 = "", L100 = ""), I100 * recipe08DayScale, IF(ISNA(CONVERT(O100, "kg", L100)), CONVERT(P100 * recipe08DayScale, "l", L100), CONVERT(O100 * recipe08DayScale, "kg", L100))), roundTo)</f>
        <v>1.5</v>
      </c>
      <c r="R100" s="52">
        <f>recipe08TotScale * IF(L100 = "", Q100 * M100, IF(ISNA(CONVERT(Q100, L100, "kg")), CONVERT(Q100, L100, "l") * IF(N100 &lt;&gt; 0, M100 / N100, 0), CONVERT(Q100, L100, "kg")))</f>
        <v>0</v>
      </c>
      <c r="S100" s="52">
        <f>recipe08TotScale * IF(R100 = 0, IF(L100 = "", Q100 * N100, IF(ISNA(CONVERT(Q100, L100, "l")), CONVERT(Q100, L100, "kg") * IF(M100 &lt;&gt; 0, N100 / M100, 0), CONVERT(Q100, L100, "l"))), 0)</f>
        <v>0</v>
      </c>
      <c r="T100" s="51">
        <f>recipe08TotScale * IF(AND(R100 = 0, S100 = 0, J100 = "", L100 = ""), Q100, 0)</f>
        <v>1.5</v>
      </c>
      <c r="U100" s="48" t="s">
        <v>236</v>
      </c>
      <c r="V100" s="48" t="b">
        <f>INDEX(itemPrepMethods, MATCH(K100, itemNames, 0))="chop"</f>
        <v>0</v>
      </c>
      <c r="W100" s="62" t="str">
        <f>IF(V100, Q100, "")</f>
        <v/>
      </c>
      <c r="X100" s="63" t="str">
        <f>IF(V100, IF(L100 = "", "", L100), "")</f>
        <v/>
      </c>
      <c r="Y100" s="63" t="str">
        <f>IF(V100, K100, "")</f>
        <v/>
      </c>
      <c r="Z100" s="64"/>
      <c r="AA100" s="48" t="b">
        <f>INDEX(itemPrepMethods, MATCH(K100, itemNames, 0))="soak"</f>
        <v>0</v>
      </c>
      <c r="AB100" s="63" t="str">
        <f>IF(AA100, Q100, "")</f>
        <v/>
      </c>
      <c r="AC100" s="63" t="str">
        <f>IF(AA100, IF(L100 = "", "", L100), "")</f>
        <v/>
      </c>
      <c r="AD100" s="63" t="str">
        <f>IF(AA100, K100, "")</f>
        <v/>
      </c>
    </row>
    <row r="101" spans="1:30" x14ac:dyDescent="0.25">
      <c r="A101" s="44" t="s">
        <v>21</v>
      </c>
      <c r="B101" s="57">
        <f t="shared" si="108"/>
        <v>4.75</v>
      </c>
      <c r="C101" s="43" t="str">
        <f t="shared" si="109"/>
        <v/>
      </c>
      <c r="D101" s="44" t="str">
        <f>_xlfn.CONCAT(K101, U101)</f>
        <v>chopped zucchini</v>
      </c>
      <c r="I101" s="67">
        <v>10</v>
      </c>
      <c r="J101" s="60"/>
      <c r="K101" s="60" t="s">
        <v>202</v>
      </c>
      <c r="L101" s="61"/>
      <c r="M101" s="51">
        <f t="shared" si="110"/>
        <v>0</v>
      </c>
      <c r="N101" s="51">
        <f t="shared" si="111"/>
        <v>0</v>
      </c>
      <c r="O101" s="51">
        <f t="shared" si="112"/>
        <v>0</v>
      </c>
      <c r="P101" s="51">
        <f t="shared" si="113"/>
        <v>0</v>
      </c>
      <c r="Q101" s="51">
        <f>MROUND(IF(AND(J101 = "", L101 = ""), I101 * recipe08DayScale, IF(ISNA(CONVERT(O101, "kg", L101)), CONVERT(P101 * recipe08DayScale, "l", L101), CONVERT(O101 * recipe08DayScale, "kg", L101))), roundTo)</f>
        <v>4.75</v>
      </c>
      <c r="R101" s="52">
        <f>recipe08TotScale * IF(L101 = "", Q101 * M101, IF(ISNA(CONVERT(Q101, L101, "kg")), CONVERT(Q101, L101, "l") * IF(N101 &lt;&gt; 0, M101 / N101, 0), CONVERT(Q101, L101, "kg")))</f>
        <v>0</v>
      </c>
      <c r="S101" s="52">
        <f>recipe08TotScale * IF(R101 = 0, IF(L101 = "", Q101 * N101, IF(ISNA(CONVERT(Q101, L101, "l")), CONVERT(Q101, L101, "kg") * IF(M101 &lt;&gt; 0, N101 / M101, 0), CONVERT(Q101, L101, "l"))), 0)</f>
        <v>0</v>
      </c>
      <c r="T101" s="51">
        <f>recipe08TotScale * IF(AND(R101 = 0, S101 = 0, J101 = "", L101 = ""), Q101, 0)</f>
        <v>4.75</v>
      </c>
      <c r="V101" s="48" t="b">
        <f>INDEX(itemPrepMethods, MATCH(K101, itemNames, 0))="chop"</f>
        <v>1</v>
      </c>
      <c r="W101" s="62">
        <f>IF(V101, Q101, "")</f>
        <v>4.75</v>
      </c>
      <c r="X101" s="63" t="str">
        <f>IF(V101, IF(L101 = "", "", L101), "")</f>
        <v/>
      </c>
      <c r="Y101" s="63" t="str">
        <f>IF(V101, K101, "")</f>
        <v>chopped zucchini</v>
      </c>
      <c r="Z101" s="64"/>
      <c r="AA101" s="48" t="b">
        <f>INDEX(itemPrepMethods, MATCH(K101, itemNames, 0))="soak"</f>
        <v>0</v>
      </c>
      <c r="AB101" s="63" t="str">
        <f>IF(AA101, Q101, "")</f>
        <v/>
      </c>
      <c r="AC101" s="63" t="str">
        <f>IF(AA101, IF(L101 = "", "", L101), "")</f>
        <v/>
      </c>
      <c r="AD101" s="63" t="str">
        <f>IF(AA101, K101, "")</f>
        <v/>
      </c>
    </row>
    <row r="102" spans="1:30" x14ac:dyDescent="0.25">
      <c r="A102" s="110"/>
      <c r="B102" s="110"/>
      <c r="C102" s="110"/>
      <c r="D102" s="110"/>
      <c r="I102" s="51"/>
      <c r="M102" s="48"/>
      <c r="N102" s="48"/>
      <c r="O102" s="48"/>
      <c r="P102" s="48"/>
      <c r="W102" s="81"/>
      <c r="X102" s="81"/>
      <c r="Y102" s="81"/>
      <c r="Z102" s="81"/>
      <c r="AA102" s="73"/>
      <c r="AB102" s="81"/>
      <c r="AC102" s="81"/>
      <c r="AD102" s="81"/>
    </row>
    <row r="103" spans="1:30" x14ac:dyDescent="0.25">
      <c r="A103" s="110" t="s">
        <v>235</v>
      </c>
      <c r="B103" s="110"/>
      <c r="C103" s="110"/>
      <c r="D103" s="110"/>
      <c r="I103" s="51"/>
      <c r="M103" s="48"/>
      <c r="N103" s="48"/>
      <c r="O103" s="48"/>
      <c r="P103" s="48"/>
      <c r="W103" s="81"/>
      <c r="X103" s="81"/>
      <c r="Y103" s="81"/>
      <c r="Z103" s="81"/>
      <c r="AA103" s="73"/>
      <c r="AB103" s="81"/>
      <c r="AC103" s="81"/>
      <c r="AD103" s="81"/>
    </row>
    <row r="104" spans="1:30" x14ac:dyDescent="0.25">
      <c r="A104" s="44" t="s">
        <v>21</v>
      </c>
      <c r="B104" s="57">
        <f t="shared" si="108"/>
        <v>10</v>
      </c>
      <c r="C104" s="43" t="str">
        <f t="shared" si="109"/>
        <v>cup</v>
      </c>
      <c r="D104" s="44" t="str">
        <f>_xlfn.CONCAT(K104, U104)</f>
        <v>water</v>
      </c>
      <c r="I104" s="67">
        <v>21</v>
      </c>
      <c r="J104" s="60" t="s">
        <v>16</v>
      </c>
      <c r="K104" s="60" t="s">
        <v>48</v>
      </c>
      <c r="L104" s="61" t="s">
        <v>16</v>
      </c>
      <c r="M104" s="51">
        <f t="shared" si="110"/>
        <v>1</v>
      </c>
      <c r="N104" s="51">
        <f t="shared" si="111"/>
        <v>1</v>
      </c>
      <c r="O104" s="51">
        <f t="shared" si="112"/>
        <v>4.9683529664999995</v>
      </c>
      <c r="P104" s="51">
        <f t="shared" si="113"/>
        <v>4.9683529664999995</v>
      </c>
      <c r="Q104" s="51">
        <f>MROUND(IF(AND(J104 = "", L104 = ""), I104 * recipe08DayScale, IF(ISNA(CONVERT(O104, "kg", L104)), CONVERT(P104 * recipe08DayScale, "l", L104), CONVERT(O104 * recipe08DayScale, "kg", L104))), roundTo)</f>
        <v>10</v>
      </c>
      <c r="R104" s="52">
        <f>recipe08TotScale * IF(L104 = "", Q104 * M104, IF(ISNA(CONVERT(Q104, L104, "kg")), CONVERT(Q104, L104, "l") * IF(N104 &lt;&gt; 0, M104 / N104, 0), CONVERT(Q104, L104, "kg")))</f>
        <v>2.365882365</v>
      </c>
      <c r="S104" s="52">
        <f>recipe08TotScale * IF(R104 = 0, IF(L104 = "", Q104 * N104, IF(ISNA(CONVERT(Q104, L104, "l")), CONVERT(Q104, L104, "kg") * IF(M104 &lt;&gt; 0, N104 / M104, 0), CONVERT(Q104, L104, "l"))), 0)</f>
        <v>0</v>
      </c>
      <c r="T104" s="51">
        <f>recipe08TotScale * IF(AND(R104 = 0, S104 = 0, J104 = "", L104 = ""), Q104, 0)</f>
        <v>0</v>
      </c>
      <c r="V104" s="48" t="b">
        <f>INDEX(itemPrepMethods, MATCH(K104, itemNames, 0))="chop"</f>
        <v>0</v>
      </c>
      <c r="W104" s="62" t="str">
        <f>IF(V104, Q104, "")</f>
        <v/>
      </c>
      <c r="X104" s="63" t="str">
        <f>IF(V104, IF(L104 = "", "", L104), "")</f>
        <v/>
      </c>
      <c r="Y104" s="63" t="str">
        <f>IF(V104, K104, "")</f>
        <v/>
      </c>
      <c r="Z104" s="64"/>
      <c r="AA104" s="48" t="b">
        <f>INDEX(itemPrepMethods, MATCH(K104, itemNames, 0))="soak"</f>
        <v>0</v>
      </c>
      <c r="AB104" s="63" t="str">
        <f>IF(AA104, Q104, "")</f>
        <v/>
      </c>
      <c r="AC104" s="63" t="str">
        <f>IF(AA104, IF(L104 = "", "", L104), "")</f>
        <v/>
      </c>
      <c r="AD104" s="63" t="str">
        <f>IF(AA104, K104, "")</f>
        <v/>
      </c>
    </row>
    <row r="105" spans="1:30" x14ac:dyDescent="0.25">
      <c r="A105" s="44" t="s">
        <v>21</v>
      </c>
      <c r="B105" s="57">
        <f t="shared" si="108"/>
        <v>2.5</v>
      </c>
      <c r="C105" s="43" t="str">
        <f t="shared" si="109"/>
        <v>tsp</v>
      </c>
      <c r="D105" s="44" t="str">
        <f>_xlfn.CONCAT(K105, U105)</f>
        <v>salt</v>
      </c>
      <c r="I105" s="67">
        <v>5</v>
      </c>
      <c r="J105" s="60" t="s">
        <v>13</v>
      </c>
      <c r="K105" s="60" t="s">
        <v>11</v>
      </c>
      <c r="L105" s="61" t="s">
        <v>13</v>
      </c>
      <c r="M105" s="51">
        <f t="shared" si="110"/>
        <v>2.5000000000000001E-2</v>
      </c>
      <c r="N105" s="51">
        <f t="shared" si="111"/>
        <v>2.2180100000000001E-2</v>
      </c>
      <c r="O105" s="51">
        <f t="shared" si="112"/>
        <v>2.777783685460165E-2</v>
      </c>
      <c r="P105" s="51">
        <f t="shared" si="113"/>
        <v>2.4644607968749999E-2</v>
      </c>
      <c r="Q105" s="51">
        <f>MROUND(IF(AND(J105 = "", L105 = ""), I105 * recipe08DayScale, IF(ISNA(CONVERT(O105, "kg", L105)), CONVERT(P105 * recipe08DayScale, "l", L105), CONVERT(O105 * recipe08DayScale, "kg", L105))), roundTo)</f>
        <v>2.5</v>
      </c>
      <c r="R105" s="52">
        <f>recipe08TotScale * IF(L105 = "", Q105 * M105, IF(ISNA(CONVERT(Q105, L105, "kg")), CONVERT(Q105, L105, "l") * IF(N105 &lt;&gt; 0, M105 / N105, 0), CONVERT(Q105, L105, "kg")))</f>
        <v>1.3888918427300825E-2</v>
      </c>
      <c r="S105" s="52">
        <f>recipe08TotScale * IF(R105 = 0, IF(L105 = "", Q105 * N105, IF(ISNA(CONVERT(Q105, L105, "l")), CONVERT(Q105, L105, "kg") * IF(M105 &lt;&gt; 0, N105 / M105, 0), CONVERT(Q105, L105, "l"))), 0)</f>
        <v>0</v>
      </c>
      <c r="T105" s="51">
        <f>recipe08TotScale * IF(AND(R105 = 0, S105 = 0, J105 = "", L105 = ""), Q105, 0)</f>
        <v>0</v>
      </c>
      <c r="V105" s="48" t="b">
        <f>INDEX(itemPrepMethods, MATCH(K105, itemNames, 0))="chop"</f>
        <v>0</v>
      </c>
      <c r="W105" s="62" t="str">
        <f>IF(V105, Q105, "")</f>
        <v/>
      </c>
      <c r="X105" s="63" t="str">
        <f>IF(V105, IF(L105 = "", "", L105), "")</f>
        <v/>
      </c>
      <c r="Y105" s="63" t="str">
        <f>IF(V105, K105, "")</f>
        <v/>
      </c>
      <c r="Z105" s="64"/>
      <c r="AA105" s="48" t="b">
        <f>INDEX(itemPrepMethods, MATCH(K105, itemNames, 0))="soak"</f>
        <v>0</v>
      </c>
      <c r="AB105" s="63" t="str">
        <f>IF(AA105, Q105, "")</f>
        <v/>
      </c>
      <c r="AC105" s="63" t="str">
        <f>IF(AA105, IF(L105 = "", "", L105), "")</f>
        <v/>
      </c>
      <c r="AD105" s="63" t="str">
        <f>IF(AA105, K105, "")</f>
        <v/>
      </c>
    </row>
    <row r="106" spans="1:30" x14ac:dyDescent="0.25">
      <c r="A106" s="44" t="s">
        <v>21</v>
      </c>
      <c r="B106" s="66">
        <f t="shared" si="108"/>
        <v>2.5</v>
      </c>
      <c r="C106" s="98" t="str">
        <f t="shared" si="109"/>
        <v/>
      </c>
      <c r="D106" s="99" t="str">
        <f>_xlfn.CONCAT(K106, U106)</f>
        <v>minced green chili</v>
      </c>
      <c r="I106" s="67">
        <v>5</v>
      </c>
      <c r="J106" s="60"/>
      <c r="K106" s="60" t="s">
        <v>50</v>
      </c>
      <c r="L106" s="61"/>
      <c r="M106" s="51">
        <f t="shared" si="110"/>
        <v>0</v>
      </c>
      <c r="N106" s="51">
        <f t="shared" si="111"/>
        <v>0</v>
      </c>
      <c r="O106" s="51">
        <f t="shared" si="112"/>
        <v>0</v>
      </c>
      <c r="P106" s="51">
        <f t="shared" si="113"/>
        <v>0</v>
      </c>
      <c r="Q106" s="51">
        <f>MROUND(IF(AND(J106 = "", L106 = ""), I106 * recipe08DayScale, IF(ISNA(CONVERT(O106, "kg", L106)), CONVERT(P106 * recipe08DayScale, "l", L106), CONVERT(O106 * recipe08DayScale, "kg", L106))), roundTo)</f>
        <v>2.5</v>
      </c>
      <c r="R106" s="52">
        <f>recipe08TotScale * IF(L106 = "", Q106 * M106, IF(ISNA(CONVERT(Q106, L106, "kg")), CONVERT(Q106, L106, "l") * IF(N106 &lt;&gt; 0, M106 / N106, 0), CONVERT(Q106, L106, "kg")))</f>
        <v>0</v>
      </c>
      <c r="S106" s="52">
        <f>recipe08TotScale * IF(R106 = 0, IF(L106 = "", Q106 * N106, IF(ISNA(CONVERT(Q106, L106, "l")), CONVERT(Q106, L106, "kg") * IF(M106 &lt;&gt; 0, N106 / M106, 0), CONVERT(Q106, L106, "l"))), 0)</f>
        <v>0</v>
      </c>
      <c r="T106" s="51">
        <f>recipe08TotScale * IF(AND(R106 = 0, S106 = 0, J106 = "", L106 = ""), Q106, 0)</f>
        <v>2.5</v>
      </c>
      <c r="V106" s="48" t="b">
        <f>INDEX(itemPrepMethods, MATCH(K106, itemNames, 0))="chop"</f>
        <v>1</v>
      </c>
      <c r="W106" s="62">
        <f>IF(V106, Q106, "")</f>
        <v>2.5</v>
      </c>
      <c r="X106" s="63" t="str">
        <f>IF(V106, IF(L106 = "", "", L106), "")</f>
        <v/>
      </c>
      <c r="Y106" s="63" t="str">
        <f>IF(V106, K106, "")</f>
        <v>minced green chili</v>
      </c>
      <c r="Z106" s="64"/>
      <c r="AA106" s="48" t="b">
        <f>INDEX(itemPrepMethods, MATCH(K106, itemNames, 0))="soak"</f>
        <v>0</v>
      </c>
      <c r="AB106" s="63" t="str">
        <f>IF(AA106, Q106, "")</f>
        <v/>
      </c>
      <c r="AC106" s="63" t="str">
        <f>IF(AA106, IF(L106 = "", "", L106), "")</f>
        <v/>
      </c>
      <c r="AD106" s="63" t="str">
        <f>IF(AA106, K106, "")</f>
        <v/>
      </c>
    </row>
    <row r="107" spans="1:30" x14ac:dyDescent="0.25">
      <c r="A107" s="44" t="s">
        <v>21</v>
      </c>
      <c r="B107" s="57">
        <f t="shared" si="108"/>
        <v>1.5</v>
      </c>
      <c r="C107" s="43" t="str">
        <f t="shared" si="109"/>
        <v>tbs</v>
      </c>
      <c r="D107" s="44" t="str">
        <f>_xlfn.CONCAT(K107, U107)</f>
        <v>minced fresh ginger</v>
      </c>
      <c r="I107" s="67">
        <v>3</v>
      </c>
      <c r="J107" s="60" t="s">
        <v>15</v>
      </c>
      <c r="K107" s="60" t="s">
        <v>237</v>
      </c>
      <c r="L107" s="61" t="s">
        <v>15</v>
      </c>
      <c r="M107" s="51">
        <f t="shared" si="110"/>
        <v>0</v>
      </c>
      <c r="N107" s="51">
        <f t="shared" si="111"/>
        <v>0</v>
      </c>
      <c r="O107" s="51">
        <f t="shared" si="112"/>
        <v>0</v>
      </c>
      <c r="P107" s="51">
        <f t="shared" si="113"/>
        <v>4.4360294343749995E-2</v>
      </c>
      <c r="Q107" s="51">
        <f>MROUND(IF(AND(J107 = "", L107 = ""), I107 * recipe08DayScale, IF(ISNA(CONVERT(O107, "kg", L107)), CONVERT(P107 * recipe08DayScale, "l", L107), CONVERT(O107 * recipe08DayScale, "kg", L107))), roundTo)</f>
        <v>1.5</v>
      </c>
      <c r="R107" s="52">
        <f>recipe08TotScale * IF(L107 = "", Q107 * M107, IF(ISNA(CONVERT(Q107, L107, "kg")), CONVERT(Q107, L107, "l") * IF(N107 &lt;&gt; 0, M107 / N107, 0), CONVERT(Q107, L107, "kg")))</f>
        <v>0</v>
      </c>
      <c r="S107" s="52">
        <f>recipe08TotScale * IF(R107 = 0, IF(L107 = "", Q107 * N107, IF(ISNA(CONVERT(Q107, L107, "l")), CONVERT(Q107, L107, "kg") * IF(M107 &lt;&gt; 0, N107 / M107, 0), CONVERT(Q107, L107, "l"))), 0)</f>
        <v>2.2180147171874998E-2</v>
      </c>
      <c r="T107" s="51">
        <f>recipe08TotScale * IF(AND(R107 = 0, S107 = 0, J107 = "", L107 = ""), Q107, 0)</f>
        <v>0</v>
      </c>
      <c r="V107" s="48" t="b">
        <f>INDEX(itemPrepMethods, MATCH(K107, itemNames, 0))="chop"</f>
        <v>1</v>
      </c>
      <c r="W107" s="62">
        <f>IF(V107, Q107, "")</f>
        <v>1.5</v>
      </c>
      <c r="X107" s="63" t="str">
        <f>IF(V107, IF(L107 = "", "", L107), "")</f>
        <v>tbs</v>
      </c>
      <c r="Y107" s="63" t="str">
        <f>IF(V107, K107, "")</f>
        <v>minced fresh ginger</v>
      </c>
      <c r="Z107" s="64"/>
      <c r="AA107" s="48" t="b">
        <f>INDEX(itemPrepMethods, MATCH(K107, itemNames, 0))="soak"</f>
        <v>0</v>
      </c>
      <c r="AB107" s="63" t="str">
        <f>IF(AA107, Q107, "")</f>
        <v/>
      </c>
      <c r="AC107" s="63" t="str">
        <f>IF(AA107, IF(L107 = "", "", L107), "")</f>
        <v/>
      </c>
      <c r="AD107" s="63" t="str">
        <f>IF(AA107, K107, "")</f>
        <v/>
      </c>
    </row>
    <row r="108" spans="1:30" x14ac:dyDescent="0.25">
      <c r="A108" s="110"/>
      <c r="B108" s="110"/>
      <c r="C108" s="110"/>
      <c r="D108" s="110"/>
      <c r="I108" s="48"/>
      <c r="L108" s="48"/>
      <c r="W108" s="81"/>
      <c r="X108" s="81"/>
      <c r="Y108" s="81"/>
      <c r="Z108" s="81"/>
      <c r="AA108" s="73"/>
      <c r="AB108" s="81"/>
      <c r="AC108" s="81"/>
      <c r="AD108" s="81"/>
    </row>
    <row r="109" spans="1:30" x14ac:dyDescent="0.25">
      <c r="A109" s="110" t="s">
        <v>238</v>
      </c>
      <c r="B109" s="110"/>
      <c r="C109" s="110"/>
      <c r="D109" s="110"/>
      <c r="I109" s="48"/>
      <c r="L109" s="48"/>
      <c r="W109" s="81"/>
      <c r="X109" s="81"/>
      <c r="Y109" s="81"/>
      <c r="Z109" s="81"/>
      <c r="AA109" s="73"/>
      <c r="AB109" s="81"/>
      <c r="AC109" s="81"/>
      <c r="AD109" s="81"/>
    </row>
    <row r="110" spans="1:30" x14ac:dyDescent="0.25">
      <c r="A110" s="44" t="s">
        <v>21</v>
      </c>
      <c r="D110" s="44" t="str">
        <f>_xlfn.CONCAT(K110, U110)</f>
        <v>bring to boil over high heat then cover and reduce heat</v>
      </c>
      <c r="I110" s="48"/>
      <c r="L110" s="48"/>
      <c r="U110" s="48" t="s">
        <v>239</v>
      </c>
      <c r="W110" s="81"/>
      <c r="X110" s="81"/>
      <c r="Y110" s="81"/>
      <c r="Z110" s="81"/>
      <c r="AA110" s="73"/>
      <c r="AB110" s="81"/>
      <c r="AC110" s="81"/>
      <c r="AD110" s="81"/>
    </row>
    <row r="111" spans="1:30" x14ac:dyDescent="0.25">
      <c r="A111" s="44" t="s">
        <v>21</v>
      </c>
      <c r="D111" s="44" t="str">
        <f>_xlfn.CONCAT(K111, U111)</f>
        <v>simmer for 20 minutes or until lentils have dissolved into a thick soup porridge</v>
      </c>
      <c r="I111" s="48"/>
      <c r="L111" s="48"/>
      <c r="U111" s="48" t="s">
        <v>240</v>
      </c>
      <c r="W111" s="81"/>
      <c r="X111" s="81"/>
      <c r="Y111" s="81"/>
      <c r="Z111" s="81"/>
      <c r="AA111" s="73"/>
      <c r="AB111" s="81"/>
      <c r="AC111" s="81"/>
      <c r="AD111" s="81"/>
    </row>
    <row r="112" spans="1:30" x14ac:dyDescent="0.25">
      <c r="A112" s="44" t="s">
        <v>21</v>
      </c>
      <c r="D112" s="44" t="str">
        <f>_xlfn.CONCAT(K112, U112)</f>
        <v>add more water if needed and set aside</v>
      </c>
      <c r="I112" s="48"/>
      <c r="L112" s="48"/>
      <c r="U112" s="48" t="s">
        <v>241</v>
      </c>
      <c r="W112" s="81"/>
      <c r="X112" s="81"/>
      <c r="Y112" s="81"/>
      <c r="Z112" s="81"/>
      <c r="AA112" s="73"/>
      <c r="AB112" s="81"/>
      <c r="AC112" s="81"/>
      <c r="AD112" s="81"/>
    </row>
    <row r="113" spans="1:30" x14ac:dyDescent="0.25">
      <c r="A113" s="110"/>
      <c r="B113" s="110"/>
      <c r="C113" s="110"/>
      <c r="D113" s="110"/>
      <c r="I113" s="48"/>
      <c r="L113" s="48"/>
      <c r="W113" s="81"/>
      <c r="X113" s="81"/>
      <c r="Y113" s="81"/>
      <c r="Z113" s="81"/>
      <c r="AA113" s="73"/>
      <c r="AB113" s="81"/>
      <c r="AC113" s="81"/>
      <c r="AD113" s="81"/>
    </row>
    <row r="114" spans="1:30" x14ac:dyDescent="0.25">
      <c r="A114" s="110" t="s">
        <v>252</v>
      </c>
      <c r="B114" s="110"/>
      <c r="C114" s="110"/>
      <c r="D114" s="110"/>
      <c r="I114" s="48"/>
      <c r="L114" s="48"/>
      <c r="W114" s="81"/>
      <c r="X114" s="81"/>
      <c r="Y114" s="81"/>
      <c r="Z114" s="81"/>
      <c r="AA114" s="73"/>
      <c r="AB114" s="81"/>
      <c r="AC114" s="81"/>
      <c r="AD114" s="81"/>
    </row>
    <row r="115" spans="1:30" x14ac:dyDescent="0.25">
      <c r="A115" s="44" t="s">
        <v>21</v>
      </c>
      <c r="B115" s="57">
        <f t="shared" si="108"/>
        <v>0.25</v>
      </c>
      <c r="C115" s="43" t="str">
        <f t="shared" si="109"/>
        <v>cup</v>
      </c>
      <c r="D115" s="44" t="str">
        <f>_xlfn.CONCAT(K115, U115)</f>
        <v>oil</v>
      </c>
      <c r="I115" s="67">
        <v>0.5</v>
      </c>
      <c r="J115" s="60" t="s">
        <v>16</v>
      </c>
      <c r="K115" s="60" t="s">
        <v>46</v>
      </c>
      <c r="L115" s="61" t="s">
        <v>16</v>
      </c>
      <c r="M115" s="51">
        <f t="shared" si="110"/>
        <v>0</v>
      </c>
      <c r="N115" s="51">
        <f t="shared" si="111"/>
        <v>0</v>
      </c>
      <c r="O115" s="51">
        <f t="shared" si="112"/>
        <v>0</v>
      </c>
      <c r="P115" s="51">
        <f t="shared" si="113"/>
        <v>0.11829411825</v>
      </c>
      <c r="Q115" s="51">
        <f>MROUND(IF(AND(J115 = "", L115 = ""), I115 * recipe08DayScale, IF(ISNA(CONVERT(O115, "kg", L115)), CONVERT(P115 * recipe08DayScale, "l", L115), CONVERT(O115 * recipe08DayScale, "kg", L115))), roundTo)</f>
        <v>0.25</v>
      </c>
      <c r="R115" s="52">
        <f>recipe08TotScale * IF(L115 = "", Q115 * M115, IF(ISNA(CONVERT(Q115, L115, "kg")), CONVERT(Q115, L115, "l") * IF(N115 &lt;&gt; 0, M115 / N115, 0), CONVERT(Q115, L115, "kg")))</f>
        <v>0</v>
      </c>
      <c r="S115" s="52">
        <f>recipe08TotScale * IF(R115 = 0, IF(L115 = "", Q115 * N115, IF(ISNA(CONVERT(Q115, L115, "l")), CONVERT(Q115, L115, "kg") * IF(M115 &lt;&gt; 0, N115 / M115, 0), CONVERT(Q115, L115, "l"))), 0)</f>
        <v>5.9147059124999998E-2</v>
      </c>
      <c r="T115" s="51">
        <f>recipe08TotScale * IF(AND(R115 = 0, S115 = 0, J115 = "", L115 = ""), Q115, 0)</f>
        <v>0</v>
      </c>
      <c r="V115" s="48" t="b">
        <f>INDEX(itemPrepMethods, MATCH(K115, itemNames, 0))="chop"</f>
        <v>0</v>
      </c>
      <c r="W115" s="62" t="str">
        <f>IF(V115, Q115, "")</f>
        <v/>
      </c>
      <c r="X115" s="63" t="str">
        <f>IF(V115, IF(L115 = "", "", L115), "")</f>
        <v/>
      </c>
      <c r="Y115" s="63" t="str">
        <f>IF(V115, K115, "")</f>
        <v/>
      </c>
      <c r="Z115" s="64"/>
      <c r="AA115" s="48" t="b">
        <f>INDEX(itemPrepMethods, MATCH(K115, itemNames, 0))="soak"</f>
        <v>0</v>
      </c>
      <c r="AB115" s="63" t="str">
        <f>IF(AA115, Q115, "")</f>
        <v/>
      </c>
      <c r="AC115" s="63" t="str">
        <f>IF(AA115, IF(L115 = "", "", L115), "")</f>
        <v/>
      </c>
      <c r="AD115" s="63" t="str">
        <f>IF(AA115, K115, "")</f>
        <v/>
      </c>
    </row>
    <row r="116" spans="1:30" x14ac:dyDescent="0.25">
      <c r="A116" s="110"/>
      <c r="B116" s="110"/>
      <c r="C116" s="110"/>
      <c r="D116" s="110"/>
      <c r="I116" s="48"/>
      <c r="L116" s="48"/>
      <c r="W116" s="81"/>
      <c r="X116" s="81"/>
      <c r="Y116" s="81"/>
      <c r="Z116" s="81"/>
      <c r="AA116" s="73"/>
      <c r="AB116" s="81"/>
      <c r="AC116" s="81"/>
      <c r="AD116" s="81"/>
    </row>
    <row r="117" spans="1:30" x14ac:dyDescent="0.25">
      <c r="A117" s="110" t="s">
        <v>290</v>
      </c>
      <c r="B117" s="110"/>
      <c r="C117" s="110"/>
      <c r="D117" s="110"/>
      <c r="I117" s="48"/>
      <c r="L117" s="48"/>
      <c r="W117" s="81"/>
      <c r="X117" s="81"/>
      <c r="Y117" s="81"/>
      <c r="Z117" s="81"/>
      <c r="AA117" s="73"/>
      <c r="AB117" s="81"/>
      <c r="AC117" s="81"/>
      <c r="AD117" s="81"/>
    </row>
    <row r="118" spans="1:30" x14ac:dyDescent="0.25">
      <c r="A118" s="44" t="s">
        <v>21</v>
      </c>
      <c r="B118" s="57">
        <f t="shared" si="108"/>
        <v>3.5</v>
      </c>
      <c r="C118" s="43" t="str">
        <f t="shared" si="109"/>
        <v>tbs</v>
      </c>
      <c r="D118" s="44" t="str">
        <f>_xlfn.CONCAT(K118, U118)</f>
        <v>cumin seeds</v>
      </c>
      <c r="I118" s="67">
        <v>7.5</v>
      </c>
      <c r="J118" s="60" t="s">
        <v>15</v>
      </c>
      <c r="K118" s="60" t="s">
        <v>52</v>
      </c>
      <c r="L118" s="61" t="s">
        <v>15</v>
      </c>
      <c r="M118" s="51">
        <f t="shared" si="110"/>
        <v>1.0999999999999999E-2</v>
      </c>
      <c r="N118" s="51">
        <f t="shared" si="111"/>
        <v>2.2180100000000001E-2</v>
      </c>
      <c r="O118" s="51">
        <f t="shared" si="112"/>
        <v>5.5000116972111261E-2</v>
      </c>
      <c r="P118" s="51">
        <f t="shared" si="113"/>
        <v>0.110900735859375</v>
      </c>
      <c r="Q118" s="51">
        <f>MROUND(IF(AND(J118 = "", L118 = ""), I118 * recipe08DayScale, IF(ISNA(CONVERT(O118, "kg", L118)), CONVERT(P118 * recipe08DayScale, "l", L118), CONVERT(O118 * recipe08DayScale, "kg", L118))), roundTo)</f>
        <v>3.5</v>
      </c>
      <c r="R118" s="52">
        <f>recipe08TotScale * IF(L118 = "", Q118 * M118, IF(ISNA(CONVERT(Q118, L118, "kg")), CONVERT(Q118, L118, "l") * IF(N118 &lt;&gt; 0, M118 / N118, 0), CONVERT(Q118, L118, "kg")))</f>
        <v>2.5666721253651919E-2</v>
      </c>
      <c r="S118" s="52">
        <f>recipe08TotScale * IF(R118 = 0, IF(L118 = "", Q118 * N118, IF(ISNA(CONVERT(Q118, L118, "l")), CONVERT(Q118, L118, "kg") * IF(M118 &lt;&gt; 0, N118 / M118, 0), CONVERT(Q118, L118, "l"))), 0)</f>
        <v>0</v>
      </c>
      <c r="T118" s="51">
        <f>recipe08TotScale * IF(AND(R118 = 0, S118 = 0, J118 = "", L118 = ""), Q118, 0)</f>
        <v>0</v>
      </c>
      <c r="V118" s="48" t="b">
        <f>INDEX(itemPrepMethods, MATCH(K118, itemNames, 0))="chop"</f>
        <v>0</v>
      </c>
      <c r="W118" s="62" t="str">
        <f>IF(V118, Q118, "")</f>
        <v/>
      </c>
      <c r="X118" s="63" t="str">
        <f>IF(V118, IF(L118 = "", "", L118), "")</f>
        <v/>
      </c>
      <c r="Y118" s="63" t="str">
        <f>IF(V118, K118, "")</f>
        <v/>
      </c>
      <c r="Z118" s="64"/>
      <c r="AA118" s="48" t="b">
        <f>INDEX(itemPrepMethods, MATCH(K118, itemNames, 0))="soak"</f>
        <v>0</v>
      </c>
      <c r="AB118" s="63" t="str">
        <f>IF(AA118, Q118, "")</f>
        <v/>
      </c>
      <c r="AC118" s="63" t="str">
        <f>IF(AA118, IF(L118 = "", "", L118), "")</f>
        <v/>
      </c>
      <c r="AD118" s="63" t="str">
        <f>IF(AA118, K118, "")</f>
        <v/>
      </c>
    </row>
    <row r="119" spans="1:30" x14ac:dyDescent="0.25">
      <c r="A119" s="44" t="s">
        <v>21</v>
      </c>
      <c r="B119" s="57">
        <f t="shared" si="108"/>
        <v>3.5</v>
      </c>
      <c r="C119" s="43" t="str">
        <f t="shared" si="109"/>
        <v>tbs</v>
      </c>
      <c r="D119" s="44" t="str">
        <f>_xlfn.CONCAT(K119, U119)</f>
        <v>black mustard seeds</v>
      </c>
      <c r="I119" s="67">
        <v>7.5</v>
      </c>
      <c r="J119" s="60" t="s">
        <v>15</v>
      </c>
      <c r="K119" s="60" t="s">
        <v>51</v>
      </c>
      <c r="L119" s="61" t="s">
        <v>15</v>
      </c>
      <c r="M119" s="51">
        <f t="shared" si="110"/>
        <v>1.6E-2</v>
      </c>
      <c r="N119" s="51">
        <f t="shared" si="111"/>
        <v>2.2180100000000001E-2</v>
      </c>
      <c r="O119" s="51">
        <f t="shared" si="112"/>
        <v>8.0000170141252741E-2</v>
      </c>
      <c r="P119" s="51">
        <f t="shared" si="113"/>
        <v>0.110900735859375</v>
      </c>
      <c r="Q119" s="51">
        <f>MROUND(IF(AND(J119 = "", L119 = ""), I119 * recipe08DayScale, IF(ISNA(CONVERT(O119, "kg", L119)), CONVERT(P119 * recipe08DayScale, "l", L119), CONVERT(O119 * recipe08DayScale, "kg", L119))), roundTo)</f>
        <v>3.5</v>
      </c>
      <c r="R119" s="52">
        <f>recipe08TotScale * IF(L119 = "", Q119 * M119, IF(ISNA(CONVERT(Q119, L119, "kg")), CONVERT(Q119, L119, "l") * IF(N119 &lt;&gt; 0, M119 / N119, 0), CONVERT(Q119, L119, "kg")))</f>
        <v>3.7333412732584614E-2</v>
      </c>
      <c r="S119" s="52">
        <f>recipe08TotScale * IF(R119 = 0, IF(L119 = "", Q119 * N119, IF(ISNA(CONVERT(Q119, L119, "l")), CONVERT(Q119, L119, "kg") * IF(M119 &lt;&gt; 0, N119 / M119, 0), CONVERT(Q119, L119, "l"))), 0)</f>
        <v>0</v>
      </c>
      <c r="T119" s="51">
        <f>recipe08TotScale * IF(AND(R119 = 0, S119 = 0, J119 = "", L119 = ""), Q119, 0)</f>
        <v>0</v>
      </c>
      <c r="V119" s="48" t="b">
        <f>INDEX(itemPrepMethods, MATCH(K119, itemNames, 0))="chop"</f>
        <v>0</v>
      </c>
      <c r="W119" s="62" t="str">
        <f>IF(V119, Q119, "")</f>
        <v/>
      </c>
      <c r="X119" s="63" t="str">
        <f>IF(V119, IF(L119 = "", "", L119), "")</f>
        <v/>
      </c>
      <c r="Y119" s="63" t="str">
        <f>IF(V119, K119, "")</f>
        <v/>
      </c>
      <c r="Z119" s="64"/>
      <c r="AA119" s="48" t="b">
        <f>INDEX(itemPrepMethods, MATCH(K119, itemNames, 0))="soak"</f>
        <v>0</v>
      </c>
      <c r="AB119" s="63" t="str">
        <f>IF(AA119, Q119, "")</f>
        <v/>
      </c>
      <c r="AC119" s="63" t="str">
        <f>IF(AA119, IF(L119 = "", "", L119), "")</f>
        <v/>
      </c>
      <c r="AD119" s="63" t="str">
        <f>IF(AA119, K119, "")</f>
        <v/>
      </c>
    </row>
    <row r="120" spans="1:30" x14ac:dyDescent="0.25">
      <c r="A120" s="110"/>
      <c r="B120" s="110"/>
      <c r="C120" s="110"/>
      <c r="D120" s="110"/>
      <c r="I120" s="48"/>
      <c r="L120" s="48"/>
      <c r="W120" s="81"/>
      <c r="X120" s="81"/>
      <c r="Y120" s="81"/>
      <c r="Z120" s="81"/>
      <c r="AA120" s="73"/>
      <c r="AB120" s="81"/>
      <c r="AC120" s="81"/>
      <c r="AD120" s="81"/>
    </row>
    <row r="121" spans="1:30" x14ac:dyDescent="0.25">
      <c r="A121" s="110" t="s">
        <v>242</v>
      </c>
      <c r="B121" s="110"/>
      <c r="C121" s="110"/>
      <c r="D121" s="110"/>
      <c r="I121" s="48"/>
      <c r="L121" s="48"/>
      <c r="W121" s="81"/>
      <c r="X121" s="81"/>
      <c r="Y121" s="81"/>
      <c r="Z121" s="81"/>
      <c r="AA121" s="73"/>
      <c r="AB121" s="81"/>
      <c r="AC121" s="81"/>
      <c r="AD121" s="81"/>
    </row>
    <row r="122" spans="1:30" x14ac:dyDescent="0.25">
      <c r="C122" s="44"/>
      <c r="I122" s="48"/>
      <c r="L122" s="48"/>
      <c r="W122" s="81"/>
      <c r="X122" s="81"/>
      <c r="Y122" s="81"/>
      <c r="Z122" s="81"/>
      <c r="AA122" s="73"/>
      <c r="AB122" s="81"/>
      <c r="AC122" s="81"/>
      <c r="AD122" s="81"/>
    </row>
    <row r="123" spans="1:30" x14ac:dyDescent="0.25">
      <c r="A123" s="110" t="s">
        <v>243</v>
      </c>
      <c r="B123" s="110"/>
      <c r="C123" s="110"/>
      <c r="D123" s="110"/>
      <c r="I123" s="48"/>
      <c r="L123" s="48"/>
      <c r="W123" s="81"/>
      <c r="X123" s="81"/>
      <c r="Y123" s="81"/>
      <c r="Z123" s="81"/>
      <c r="AA123" s="73"/>
      <c r="AB123" s="81"/>
      <c r="AC123" s="81"/>
      <c r="AD123" s="81"/>
    </row>
    <row r="124" spans="1:30" x14ac:dyDescent="0.25">
      <c r="A124" s="44" t="s">
        <v>21</v>
      </c>
      <c r="B124" s="57"/>
      <c r="C124" s="43" t="str">
        <f t="shared" si="109"/>
        <v/>
      </c>
      <c r="D124" s="44" t="str">
        <f>_xlfn.CONCAT(K124, U124)</f>
        <v>sprigs fresh corriander, if available</v>
      </c>
      <c r="I124" s="68"/>
      <c r="J124" s="65"/>
      <c r="K124" s="60" t="s">
        <v>90</v>
      </c>
      <c r="L124" s="65"/>
      <c r="M124" s="65"/>
      <c r="N124" s="65"/>
      <c r="O124" s="65"/>
      <c r="P124" s="65"/>
      <c r="U124" s="48" t="s">
        <v>244</v>
      </c>
      <c r="V124" s="48" t="b">
        <f>INDEX(itemPrepMethods, MATCH(K124, itemNames, 0))="chop"</f>
        <v>0</v>
      </c>
      <c r="W124" s="62" t="str">
        <f>IF(V124, Q124, "")</f>
        <v/>
      </c>
      <c r="X124" s="63" t="str">
        <f>IF(V124, IF(L124 = "", "", L124), "")</f>
        <v/>
      </c>
      <c r="Y124" s="63" t="str">
        <f>IF(V124, K124, "")</f>
        <v/>
      </c>
      <c r="Z124" s="64"/>
      <c r="AA124" s="48" t="b">
        <f>INDEX(itemPrepMethods, MATCH(K124, itemNames, 0))="soak"</f>
        <v>0</v>
      </c>
      <c r="AB124" s="63" t="str">
        <f>IF(AA124, Q124, "")</f>
        <v/>
      </c>
      <c r="AC124" s="63" t="str">
        <f>IF(AA124, IF(L124 = "", "", L124), "")</f>
        <v/>
      </c>
      <c r="AD124" s="63" t="str">
        <f>IF(AA124, K124, "")</f>
        <v/>
      </c>
    </row>
    <row r="125" spans="1:30" ht="15.75" x14ac:dyDescent="0.25">
      <c r="A125" s="111" t="s">
        <v>27</v>
      </c>
      <c r="B125" s="111"/>
      <c r="C125" s="111"/>
      <c r="D125" s="111"/>
      <c r="E125" s="47" t="s">
        <v>137</v>
      </c>
      <c r="F125" s="112" t="s">
        <v>88</v>
      </c>
      <c r="G125" s="112"/>
      <c r="H125" s="51"/>
    </row>
    <row r="126" spans="1:30" ht="24" x14ac:dyDescent="0.2">
      <c r="A126" s="111" t="s">
        <v>28</v>
      </c>
      <c r="B126" s="111"/>
      <c r="C126" s="111"/>
      <c r="D126" s="111"/>
      <c r="E126" s="46" t="s">
        <v>59</v>
      </c>
      <c r="F126" s="97">
        <v>21</v>
      </c>
      <c r="G126" s="51"/>
      <c r="H126" s="51"/>
      <c r="I126" s="76" t="s">
        <v>57</v>
      </c>
      <c r="J126" s="77" t="s">
        <v>58</v>
      </c>
      <c r="K126" s="77" t="s">
        <v>17</v>
      </c>
      <c r="L126" s="78" t="s">
        <v>56</v>
      </c>
      <c r="M126" s="76" t="s">
        <v>151</v>
      </c>
      <c r="N126" s="76" t="s">
        <v>152</v>
      </c>
      <c r="O126" s="76" t="s">
        <v>153</v>
      </c>
      <c r="P126" s="76" t="s">
        <v>154</v>
      </c>
      <c r="Q126" s="77" t="s">
        <v>374</v>
      </c>
      <c r="R126" s="79" t="s">
        <v>375</v>
      </c>
      <c r="S126" s="79" t="s">
        <v>376</v>
      </c>
      <c r="T126" s="76" t="s">
        <v>377</v>
      </c>
      <c r="U126" s="77" t="s">
        <v>22</v>
      </c>
      <c r="V126" s="77" t="s">
        <v>218</v>
      </c>
      <c r="W126" s="80" t="s">
        <v>374</v>
      </c>
      <c r="X126" s="77" t="s">
        <v>216</v>
      </c>
      <c r="Y126" s="77" t="s">
        <v>217</v>
      </c>
      <c r="Z126" s="77" t="s">
        <v>321</v>
      </c>
      <c r="AA126" s="77" t="s">
        <v>219</v>
      </c>
      <c r="AB126" s="80" t="s">
        <v>374</v>
      </c>
      <c r="AC126" s="77" t="s">
        <v>220</v>
      </c>
      <c r="AD126" s="77" t="s">
        <v>221</v>
      </c>
    </row>
    <row r="127" spans="1:30" ht="15.75" thickBot="1" x14ac:dyDescent="0.3">
      <c r="A127" s="110"/>
      <c r="B127" s="110"/>
      <c r="C127" s="110"/>
      <c r="D127" s="110"/>
      <c r="E127" s="72" t="s">
        <v>369</v>
      </c>
      <c r="F127" s="97">
        <f>suDiCount</f>
        <v>10</v>
      </c>
      <c r="G127" s="51"/>
      <c r="I127" s="48"/>
      <c r="L127" s="48"/>
      <c r="W127" s="73"/>
      <c r="X127" s="73"/>
      <c r="Y127" s="73"/>
      <c r="Z127" s="73"/>
      <c r="AA127" s="73"/>
      <c r="AB127" s="73"/>
      <c r="AC127" s="73"/>
      <c r="AD127" s="73"/>
    </row>
    <row r="128" spans="1:30" ht="15.75" thickBot="1" x14ac:dyDescent="0.3">
      <c r="A128" s="110" t="s">
        <v>245</v>
      </c>
      <c r="B128" s="110"/>
      <c r="C128" s="110"/>
      <c r="D128" s="110"/>
      <c r="E128" s="72" t="s">
        <v>372</v>
      </c>
      <c r="F128" s="55">
        <f>F127/F126</f>
        <v>0.47619047619047616</v>
      </c>
      <c r="G128" s="56" t="s">
        <v>386</v>
      </c>
      <c r="I128" s="48"/>
      <c r="L128" s="48"/>
      <c r="W128" s="73"/>
      <c r="X128" s="73"/>
      <c r="Y128" s="73"/>
      <c r="Z128" s="73"/>
      <c r="AA128" s="73"/>
      <c r="AB128" s="73"/>
      <c r="AC128" s="73"/>
      <c r="AD128" s="73"/>
    </row>
    <row r="129" spans="1:30" x14ac:dyDescent="0.25">
      <c r="A129" s="44" t="s">
        <v>21</v>
      </c>
      <c r="B129" s="57">
        <f t="shared" ref="B129:B138" si="114">Q129</f>
        <v>0.5</v>
      </c>
      <c r="C129" s="43" t="str">
        <f t="shared" ref="C129:C141" si="115">IF(L129="","",L129)</f>
        <v>cup</v>
      </c>
      <c r="D129" s="44" t="str">
        <f>_xlfn.CONCAT(K129, U129)</f>
        <v>oil</v>
      </c>
      <c r="E129" s="73"/>
      <c r="F129" s="73"/>
      <c r="G129" s="73"/>
      <c r="I129" s="59">
        <v>1.25</v>
      </c>
      <c r="J129" s="60" t="s">
        <v>16</v>
      </c>
      <c r="K129" s="60" t="s">
        <v>46</v>
      </c>
      <c r="L129" s="61" t="s">
        <v>16</v>
      </c>
      <c r="M129" s="51">
        <f t="shared" ref="M129:M138" si="116">INDEX(itemGPerQty, MATCH(K129, itemNames, 0))</f>
        <v>0</v>
      </c>
      <c r="N129" s="51">
        <f t="shared" ref="N129:N138" si="117">INDEX(itemMlPerQty, MATCH(K129, itemNames, 0))</f>
        <v>0</v>
      </c>
      <c r="O129" s="51">
        <f t="shared" ref="O129:O138" si="118">IF(J129 = "", I129 * M129, IF(ISNA(CONVERT(I129, J129, "kg")), CONVERT(I129, J129, "l") * IF(N129 &lt;&gt; 0, M129 / N129, 0), CONVERT(I129, J129, "kg")))</f>
        <v>0</v>
      </c>
      <c r="P129" s="51">
        <f t="shared" ref="P129:P138" si="119">IF(J129 = "", I129 * N129, IF(ISNA(CONVERT(I129, J129, "l")), CONVERT(I129, J129, "kg") * IF(M129 &lt;&gt; 0, N129 / M129, 0), CONVERT(I129, J129, "l")))</f>
        <v>0.29573529562500001</v>
      </c>
      <c r="Q129" s="51">
        <f>MROUND(IF(AND(J129 = "", L129 = ""), I129 * recipe03DayScale, IF(ISNA(CONVERT(O129, "kg", L129)), CONVERT(P129 * recipe03DayScale, "l", L129), CONVERT(O129 * recipe03DayScale, "kg", L129))), roundTo)</f>
        <v>0.5</v>
      </c>
      <c r="R129" s="52">
        <f>recipe03TotScale * IF(L129 = "", Q129 * M129, IF(ISNA(CONVERT(Q129, L129, "kg")), CONVERT(Q129, L129, "l") * IF(N129 &lt;&gt; 0, M129 / N129, 0), CONVERT(Q129, L129, "kg")))</f>
        <v>0</v>
      </c>
      <c r="S129" s="52">
        <f>recipe03TotScale * IF(R129 = 0, IF(L129 = "", Q129 * N129, IF(ISNA(CONVERT(Q129, L129, "l")), CONVERT(Q129, L129, "kg") * IF(M129 &lt;&gt; 0, N129 / M129, 0), CONVERT(Q129, L129, "l"))), 0)</f>
        <v>0.11829411825</v>
      </c>
      <c r="T129" s="51">
        <f>recipe03TotScale * IF(AND(R129 = 0, S129 = 0, J129 = "", L129 = ""), Q129, 0)</f>
        <v>0</v>
      </c>
      <c r="V129" s="48" t="b">
        <f>INDEX(itemPrepMethods, MATCH(K129, itemNames, 0))="chop"</f>
        <v>0</v>
      </c>
      <c r="W129" s="62" t="str">
        <f>IF(V129, Q129, "")</f>
        <v/>
      </c>
      <c r="X129" s="63" t="str">
        <f>IF(V129, IF(L129 = "", "", L129), "")</f>
        <v/>
      </c>
      <c r="Y129" s="63" t="str">
        <f>IF(V129, K129, "")</f>
        <v/>
      </c>
      <c r="Z129" s="64"/>
      <c r="AA129" s="48" t="b">
        <f>INDEX(itemPrepMethods, MATCH(K129, itemNames, 0))="soak"</f>
        <v>0</v>
      </c>
      <c r="AB129" s="63" t="str">
        <f>IF(AA129, Q129, "")</f>
        <v/>
      </c>
      <c r="AC129" s="63" t="str">
        <f>IF(AA129, IF(L129 = "", "", L129), "")</f>
        <v/>
      </c>
      <c r="AD129" s="63" t="str">
        <f>IF(AA129, K129, "")</f>
        <v/>
      </c>
    </row>
    <row r="130" spans="1:30" ht="15.75" thickBot="1" x14ac:dyDescent="0.3">
      <c r="A130" s="44" t="s">
        <v>21</v>
      </c>
      <c r="B130" s="57">
        <f t="shared" si="114"/>
        <v>7.25</v>
      </c>
      <c r="C130" s="43" t="str">
        <f t="shared" si="115"/>
        <v/>
      </c>
      <c r="D130" s="44" t="str">
        <f>_xlfn.CONCAT(K130, U130)</f>
        <v>diced carrots</v>
      </c>
      <c r="E130" s="72" t="s">
        <v>348</v>
      </c>
      <c r="F130" s="97">
        <f>suDiCount</f>
        <v>10</v>
      </c>
      <c r="G130" s="73"/>
      <c r="I130" s="59">
        <v>15</v>
      </c>
      <c r="J130" s="60"/>
      <c r="K130" s="60" t="s">
        <v>104</v>
      </c>
      <c r="L130" s="61"/>
      <c r="M130" s="51">
        <f t="shared" si="116"/>
        <v>0</v>
      </c>
      <c r="N130" s="51">
        <f t="shared" si="117"/>
        <v>0</v>
      </c>
      <c r="O130" s="51">
        <f t="shared" si="118"/>
        <v>0</v>
      </c>
      <c r="P130" s="51">
        <f t="shared" si="119"/>
        <v>0</v>
      </c>
      <c r="Q130" s="51">
        <f>MROUND(IF(AND(J130 = "", L130 = ""), I130 * recipe03DayScale, IF(ISNA(CONVERT(O130, "kg", L130)), CONVERT(P130 * recipe03DayScale, "l", L130), CONVERT(O130 * recipe03DayScale, "kg", L130))), roundTo)</f>
        <v>7.25</v>
      </c>
      <c r="R130" s="52">
        <f>recipe03TotScale * IF(L130 = "", Q130 * M130, IF(ISNA(CONVERT(Q130, L130, "kg")), CONVERT(Q130, L130, "l") * IF(N130 &lt;&gt; 0, M130 / N130, 0), CONVERT(Q130, L130, "kg")))</f>
        <v>0</v>
      </c>
      <c r="S130" s="52">
        <f>recipe03TotScale * IF(R130 = 0, IF(L130 = "", Q130 * N130, IF(ISNA(CONVERT(Q130, L130, "l")), CONVERT(Q130, L130, "kg") * IF(M130 &lt;&gt; 0, N130 / M130, 0), CONVERT(Q130, L130, "l"))), 0)</f>
        <v>0</v>
      </c>
      <c r="T130" s="51">
        <f>recipe03TotScale * IF(AND(R130 = 0, S130 = 0, J130 = "", L130 = ""), Q130, 0)</f>
        <v>7.25</v>
      </c>
      <c r="V130" s="48" t="b">
        <f>INDEX(itemPrepMethods, MATCH(K130, itemNames, 0))="chop"</f>
        <v>1</v>
      </c>
      <c r="W130" s="62">
        <f>IF(V130, Q130, "")</f>
        <v>7.25</v>
      </c>
      <c r="X130" s="63" t="str">
        <f>IF(V130, IF(L130 = "", "", L130), "")</f>
        <v/>
      </c>
      <c r="Y130" s="63" t="str">
        <f>IF(V130, K130, "")</f>
        <v>diced carrots</v>
      </c>
      <c r="Z130" s="64"/>
      <c r="AA130" s="48" t="b">
        <f>INDEX(itemPrepMethods, MATCH(K130, itemNames, 0))="soak"</f>
        <v>0</v>
      </c>
      <c r="AB130" s="63" t="str">
        <f>IF(AA130, Q130, "")</f>
        <v/>
      </c>
      <c r="AC130" s="63" t="str">
        <f>IF(AA130, IF(L130 = "", "", L130), "")</f>
        <v/>
      </c>
      <c r="AD130" s="63" t="str">
        <f>IF(AA130, K130, "")</f>
        <v/>
      </c>
    </row>
    <row r="131" spans="1:30" ht="15.75" thickBot="1" x14ac:dyDescent="0.3">
      <c r="A131" s="44" t="s">
        <v>21</v>
      </c>
      <c r="B131" s="57">
        <f t="shared" si="114"/>
        <v>2.75</v>
      </c>
      <c r="C131" s="43" t="str">
        <f t="shared" si="115"/>
        <v/>
      </c>
      <c r="D131" s="44" t="str">
        <f>_xlfn.CONCAT(K131, U131)</f>
        <v>diced celery stalks</v>
      </c>
      <c r="E131" s="72" t="s">
        <v>373</v>
      </c>
      <c r="F131" s="55">
        <f>F130/F127</f>
        <v>1</v>
      </c>
      <c r="G131" s="56" t="s">
        <v>387</v>
      </c>
      <c r="I131" s="59">
        <v>6</v>
      </c>
      <c r="J131" s="60"/>
      <c r="K131" s="60" t="s">
        <v>105</v>
      </c>
      <c r="L131" s="61"/>
      <c r="M131" s="51">
        <f t="shared" si="116"/>
        <v>0</v>
      </c>
      <c r="N131" s="51">
        <f t="shared" si="117"/>
        <v>0</v>
      </c>
      <c r="O131" s="51">
        <f t="shared" si="118"/>
        <v>0</v>
      </c>
      <c r="P131" s="51">
        <f t="shared" si="119"/>
        <v>0</v>
      </c>
      <c r="Q131" s="51">
        <f>MROUND(IF(AND(J131 = "", L131 = ""), I131 * recipe03DayScale, IF(ISNA(CONVERT(O131, "kg", L131)), CONVERT(P131 * recipe03DayScale, "l", L131), CONVERT(O131 * recipe03DayScale, "kg", L131))), roundTo)</f>
        <v>2.75</v>
      </c>
      <c r="R131" s="52">
        <f>recipe03TotScale * IF(L131 = "", Q131 * M131, IF(ISNA(CONVERT(Q131, L131, "kg")), CONVERT(Q131, L131, "l") * IF(N131 &lt;&gt; 0, M131 / N131, 0), CONVERT(Q131, L131, "kg")))</f>
        <v>0</v>
      </c>
      <c r="S131" s="52">
        <f>recipe03TotScale * IF(R131 = 0, IF(L131 = "", Q131 * N131, IF(ISNA(CONVERT(Q131, L131, "l")), CONVERT(Q131, L131, "kg") * IF(M131 &lt;&gt; 0, N131 / M131, 0), CONVERT(Q131, L131, "l"))), 0)</f>
        <v>0</v>
      </c>
      <c r="T131" s="51">
        <f>recipe03TotScale * IF(AND(R131 = 0, S131 = 0, J131 = "", L131 = ""), Q131, 0)</f>
        <v>2.75</v>
      </c>
      <c r="V131" s="48" t="b">
        <f>INDEX(itemPrepMethods, MATCH(K131, itemNames, 0))="chop"</f>
        <v>1</v>
      </c>
      <c r="W131" s="62">
        <f>IF(V131, Q131, "")</f>
        <v>2.75</v>
      </c>
      <c r="X131" s="63" t="str">
        <f>IF(V131, IF(L131 = "", "", L131), "")</f>
        <v/>
      </c>
      <c r="Y131" s="63" t="str">
        <f>IF(V131, K131, "")</f>
        <v>diced celery stalks</v>
      </c>
      <c r="Z131" s="64"/>
      <c r="AA131" s="48" t="b">
        <f>INDEX(itemPrepMethods, MATCH(K131, itemNames, 0))="soak"</f>
        <v>0</v>
      </c>
      <c r="AB131" s="63" t="str">
        <f>IF(AA131, Q131, "")</f>
        <v/>
      </c>
      <c r="AC131" s="63" t="str">
        <f>IF(AA131, IF(L131 = "", "", L131), "")</f>
        <v/>
      </c>
      <c r="AD131" s="63" t="str">
        <f>IF(AA131, K131, "")</f>
        <v/>
      </c>
    </row>
    <row r="132" spans="1:30" x14ac:dyDescent="0.25">
      <c r="A132" s="110"/>
      <c r="B132" s="110"/>
      <c r="C132" s="110"/>
      <c r="D132" s="110"/>
      <c r="I132" s="48"/>
      <c r="L132" s="48"/>
      <c r="W132" s="81"/>
      <c r="X132" s="81"/>
      <c r="Y132" s="81"/>
      <c r="Z132" s="81"/>
      <c r="AA132" s="73"/>
      <c r="AB132" s="81"/>
      <c r="AC132" s="81"/>
      <c r="AD132" s="81"/>
    </row>
    <row r="133" spans="1:30" x14ac:dyDescent="0.25">
      <c r="A133" s="110" t="s">
        <v>127</v>
      </c>
      <c r="B133" s="110"/>
      <c r="C133" s="110"/>
      <c r="D133" s="110"/>
      <c r="I133" s="48"/>
      <c r="L133" s="48"/>
      <c r="W133" s="81"/>
      <c r="X133" s="81"/>
      <c r="Y133" s="81"/>
      <c r="Z133" s="81"/>
      <c r="AA133" s="73"/>
      <c r="AB133" s="81"/>
      <c r="AC133" s="81"/>
      <c r="AD133" s="81"/>
    </row>
    <row r="134" spans="1:30" x14ac:dyDescent="0.25">
      <c r="A134" s="44" t="s">
        <v>21</v>
      </c>
      <c r="B134" s="57">
        <f>Q134</f>
        <v>2.5</v>
      </c>
      <c r="C134" s="43" t="str">
        <f>IF(L134="","",L134)</f>
        <v/>
      </c>
      <c r="D134" s="44" t="str">
        <f>_xlfn.CONCAT(K134, U134)</f>
        <v>tins chopped tomatoes</v>
      </c>
      <c r="I134" s="59">
        <v>5</v>
      </c>
      <c r="J134" s="60"/>
      <c r="K134" s="60" t="s">
        <v>47</v>
      </c>
      <c r="L134" s="61"/>
      <c r="M134" s="51">
        <f>INDEX(itemGPerQty, MATCH(K134, itemNames, 0))</f>
        <v>0</v>
      </c>
      <c r="N134" s="51">
        <f>INDEX(itemMlPerQty, MATCH(K134, itemNames, 0))</f>
        <v>0</v>
      </c>
      <c r="O134" s="51">
        <f>IF(J134 = "", I134 * M134, IF(ISNA(CONVERT(I134, J134, "kg")), CONVERT(I134, J134, "l") * IF(N134 &lt;&gt; 0, M134 / N134, 0), CONVERT(I134, J134, "kg")))</f>
        <v>0</v>
      </c>
      <c r="P134" s="51">
        <f>IF(J134 = "", I134 * N134, IF(ISNA(CONVERT(I134, J134, "l")), CONVERT(I134, J134, "kg") * IF(M134 &lt;&gt; 0, N134 / M134, 0), CONVERT(I134, J134, "l")))</f>
        <v>0</v>
      </c>
      <c r="Q134" s="51">
        <f>MROUND(IF(AND(J134 = "", L134 = ""), I134 * recipe03DayScale, IF(ISNA(CONVERT(O134, "kg", L134)), CONVERT(P134 * recipe03DayScale, "l", L134), CONVERT(O134 * recipe03DayScale, "kg", L134))), roundTo)</f>
        <v>2.5</v>
      </c>
      <c r="R134" s="52">
        <f>recipe03TotScale * IF(L134 = "", Q134 * M134, IF(ISNA(CONVERT(Q134, L134, "kg")), CONVERT(Q134, L134, "l") * IF(N134 &lt;&gt; 0, M134 / N134, 0), CONVERT(Q134, L134, "kg")))</f>
        <v>0</v>
      </c>
      <c r="S134" s="52">
        <f>recipe03TotScale * IF(R134 = 0, IF(L134 = "", Q134 * N134, IF(ISNA(CONVERT(Q134, L134, "l")), CONVERT(Q134, L134, "kg") * IF(M134 &lt;&gt; 0, N134 / M134, 0), CONVERT(Q134, L134, "l"))), 0)</f>
        <v>0</v>
      </c>
      <c r="T134" s="51">
        <f>recipe03TotScale * IF(AND(R134 = 0, S134 = 0, J134 = "", L134 = ""), Q134, 0)</f>
        <v>2.5</v>
      </c>
      <c r="V134" s="48" t="b">
        <f>INDEX(itemPrepMethods, MATCH(K134, itemNames, 0))="chop"</f>
        <v>0</v>
      </c>
      <c r="W134" s="62" t="str">
        <f>IF(V134, Q134, "")</f>
        <v/>
      </c>
      <c r="X134" s="63" t="str">
        <f>IF(V134, IF(L134 = "", "", L134), "")</f>
        <v/>
      </c>
      <c r="Y134" s="63" t="str">
        <f>IF(V134, K134, "")</f>
        <v/>
      </c>
      <c r="Z134" s="64"/>
      <c r="AA134" s="48" t="b">
        <f>INDEX(itemPrepMethods, MATCH(K134, itemNames, 0))="soak"</f>
        <v>0</v>
      </c>
      <c r="AB134" s="63" t="str">
        <f>IF(AA134, Q134, "")</f>
        <v/>
      </c>
      <c r="AC134" s="63" t="str">
        <f>IF(AA134, IF(L134 = "", "", L134), "")</f>
        <v/>
      </c>
      <c r="AD134" s="63" t="str">
        <f>IF(AA134, K134, "")</f>
        <v/>
      </c>
    </row>
    <row r="135" spans="1:30" x14ac:dyDescent="0.25">
      <c r="A135" s="44" t="s">
        <v>21</v>
      </c>
      <c r="B135" s="57">
        <f>Q135</f>
        <v>10</v>
      </c>
      <c r="C135" s="43" t="str">
        <f>IF(L135="","",L135)</f>
        <v>cup</v>
      </c>
      <c r="D135" s="44" t="str">
        <f>_xlfn.CONCAT(K135, U135)</f>
        <v>vegetable stock</v>
      </c>
      <c r="I135" s="59">
        <v>5</v>
      </c>
      <c r="J135" s="60" t="s">
        <v>60</v>
      </c>
      <c r="K135" s="60" t="s">
        <v>61</v>
      </c>
      <c r="L135" s="61" t="s">
        <v>16</v>
      </c>
      <c r="M135" s="51">
        <f>INDEX(itemGPerQty, MATCH(K135, itemNames, 0))</f>
        <v>0</v>
      </c>
      <c r="N135" s="51">
        <f>INDEX(itemMlPerQty, MATCH(K135, itemNames, 0))</f>
        <v>0</v>
      </c>
      <c r="O135" s="51">
        <f>IF(J135 = "", I135 * M135, IF(ISNA(CONVERT(I135, J135, "kg")), CONVERT(I135, J135, "l") * IF(N135 &lt;&gt; 0, M135 / N135, 0), CONVERT(I135, J135, "kg")))</f>
        <v>0</v>
      </c>
      <c r="P135" s="51">
        <f>IF(J135 = "", I135 * N135, IF(ISNA(CONVERT(I135, J135, "l")), CONVERT(I135, J135, "kg") * IF(M135 &lt;&gt; 0, N135 / M135, 0), CONVERT(I135, J135, "l")))</f>
        <v>5</v>
      </c>
      <c r="Q135" s="51">
        <f>MROUND(IF(AND(J135 = "", L135 = ""), I135 * recipe03DayScale, IF(ISNA(CONVERT(O135, "kg", L135)), CONVERT(P135 * recipe03DayScale, "l", L135), CONVERT(O135 * recipe03DayScale, "kg", L135))), roundTo)</f>
        <v>10</v>
      </c>
      <c r="R135" s="52">
        <f>recipe03TotScale * IF(L135 = "", Q135 * M135, IF(ISNA(CONVERT(Q135, L135, "kg")), CONVERT(Q135, L135, "l") * IF(N135 &lt;&gt; 0, M135 / N135, 0), CONVERT(Q135, L135, "kg")))</f>
        <v>0</v>
      </c>
      <c r="S135" s="52">
        <f>recipe03TotScale * IF(R135 = 0, IF(L135 = "", Q135 * N135, IF(ISNA(CONVERT(Q135, L135, "l")), CONVERT(Q135, L135, "kg") * IF(M135 &lt;&gt; 0, N135 / M135, 0), CONVERT(Q135, L135, "l"))), 0)</f>
        <v>2.365882365</v>
      </c>
      <c r="T135" s="51">
        <f>recipe03TotScale * IF(AND(R135 = 0, S135 = 0, J135 = "", L135 = ""), Q135, 0)</f>
        <v>0</v>
      </c>
      <c r="V135" s="48" t="b">
        <f>INDEX(itemPrepMethods, MATCH(K135, itemNames, 0))="chop"</f>
        <v>0</v>
      </c>
      <c r="W135" s="62" t="str">
        <f>IF(V135, Q135, "")</f>
        <v/>
      </c>
      <c r="X135" s="63" t="str">
        <f>IF(V135, IF(L135 = "", "", L135), "")</f>
        <v/>
      </c>
      <c r="Y135" s="63" t="str">
        <f>IF(V135, K135, "")</f>
        <v/>
      </c>
      <c r="Z135" s="64"/>
      <c r="AA135" s="48" t="b">
        <f>INDEX(itemPrepMethods, MATCH(K135, itemNames, 0))="soak"</f>
        <v>0</v>
      </c>
      <c r="AB135" s="63" t="str">
        <f>IF(AA135, Q135, "")</f>
        <v/>
      </c>
      <c r="AC135" s="63" t="str">
        <f>IF(AA135, IF(L135 = "", "", L135), "")</f>
        <v/>
      </c>
      <c r="AD135" s="63" t="str">
        <f>IF(AA135, K135, "")</f>
        <v/>
      </c>
    </row>
    <row r="136" spans="1:30" x14ac:dyDescent="0.25">
      <c r="A136" s="44" t="s">
        <v>21</v>
      </c>
      <c r="B136" s="57">
        <f t="shared" si="114"/>
        <v>2.5</v>
      </c>
      <c r="C136" s="43" t="str">
        <f t="shared" si="115"/>
        <v/>
      </c>
      <c r="D136" s="44" t="str">
        <f>_xlfn.CONCAT(K136, U136)</f>
        <v>sprigs fresh rosemary</v>
      </c>
      <c r="I136" s="59">
        <v>5</v>
      </c>
      <c r="J136" s="60"/>
      <c r="K136" s="60" t="s">
        <v>91</v>
      </c>
      <c r="L136" s="61"/>
      <c r="M136" s="51">
        <f t="shared" si="116"/>
        <v>0</v>
      </c>
      <c r="N136" s="51">
        <f t="shared" si="117"/>
        <v>0</v>
      </c>
      <c r="O136" s="51">
        <f t="shared" si="118"/>
        <v>0</v>
      </c>
      <c r="P136" s="51">
        <f t="shared" si="119"/>
        <v>0</v>
      </c>
      <c r="Q136" s="51">
        <f>MROUND(IF(AND(J136 = "", L136 = ""), I136 * recipe03DayScale, IF(ISNA(CONVERT(O136, "kg", L136)), CONVERT(P136 * recipe03DayScale, "l", L136), CONVERT(O136 * recipe03DayScale, "kg", L136))), roundTo)</f>
        <v>2.5</v>
      </c>
      <c r="R136" s="52">
        <f>recipe03TotScale * IF(L136 = "", Q136 * M136, IF(ISNA(CONVERT(Q136, L136, "kg")), CONVERT(Q136, L136, "l") * IF(N136 &lt;&gt; 0, M136 / N136, 0), CONVERT(Q136, L136, "kg")))</f>
        <v>0</v>
      </c>
      <c r="S136" s="52">
        <f>recipe03TotScale * IF(R136 = 0, IF(L136 = "", Q136 * N136, IF(ISNA(CONVERT(Q136, L136, "l")), CONVERT(Q136, L136, "kg") * IF(M136 &lt;&gt; 0, N136 / M136, 0), CONVERT(Q136, L136, "l"))), 0)</f>
        <v>0</v>
      </c>
      <c r="T136" s="51">
        <f>recipe03TotScale * IF(AND(R136 = 0, S136 = 0, J136 = "", L136 = ""), Q136, 0)</f>
        <v>2.5</v>
      </c>
      <c r="V136" s="48" t="b">
        <f>INDEX(itemPrepMethods, MATCH(K136, itemNames, 0))="chop"</f>
        <v>0</v>
      </c>
      <c r="W136" s="62" t="str">
        <f>IF(V136, Q136, "")</f>
        <v/>
      </c>
      <c r="X136" s="63" t="str">
        <f>IF(V136, IF(L136 = "", "", L136), "")</f>
        <v/>
      </c>
      <c r="Y136" s="63" t="str">
        <f>IF(V136, K136, "")</f>
        <v/>
      </c>
      <c r="Z136" s="64"/>
      <c r="AA136" s="48" t="b">
        <f>INDEX(itemPrepMethods, MATCH(K136, itemNames, 0))="soak"</f>
        <v>0</v>
      </c>
      <c r="AB136" s="63" t="str">
        <f>IF(AA136, Q136, "")</f>
        <v/>
      </c>
      <c r="AC136" s="63" t="str">
        <f>IF(AA136, IF(L136 = "", "", L136), "")</f>
        <v/>
      </c>
      <c r="AD136" s="63" t="str">
        <f>IF(AA136, K136, "")</f>
        <v/>
      </c>
    </row>
    <row r="137" spans="1:30" x14ac:dyDescent="0.25">
      <c r="A137" s="44" t="s">
        <v>21</v>
      </c>
      <c r="B137" s="57">
        <f t="shared" si="114"/>
        <v>2.5</v>
      </c>
      <c r="C137" s="43" t="str">
        <f t="shared" si="115"/>
        <v/>
      </c>
      <c r="D137" s="44" t="str">
        <f>_xlfn.CONCAT(K137, U137)</f>
        <v>sprigs fresh thyme</v>
      </c>
      <c r="I137" s="59">
        <v>5</v>
      </c>
      <c r="J137" s="60"/>
      <c r="K137" s="60" t="s">
        <v>92</v>
      </c>
      <c r="L137" s="61"/>
      <c r="M137" s="51">
        <f t="shared" si="116"/>
        <v>0</v>
      </c>
      <c r="N137" s="51">
        <f t="shared" si="117"/>
        <v>0</v>
      </c>
      <c r="O137" s="51">
        <f t="shared" si="118"/>
        <v>0</v>
      </c>
      <c r="P137" s="51">
        <f t="shared" si="119"/>
        <v>0</v>
      </c>
      <c r="Q137" s="51">
        <f>MROUND(IF(AND(J137 = "", L137 = ""), I137 * recipe03DayScale, IF(ISNA(CONVERT(O137, "kg", L137)), CONVERT(P137 * recipe03DayScale, "l", L137), CONVERT(O137 * recipe03DayScale, "kg", L137))), roundTo)</f>
        <v>2.5</v>
      </c>
      <c r="R137" s="52">
        <f>recipe03TotScale * IF(L137 = "", Q137 * M137, IF(ISNA(CONVERT(Q137, L137, "kg")), CONVERT(Q137, L137, "l") * IF(N137 &lt;&gt; 0, M137 / N137, 0), CONVERT(Q137, L137, "kg")))</f>
        <v>0</v>
      </c>
      <c r="S137" s="52">
        <f>recipe03TotScale * IF(R137 = 0, IF(L137 = "", Q137 * N137, IF(ISNA(CONVERT(Q137, L137, "l")), CONVERT(Q137, L137, "kg") * IF(M137 &lt;&gt; 0, N137 / M137, 0), CONVERT(Q137, L137, "l"))), 0)</f>
        <v>0</v>
      </c>
      <c r="T137" s="51">
        <f>recipe03TotScale * IF(AND(R137 = 0, S137 = 0, J137 = "", L137 = ""), Q137, 0)</f>
        <v>2.5</v>
      </c>
      <c r="V137" s="48" t="b">
        <f>INDEX(itemPrepMethods, MATCH(K137, itemNames, 0))="chop"</f>
        <v>0</v>
      </c>
      <c r="W137" s="62" t="str">
        <f>IF(V137, Q137, "")</f>
        <v/>
      </c>
      <c r="X137" s="63" t="str">
        <f>IF(V137, IF(L137 = "", "", L137), "")</f>
        <v/>
      </c>
      <c r="Y137" s="63" t="str">
        <f>IF(V137, K137, "")</f>
        <v/>
      </c>
      <c r="Z137" s="64"/>
      <c r="AA137" s="48" t="b">
        <f>INDEX(itemPrepMethods, MATCH(K137, itemNames, 0))="soak"</f>
        <v>0</v>
      </c>
      <c r="AB137" s="63" t="str">
        <f>IF(AA137, Q137, "")</f>
        <v/>
      </c>
      <c r="AC137" s="63" t="str">
        <f>IF(AA137, IF(L137 = "", "", L137), "")</f>
        <v/>
      </c>
      <c r="AD137" s="63" t="str">
        <f>IF(AA137, K137, "")</f>
        <v/>
      </c>
    </row>
    <row r="138" spans="1:30" x14ac:dyDescent="0.25">
      <c r="A138" s="44" t="s">
        <v>21</v>
      </c>
      <c r="B138" s="57">
        <f t="shared" si="114"/>
        <v>2.5</v>
      </c>
      <c r="C138" s="43" t="str">
        <f t="shared" si="115"/>
        <v/>
      </c>
      <c r="D138" s="44" t="str">
        <f>_xlfn.CONCAT(K138, U138)</f>
        <v>bay leaves</v>
      </c>
      <c r="I138" s="59">
        <v>5</v>
      </c>
      <c r="J138" s="60"/>
      <c r="K138" s="60" t="s">
        <v>93</v>
      </c>
      <c r="L138" s="61"/>
      <c r="M138" s="51">
        <f t="shared" si="116"/>
        <v>0</v>
      </c>
      <c r="N138" s="51">
        <f t="shared" si="117"/>
        <v>0</v>
      </c>
      <c r="O138" s="51">
        <f t="shared" si="118"/>
        <v>0</v>
      </c>
      <c r="P138" s="51">
        <f t="shared" si="119"/>
        <v>0</v>
      </c>
      <c r="Q138" s="51">
        <f>MROUND(IF(AND(J138 = "", L138 = ""), I138 * recipe03DayScale, IF(ISNA(CONVERT(O138, "kg", L138)), CONVERT(P138 * recipe03DayScale, "l", L138), CONVERT(O138 * recipe03DayScale, "kg", L138))), roundTo)</f>
        <v>2.5</v>
      </c>
      <c r="R138" s="52">
        <f>recipe03TotScale * IF(L138 = "", Q138 * M138, IF(ISNA(CONVERT(Q138, L138, "kg")), CONVERT(Q138, L138, "l") * IF(N138 &lt;&gt; 0, M138 / N138, 0), CONVERT(Q138, L138, "kg")))</f>
        <v>0</v>
      </c>
      <c r="S138" s="52">
        <f>recipe03TotScale * IF(R138 = 0, IF(L138 = "", Q138 * N138, IF(ISNA(CONVERT(Q138, L138, "l")), CONVERT(Q138, L138, "kg") * IF(M138 &lt;&gt; 0, N138 / M138, 0), CONVERT(Q138, L138, "l"))), 0)</f>
        <v>0</v>
      </c>
      <c r="T138" s="51">
        <f>recipe03TotScale * IF(AND(R138 = 0, S138 = 0, J138 = "", L138 = ""), Q138, 0)</f>
        <v>2.5</v>
      </c>
      <c r="V138" s="48" t="b">
        <f>INDEX(itemPrepMethods, MATCH(K138, itemNames, 0))="chop"</f>
        <v>0</v>
      </c>
      <c r="W138" s="62" t="str">
        <f>IF(V138, Q138, "")</f>
        <v/>
      </c>
      <c r="X138" s="63" t="str">
        <f>IF(V138, IF(L138 = "", "", L138), "")</f>
        <v/>
      </c>
      <c r="Y138" s="63" t="str">
        <f>IF(V138, K138, "")</f>
        <v/>
      </c>
      <c r="Z138" s="64"/>
      <c r="AA138" s="48" t="b">
        <f>INDEX(itemPrepMethods, MATCH(K138, itemNames, 0))="soak"</f>
        <v>0</v>
      </c>
      <c r="AB138" s="63" t="str">
        <f>IF(AA138, Q138, "")</f>
        <v/>
      </c>
      <c r="AC138" s="63" t="str">
        <f>IF(AA138, IF(L138 = "", "", L138), "")</f>
        <v/>
      </c>
      <c r="AD138" s="63" t="str">
        <f>IF(AA138, K138, "")</f>
        <v/>
      </c>
    </row>
    <row r="139" spans="1:30" x14ac:dyDescent="0.25">
      <c r="A139" s="110"/>
      <c r="B139" s="110"/>
      <c r="C139" s="110"/>
      <c r="D139" s="110"/>
      <c r="I139" s="51"/>
      <c r="L139" s="48"/>
      <c r="M139" s="48"/>
      <c r="N139" s="48"/>
      <c r="O139" s="48"/>
      <c r="P139" s="48"/>
      <c r="W139" s="81"/>
      <c r="X139" s="81"/>
      <c r="Y139" s="81"/>
      <c r="Z139" s="81"/>
      <c r="AA139" s="73"/>
      <c r="AB139" s="81"/>
      <c r="AC139" s="81"/>
      <c r="AD139" s="81"/>
    </row>
    <row r="140" spans="1:30" x14ac:dyDescent="0.25">
      <c r="A140" s="110" t="s">
        <v>255</v>
      </c>
      <c r="B140" s="110"/>
      <c r="C140" s="110"/>
      <c r="D140" s="110"/>
      <c r="I140" s="51"/>
      <c r="L140" s="48"/>
      <c r="M140" s="48"/>
      <c r="N140" s="48"/>
      <c r="O140" s="48"/>
      <c r="P140" s="48"/>
      <c r="W140" s="81"/>
      <c r="X140" s="81"/>
      <c r="Y140" s="81"/>
      <c r="Z140" s="81"/>
      <c r="AA140" s="73"/>
      <c r="AB140" s="81"/>
      <c r="AC140" s="81"/>
      <c r="AD140" s="81"/>
    </row>
    <row r="141" spans="1:30" x14ac:dyDescent="0.25">
      <c r="A141" s="44" t="s">
        <v>21</v>
      </c>
      <c r="B141" s="66">
        <f>Q141</f>
        <v>0.75</v>
      </c>
      <c r="C141" s="98" t="str">
        <f t="shared" si="115"/>
        <v>kg</v>
      </c>
      <c r="D141" s="99" t="str">
        <f>_xlfn.CONCAT(K141, U141)</f>
        <v>thinly sliced silverbeet</v>
      </c>
      <c r="I141" s="59">
        <v>1.5</v>
      </c>
      <c r="J141" s="60" t="s">
        <v>12</v>
      </c>
      <c r="K141" s="60" t="s">
        <v>97</v>
      </c>
      <c r="L141" s="61" t="s">
        <v>12</v>
      </c>
      <c r="M141" s="51">
        <f>INDEX(itemGPerQty, MATCH(K141, itemNames, 0))</f>
        <v>0</v>
      </c>
      <c r="N141" s="51">
        <f>INDEX(itemMlPerQty, MATCH(K141, itemNames, 0))</f>
        <v>0</v>
      </c>
      <c r="O141" s="51">
        <f>IF(J141 = "", I141 * M141, IF(ISNA(CONVERT(I141, J141, "kg")), CONVERT(I141, J141, "l") * IF(N141 &lt;&gt; 0, M141 / N141, 0), CONVERT(I141, J141, "kg")))</f>
        <v>1.5</v>
      </c>
      <c r="P141" s="51">
        <f>IF(J141 = "", I141 * N141, IF(ISNA(CONVERT(I141, J141, "l")), CONVERT(I141, J141, "kg") * IF(M141 &lt;&gt; 0, N141 / M141, 0), CONVERT(I141, J141, "l")))</f>
        <v>0</v>
      </c>
      <c r="Q141" s="51">
        <f>MROUND(IF(AND(J141 = "", L141 = ""), I141 * recipe03DayScale, IF(ISNA(CONVERT(O141, "kg", L141)), CONVERT(P141 * recipe03DayScale, "l", L141), CONVERT(O141 * recipe03DayScale, "kg", L141))), roundTo)</f>
        <v>0.75</v>
      </c>
      <c r="R141" s="52">
        <f>recipe03TotScale * IF(L141 = "", Q141 * M141, IF(ISNA(CONVERT(Q141, L141, "kg")), CONVERT(Q141, L141, "l") * IF(N141 &lt;&gt; 0, M141 / N141, 0), CONVERT(Q141, L141, "kg")))</f>
        <v>0.75</v>
      </c>
      <c r="S141" s="52">
        <f>recipe03TotScale * IF(R141 = 0, IF(L141 = "", Q141 * N141, IF(ISNA(CONVERT(Q141, L141, "l")), CONVERT(Q141, L141, "kg") * IF(M141 &lt;&gt; 0, N141 / M141, 0), CONVERT(Q141, L141, "l"))), 0)</f>
        <v>0</v>
      </c>
      <c r="T141" s="51">
        <f>recipe03TotScale * IF(AND(R141 = 0, S141 = 0, J141 = "", L141 = ""), Q141, 0)</f>
        <v>0</v>
      </c>
      <c r="V141" s="48" t="b">
        <f>INDEX(itemPrepMethods, MATCH(K141, itemNames, 0))="chop"</f>
        <v>1</v>
      </c>
      <c r="W141" s="62">
        <f>IF(V141, Q141, "")</f>
        <v>0.75</v>
      </c>
      <c r="X141" s="63" t="str">
        <f>IF(V141, IF(L141 = "", "", L141), "")</f>
        <v>kg</v>
      </c>
      <c r="Y141" s="63" t="str">
        <f>IF(V141, K141, "")</f>
        <v>thinly sliced silverbeet</v>
      </c>
      <c r="Z141" s="64"/>
      <c r="AA141" s="48" t="b">
        <f>INDEX(itemPrepMethods, MATCH(K141, itemNames, 0))="soak"</f>
        <v>0</v>
      </c>
      <c r="AB141" s="63" t="str">
        <f>IF(AA141, Q141, "")</f>
        <v/>
      </c>
      <c r="AC141" s="63" t="str">
        <f>IF(AA141, IF(L141 = "", "", L141), "")</f>
        <v/>
      </c>
      <c r="AD141" s="63" t="str">
        <f>IF(AA141, K141, "")</f>
        <v/>
      </c>
    </row>
    <row r="142" spans="1:30" x14ac:dyDescent="0.25">
      <c r="A142" s="110"/>
      <c r="B142" s="110"/>
      <c r="C142" s="110"/>
      <c r="D142" s="110"/>
      <c r="I142" s="51"/>
      <c r="L142" s="48"/>
      <c r="M142" s="48"/>
      <c r="N142" s="48"/>
      <c r="O142" s="48"/>
      <c r="P142" s="48"/>
      <c r="W142" s="81"/>
      <c r="X142" s="81"/>
      <c r="Y142" s="81"/>
      <c r="Z142" s="81"/>
      <c r="AA142" s="73"/>
      <c r="AB142" s="81"/>
      <c r="AC142" s="81"/>
      <c r="AD142" s="81"/>
    </row>
    <row r="143" spans="1:30" x14ac:dyDescent="0.25">
      <c r="A143" s="110" t="s">
        <v>256</v>
      </c>
      <c r="B143" s="110"/>
      <c r="C143" s="110"/>
      <c r="D143" s="110"/>
      <c r="I143" s="51"/>
      <c r="L143" s="48"/>
      <c r="M143" s="48"/>
      <c r="N143" s="48"/>
      <c r="O143" s="48"/>
      <c r="P143" s="48"/>
      <c r="W143" s="81"/>
      <c r="X143" s="81"/>
      <c r="Y143" s="81"/>
      <c r="Z143" s="81"/>
      <c r="AA143" s="73"/>
      <c r="AB143" s="81"/>
      <c r="AC143" s="81"/>
      <c r="AD143" s="81"/>
    </row>
    <row r="144" spans="1:30" x14ac:dyDescent="0.25">
      <c r="A144" s="110"/>
      <c r="B144" s="110"/>
      <c r="C144" s="110"/>
      <c r="D144" s="110"/>
      <c r="I144" s="51"/>
      <c r="L144" s="48"/>
      <c r="M144" s="48"/>
      <c r="N144" s="48"/>
      <c r="O144" s="48"/>
      <c r="P144" s="48"/>
      <c r="W144" s="81"/>
      <c r="X144" s="81"/>
      <c r="Y144" s="81"/>
      <c r="Z144" s="81"/>
      <c r="AA144" s="73"/>
      <c r="AB144" s="81"/>
      <c r="AC144" s="81"/>
      <c r="AD144" s="81"/>
    </row>
    <row r="145" spans="1:30" x14ac:dyDescent="0.25">
      <c r="A145" s="110" t="s">
        <v>272</v>
      </c>
      <c r="B145" s="110"/>
      <c r="C145" s="110"/>
      <c r="D145" s="110"/>
      <c r="I145" s="51"/>
      <c r="L145" s="48"/>
      <c r="W145" s="81"/>
      <c r="X145" s="81"/>
      <c r="Y145" s="81"/>
      <c r="Z145" s="81"/>
      <c r="AA145" s="73"/>
      <c r="AB145" s="81"/>
      <c r="AC145" s="81"/>
      <c r="AD145" s="81"/>
    </row>
    <row r="146" spans="1:30" x14ac:dyDescent="0.25">
      <c r="A146" s="44" t="s">
        <v>21</v>
      </c>
      <c r="B146" s="57"/>
      <c r="C146" s="43" t="str">
        <f>IF(L146="","",L146)</f>
        <v/>
      </c>
      <c r="D146" s="44" t="str">
        <f>_xlfn.CONCAT(K146, U146)</f>
        <v>salt, to taste</v>
      </c>
      <c r="I146" s="51"/>
      <c r="K146" s="60" t="s">
        <v>11</v>
      </c>
      <c r="L146" s="48"/>
      <c r="M146" s="48"/>
      <c r="N146" s="48"/>
      <c r="O146" s="48"/>
      <c r="P146" s="48"/>
      <c r="U146" s="48" t="s">
        <v>222</v>
      </c>
      <c r="V146" s="48" t="b">
        <f>INDEX(itemPrepMethods, MATCH(K146, itemNames, 0))="chop"</f>
        <v>0</v>
      </c>
      <c r="W146" s="62" t="str">
        <f>IF(V146, Q146, "")</f>
        <v/>
      </c>
      <c r="X146" s="63" t="str">
        <f>IF(V146, IF(L146 = "", "", L146), "")</f>
        <v/>
      </c>
      <c r="Y146" s="63" t="str">
        <f>IF(V146, K146, "")</f>
        <v/>
      </c>
      <c r="Z146" s="64"/>
      <c r="AA146" s="48" t="b">
        <f>INDEX(itemPrepMethods, MATCH(K146, itemNames, 0))="soak"</f>
        <v>0</v>
      </c>
      <c r="AB146" s="63" t="str">
        <f>IF(AA146, Q146, "")</f>
        <v/>
      </c>
      <c r="AC146" s="63" t="str">
        <f>IF(AA146, IF(L146 = "", "", L146), "")</f>
        <v/>
      </c>
      <c r="AD146" s="63" t="str">
        <f>IF(AA146, K146, "")</f>
        <v/>
      </c>
    </row>
    <row r="147" spans="1:30" x14ac:dyDescent="0.25">
      <c r="A147" s="44" t="s">
        <v>21</v>
      </c>
      <c r="B147" s="57"/>
      <c r="C147" s="43" t="str">
        <f>IF(L147="","",L147)</f>
        <v/>
      </c>
      <c r="D147" s="44" t="str">
        <f>_xlfn.CONCAT(K147, U147)</f>
        <v>ground black pepper, to taste</v>
      </c>
      <c r="I147" s="51"/>
      <c r="K147" s="60" t="s">
        <v>83</v>
      </c>
      <c r="L147" s="48"/>
      <c r="M147" s="48"/>
      <c r="N147" s="48"/>
      <c r="O147" s="48"/>
      <c r="P147" s="48"/>
      <c r="U147" s="48" t="s">
        <v>222</v>
      </c>
      <c r="V147" s="48" t="b">
        <f>INDEX(itemPrepMethods, MATCH(K147, itemNames, 0))="chop"</f>
        <v>0</v>
      </c>
      <c r="W147" s="62" t="str">
        <f>IF(V147, Q147, "")</f>
        <v/>
      </c>
      <c r="X147" s="63" t="str">
        <f>IF(V147, IF(L147 = "", "", L147), "")</f>
        <v/>
      </c>
      <c r="Y147" s="63" t="str">
        <f>IF(V147, K147, "")</f>
        <v/>
      </c>
      <c r="Z147" s="64"/>
      <c r="AA147" s="48" t="b">
        <f>INDEX(itemPrepMethods, MATCH(K147, itemNames, 0))="soak"</f>
        <v>0</v>
      </c>
      <c r="AB147" s="63" t="str">
        <f>IF(AA147, Q147, "")</f>
        <v/>
      </c>
      <c r="AC147" s="63" t="str">
        <f>IF(AA147, IF(L147 = "", "", L147), "")</f>
        <v/>
      </c>
      <c r="AD147" s="63" t="str">
        <f>IF(AA147, K147, "")</f>
        <v/>
      </c>
    </row>
    <row r="148" spans="1:30" ht="15.75" x14ac:dyDescent="0.25">
      <c r="A148" s="111" t="s">
        <v>30</v>
      </c>
      <c r="B148" s="111"/>
      <c r="C148" s="111"/>
      <c r="D148" s="111"/>
      <c r="E148" s="47" t="s">
        <v>144</v>
      </c>
      <c r="F148" s="112" t="s">
        <v>175</v>
      </c>
      <c r="G148" s="112"/>
    </row>
    <row r="149" spans="1:30" ht="24" x14ac:dyDescent="0.2">
      <c r="A149" s="111" t="s">
        <v>42</v>
      </c>
      <c r="B149" s="111"/>
      <c r="C149" s="111"/>
      <c r="D149" s="111"/>
      <c r="E149" s="46" t="s">
        <v>59</v>
      </c>
      <c r="F149" s="97">
        <v>16</v>
      </c>
      <c r="G149" s="51"/>
      <c r="I149" s="76" t="s">
        <v>57</v>
      </c>
      <c r="J149" s="77" t="s">
        <v>58</v>
      </c>
      <c r="K149" s="77" t="s">
        <v>17</v>
      </c>
      <c r="L149" s="78" t="s">
        <v>56</v>
      </c>
      <c r="M149" s="76" t="s">
        <v>151</v>
      </c>
      <c r="N149" s="76" t="s">
        <v>152</v>
      </c>
      <c r="O149" s="76" t="s">
        <v>153</v>
      </c>
      <c r="P149" s="76" t="s">
        <v>154</v>
      </c>
      <c r="Q149" s="77" t="s">
        <v>374</v>
      </c>
      <c r="R149" s="79" t="s">
        <v>375</v>
      </c>
      <c r="S149" s="79" t="s">
        <v>376</v>
      </c>
      <c r="T149" s="76" t="s">
        <v>377</v>
      </c>
      <c r="U149" s="77" t="s">
        <v>22</v>
      </c>
      <c r="V149" s="77" t="s">
        <v>218</v>
      </c>
      <c r="W149" s="80" t="s">
        <v>374</v>
      </c>
      <c r="X149" s="77" t="s">
        <v>216</v>
      </c>
      <c r="Y149" s="77" t="s">
        <v>217</v>
      </c>
      <c r="Z149" s="77" t="s">
        <v>321</v>
      </c>
      <c r="AA149" s="77" t="s">
        <v>219</v>
      </c>
      <c r="AB149" s="80" t="s">
        <v>374</v>
      </c>
      <c r="AC149" s="77" t="s">
        <v>220</v>
      </c>
      <c r="AD149" s="77" t="s">
        <v>221</v>
      </c>
    </row>
    <row r="150" spans="1:30" ht="15.75" thickBot="1" x14ac:dyDescent="0.3">
      <c r="A150" s="110"/>
      <c r="B150" s="110"/>
      <c r="C150" s="110"/>
      <c r="D150" s="110"/>
      <c r="E150" s="72" t="s">
        <v>369</v>
      </c>
      <c r="F150" s="97">
        <f>thLuCount</f>
        <v>10</v>
      </c>
      <c r="G150" s="51"/>
      <c r="I150" s="51"/>
    </row>
    <row r="151" spans="1:30" ht="15.75" thickBot="1" x14ac:dyDescent="0.3">
      <c r="A151" s="110" t="s">
        <v>177</v>
      </c>
      <c r="B151" s="110"/>
      <c r="C151" s="110"/>
      <c r="D151" s="110"/>
      <c r="E151" s="72" t="s">
        <v>372</v>
      </c>
      <c r="F151" s="55">
        <f>F150/F149</f>
        <v>0.625</v>
      </c>
      <c r="G151" s="56" t="s">
        <v>400</v>
      </c>
      <c r="I151" s="51"/>
    </row>
    <row r="152" spans="1:30" x14ac:dyDescent="0.25">
      <c r="A152" s="44" t="s">
        <v>21</v>
      </c>
      <c r="B152" s="57"/>
      <c r="C152" s="43" t="str">
        <f t="shared" ref="C152" si="120">IF(L152="","",L152)</f>
        <v/>
      </c>
      <c r="D152" s="44" t="str">
        <f>_xlfn.CONCAT(K152, U152)</f>
        <v>oil</v>
      </c>
      <c r="E152" s="73"/>
      <c r="F152" s="73"/>
      <c r="G152" s="73"/>
      <c r="I152" s="51"/>
      <c r="K152" s="60" t="s">
        <v>46</v>
      </c>
      <c r="L152" s="48"/>
      <c r="M152" s="48"/>
      <c r="N152" s="48"/>
      <c r="O152" s="48"/>
      <c r="P152" s="48"/>
      <c r="Q152" s="48"/>
      <c r="R152" s="48"/>
      <c r="S152" s="48"/>
      <c r="T152" s="48"/>
      <c r="V152" s="48" t="b">
        <f>INDEX(itemPrepMethods, MATCH(K152, itemNames, 0))="chop"</f>
        <v>0</v>
      </c>
      <c r="W152" s="62" t="str">
        <f>IF(V152, Q152, "")</f>
        <v/>
      </c>
      <c r="X152" s="63" t="str">
        <f>IF(V152, IF(L152 = "", "", L152), "")</f>
        <v/>
      </c>
      <c r="Y152" s="63" t="str">
        <f>IF(V152, K152, "")</f>
        <v/>
      </c>
      <c r="Z152" s="64"/>
      <c r="AA152" s="48" t="b">
        <f>INDEX(itemPrepMethods, MATCH(K152, itemNames, 0))="soak"</f>
        <v>0</v>
      </c>
      <c r="AB152" s="63" t="str">
        <f>IF(AA152, Q152, "")</f>
        <v/>
      </c>
      <c r="AC152" s="63" t="str">
        <f>IF(AA152, IF(L152 = "", "", L152), "")</f>
        <v/>
      </c>
      <c r="AD152" s="63" t="str">
        <f>IF(AA152, K152, "")</f>
        <v/>
      </c>
    </row>
    <row r="153" spans="1:30" ht="36.75" thickBot="1" x14ac:dyDescent="0.3">
      <c r="A153" s="44" t="s">
        <v>21</v>
      </c>
      <c r="B153" s="57">
        <f t="shared" ref="B153" si="121">Q153</f>
        <v>500</v>
      </c>
      <c r="C153" s="43" t="str">
        <f t="shared" ref="C153" si="122">IF(L153="","",L153)</f>
        <v>g</v>
      </c>
      <c r="D153" s="44" t="str">
        <f>_xlfn.CONCAT(K153, U153)</f>
        <v>blocks tofu, cut into cubes</v>
      </c>
      <c r="E153" s="72" t="s">
        <v>348</v>
      </c>
      <c r="F153" s="97">
        <f>thLuCount</f>
        <v>10</v>
      </c>
      <c r="G153" s="73"/>
      <c r="I153" s="67">
        <v>800</v>
      </c>
      <c r="J153" s="60" t="s">
        <v>0</v>
      </c>
      <c r="K153" s="60" t="s">
        <v>276</v>
      </c>
      <c r="L153" s="61" t="s">
        <v>0</v>
      </c>
      <c r="M153" s="51">
        <f>INDEX(itemGPerQty, MATCH(K153, itemNames, 0))</f>
        <v>0</v>
      </c>
      <c r="N153" s="51">
        <f>INDEX(itemMlPerQty, MATCH(K153, itemNames, 0))</f>
        <v>0</v>
      </c>
      <c r="O153" s="51">
        <f t="shared" ref="O153:O154" si="123">IF(J153 = "", I153 * M153, IF(ISNA(CONVERT(I153, J153, "kg")), CONVERT(I153, J153, "l") * IF(N153 &lt;&gt; 0, M153 / N153, 0), CONVERT(I153, J153, "kg")))</f>
        <v>0.8</v>
      </c>
      <c r="P153" s="51">
        <f t="shared" ref="P153:P154" si="124">IF(J153 = "", I153 * N153, IF(ISNA(CONVERT(I153, J153, "l")), CONVERT(I153, J153, "kg") * IF(M153 &lt;&gt; 0, N153 / M153, 0), CONVERT(I153, J153, "l")))</f>
        <v>0</v>
      </c>
      <c r="Q153" s="51">
        <f>MROUND(IF(AND(J153 = "", L153 = ""), I153 * recipe10DayScale, IF(ISNA(CONVERT(O153, "kg", L153)), CONVERT(P153 * recipe10DayScale, "l", L153), CONVERT(O153 * recipe10DayScale, "kg", L153))), roundTo)</f>
        <v>500</v>
      </c>
      <c r="R153" s="52">
        <f>recipe10TotScale * IF(L153 = "", Q153 * M153, IF(ISNA(CONVERT(Q153, L153, "kg")), CONVERT(Q153, L153, "l") * IF(N153 &lt;&gt; 0, M153 / N153, 0), CONVERT(Q153, L153, "kg")))</f>
        <v>0.5</v>
      </c>
      <c r="S153" s="52">
        <f>recipe10TotScale * IF(R153 = 0, IF(L153 = "", Q153 * N153, IF(ISNA(CONVERT(Q153, L153, "l")), CONVERT(Q153, L153, "kg") * IF(M153 &lt;&gt; 0, N153 / M153, 0), CONVERT(Q153, L153, "l"))), 0)</f>
        <v>0</v>
      </c>
      <c r="T153" s="51">
        <f>recipe10TotScale * IF(AND(R153 = 0, S153 = 0, J153 = "", L153 = ""), Q153, 0)</f>
        <v>0</v>
      </c>
      <c r="V153" s="48" t="b">
        <f>INDEX(itemPrepMethods, MATCH(K153, itemNames, 0))="chop"</f>
        <v>1</v>
      </c>
      <c r="W153" s="62">
        <f>IF(V153, Q153, "")</f>
        <v>500</v>
      </c>
      <c r="X153" s="63" t="str">
        <f>IF(V153, IF(L153 = "", "", L153), "")</f>
        <v>g</v>
      </c>
      <c r="Y153" s="63" t="str">
        <f>IF(V153, K153, "")</f>
        <v>blocks tofu, cut into cubes</v>
      </c>
      <c r="Z153" s="64" t="s">
        <v>278</v>
      </c>
      <c r="AA153" s="48" t="b">
        <f>INDEX(itemPrepMethods, MATCH(K153, itemNames, 0))="soak"</f>
        <v>0</v>
      </c>
      <c r="AB153" s="63" t="str">
        <f>IF(AA153, Q153, "")</f>
        <v/>
      </c>
      <c r="AC153" s="63" t="str">
        <f>IF(AA153, IF(L153 = "", "", L153), "")</f>
        <v/>
      </c>
      <c r="AD153" s="63" t="str">
        <f>IF(AA153, K153, "")</f>
        <v/>
      </c>
    </row>
    <row r="154" spans="1:30" ht="15.75" thickBot="1" x14ac:dyDescent="0.3">
      <c r="A154" s="44" t="s">
        <v>21</v>
      </c>
      <c r="B154" s="57">
        <f t="shared" ref="B154" si="125">Q154</f>
        <v>3</v>
      </c>
      <c r="C154" s="43" t="str">
        <f t="shared" ref="C154" si="126">IF(L154="","",L154)</f>
        <v>tbs</v>
      </c>
      <c r="D154" s="44" t="str">
        <f>_xlfn.CONCAT(K154, U154)</f>
        <v>tamari</v>
      </c>
      <c r="E154" s="72" t="s">
        <v>373</v>
      </c>
      <c r="F154" s="55">
        <f>F153/F150</f>
        <v>1</v>
      </c>
      <c r="G154" s="56" t="s">
        <v>401</v>
      </c>
      <c r="I154" s="67">
        <v>0.3</v>
      </c>
      <c r="J154" s="60" t="s">
        <v>16</v>
      </c>
      <c r="K154" s="60" t="s">
        <v>176</v>
      </c>
      <c r="L154" s="61" t="s">
        <v>15</v>
      </c>
      <c r="M154" s="51">
        <f>INDEX(itemGPerQty, MATCH(K154, itemNames, 0))</f>
        <v>0</v>
      </c>
      <c r="N154" s="51">
        <f>INDEX(itemMlPerQty, MATCH(K154, itemNames, 0))</f>
        <v>0</v>
      </c>
      <c r="O154" s="51">
        <f t="shared" si="123"/>
        <v>0</v>
      </c>
      <c r="P154" s="51">
        <f t="shared" si="124"/>
        <v>7.0976470949999995E-2</v>
      </c>
      <c r="Q154" s="51">
        <f>MROUND(IF(AND(J154 = "", L154 = ""), I154 * recipe10DayScale, IF(ISNA(CONVERT(O154, "kg", L154)), CONVERT(P154 * recipe10DayScale, "l", L154), CONVERT(O154 * recipe10DayScale, "kg", L154))), roundTo)</f>
        <v>3</v>
      </c>
      <c r="R154" s="52">
        <f>recipe10TotScale * IF(L154 = "", Q154 * M154, IF(ISNA(CONVERT(Q154, L154, "kg")), CONVERT(Q154, L154, "l") * IF(N154 &lt;&gt; 0, M154 / N154, 0), CONVERT(Q154, L154, "kg")))</f>
        <v>0</v>
      </c>
      <c r="S154" s="52">
        <f>recipe10TotScale * IF(R154 = 0, IF(L154 = "", Q154 * N154, IF(ISNA(CONVERT(Q154, L154, "l")), CONVERT(Q154, L154, "kg") * IF(M154 &lt;&gt; 0, N154 / M154, 0), CONVERT(Q154, L154, "l"))), 0)</f>
        <v>4.4360294343749995E-2</v>
      </c>
      <c r="T154" s="51">
        <f>recipe10TotScale * IF(AND(R154 = 0, S154 = 0, J154 = "", L154 = ""), Q154, 0)</f>
        <v>0</v>
      </c>
      <c r="V154" s="48" t="b">
        <f>INDEX(itemPrepMethods, MATCH(K154, itemNames, 0))="chop"</f>
        <v>0</v>
      </c>
      <c r="W154" s="62" t="str">
        <f>IF(V154, Q154, "")</f>
        <v/>
      </c>
      <c r="X154" s="63" t="str">
        <f>IF(V154, IF(L154 = "", "", L154), "")</f>
        <v/>
      </c>
      <c r="Y154" s="63" t="str">
        <f>IF(V154, K154, "")</f>
        <v/>
      </c>
      <c r="Z154" s="64"/>
      <c r="AA154" s="48" t="b">
        <f>INDEX(itemPrepMethods, MATCH(K154, itemNames, 0))="soak"</f>
        <v>0</v>
      </c>
      <c r="AB154" s="63" t="str">
        <f>IF(AA154, Q154, "")</f>
        <v/>
      </c>
      <c r="AC154" s="63" t="str">
        <f>IF(AA154, IF(L154 = "", "", L154), "")</f>
        <v/>
      </c>
      <c r="AD154" s="63" t="str">
        <f>IF(AA154, K154, "")</f>
        <v/>
      </c>
    </row>
    <row r="155" spans="1:30" x14ac:dyDescent="0.25">
      <c r="A155" s="110"/>
      <c r="B155" s="110"/>
      <c r="C155" s="110"/>
      <c r="D155" s="110"/>
      <c r="I155" s="51"/>
      <c r="L155" s="48"/>
      <c r="M155" s="48"/>
      <c r="N155" s="48"/>
      <c r="W155" s="81"/>
      <c r="X155" s="82"/>
      <c r="Y155" s="82"/>
      <c r="Z155" s="83"/>
      <c r="AA155" s="73"/>
      <c r="AB155" s="81"/>
      <c r="AC155" s="81"/>
      <c r="AD155" s="81"/>
    </row>
    <row r="156" spans="1:30" x14ac:dyDescent="0.25">
      <c r="A156" s="110" t="s">
        <v>189</v>
      </c>
      <c r="B156" s="110"/>
      <c r="C156" s="110"/>
      <c r="D156" s="110"/>
      <c r="I156" s="51"/>
      <c r="L156" s="48"/>
      <c r="M156" s="48"/>
      <c r="N156" s="48"/>
      <c r="W156" s="81"/>
      <c r="X156" s="82"/>
      <c r="Y156" s="82"/>
      <c r="Z156" s="83"/>
      <c r="AA156" s="73"/>
      <c r="AB156" s="81"/>
      <c r="AC156" s="81"/>
      <c r="AD156" s="81"/>
    </row>
    <row r="157" spans="1:30" x14ac:dyDescent="0.25">
      <c r="A157" s="44" t="s">
        <v>21</v>
      </c>
      <c r="B157" s="57">
        <f t="shared" ref="B157" si="127">Q157</f>
        <v>6.25</v>
      </c>
      <c r="C157" s="43" t="str">
        <f t="shared" ref="C157" si="128">IF(L157="","",L157)</f>
        <v>tbs</v>
      </c>
      <c r="D157" s="44" t="str">
        <f>_xlfn.CONCAT(K157, U157)</f>
        <v>sesame oil</v>
      </c>
      <c r="I157" s="67">
        <v>10</v>
      </c>
      <c r="J157" s="60" t="s">
        <v>15</v>
      </c>
      <c r="K157" s="60" t="s">
        <v>178</v>
      </c>
      <c r="L157" s="61" t="s">
        <v>15</v>
      </c>
      <c r="M157" s="51">
        <f>INDEX(itemGPerQty, MATCH(K157, itemNames, 0))</f>
        <v>0</v>
      </c>
      <c r="N157" s="51">
        <f>INDEX(itemMlPerQty, MATCH(K157, itemNames, 0))</f>
        <v>0</v>
      </c>
      <c r="O157" s="51">
        <f t="shared" ref="O157:O161" si="129">IF(J157 = "", I157 * M157, IF(ISNA(CONVERT(I157, J157, "kg")), CONVERT(I157, J157, "l") * IF(N157 &lt;&gt; 0, M157 / N157, 0), CONVERT(I157, J157, "kg")))</f>
        <v>0</v>
      </c>
      <c r="P157" s="51">
        <f t="shared" ref="P157:P161" si="130">IF(J157 = "", I157 * N157, IF(ISNA(CONVERT(I157, J157, "l")), CONVERT(I157, J157, "kg") * IF(M157 &lt;&gt; 0, N157 / M157, 0), CONVERT(I157, J157, "l")))</f>
        <v>0.1478676478125</v>
      </c>
      <c r="Q157" s="51">
        <f>MROUND(IF(AND(J157 = "", L157 = ""), I157 * recipe10DayScale, IF(ISNA(CONVERT(O157, "kg", L157)), CONVERT(P157 * recipe10DayScale, "l", L157), CONVERT(O157 * recipe10DayScale, "kg", L157))), roundTo)</f>
        <v>6.25</v>
      </c>
      <c r="R157" s="52">
        <f>recipe10TotScale * IF(L157 = "", Q157 * M157, IF(ISNA(CONVERT(Q157, L157, "kg")), CONVERT(Q157, L157, "l") * IF(N157 &lt;&gt; 0, M157 / N157, 0), CONVERT(Q157, L157, "kg")))</f>
        <v>0</v>
      </c>
      <c r="S157" s="52">
        <f>recipe10TotScale * IF(R157 = 0, IF(L157 = "", Q157 * N157, IF(ISNA(CONVERT(Q157, L157, "l")), CONVERT(Q157, L157, "kg") * IF(M157 &lt;&gt; 0, N157 / M157, 0), CONVERT(Q157, L157, "l"))), 0)</f>
        <v>9.2417279882812495E-2</v>
      </c>
      <c r="T157" s="51">
        <f>recipe10TotScale * IF(AND(R157 = 0, S157 = 0, J157 = "", L157 = ""), Q157, 0)</f>
        <v>0</v>
      </c>
      <c r="V157" s="48" t="b">
        <f>INDEX(itemPrepMethods, MATCH(K157, itemNames, 0))="chop"</f>
        <v>0</v>
      </c>
      <c r="W157" s="62" t="str">
        <f>IF(V157, Q157, "")</f>
        <v/>
      </c>
      <c r="X157" s="63" t="str">
        <f>IF(V157, IF(L157 = "", "", L157), "")</f>
        <v/>
      </c>
      <c r="Y157" s="63" t="str">
        <f>IF(V157, K157, "")</f>
        <v/>
      </c>
      <c r="Z157" s="64"/>
      <c r="AA157" s="48" t="b">
        <f>INDEX(itemPrepMethods, MATCH(K157, itemNames, 0))="soak"</f>
        <v>0</v>
      </c>
      <c r="AB157" s="63" t="str">
        <f>IF(AA157, Q157, "")</f>
        <v/>
      </c>
      <c r="AC157" s="63" t="str">
        <f>IF(AA157, IF(L157 = "", "", L157), "")</f>
        <v/>
      </c>
      <c r="AD157" s="63" t="str">
        <f>IF(AA157, K157, "")</f>
        <v/>
      </c>
    </row>
    <row r="158" spans="1:30" x14ac:dyDescent="0.25">
      <c r="A158" s="44" t="s">
        <v>21</v>
      </c>
      <c r="B158" s="57">
        <f t="shared" ref="B158:B159" si="131">Q158</f>
        <v>2</v>
      </c>
      <c r="C158" s="43" t="str">
        <f t="shared" ref="C158:C159" si="132">IF(L158="","",L158)</f>
        <v>tbs</v>
      </c>
      <c r="D158" s="44" t="str">
        <f>_xlfn.CONCAT(K158, U158)</f>
        <v>thai green curry</v>
      </c>
      <c r="I158" s="67">
        <v>3</v>
      </c>
      <c r="J158" s="60" t="s">
        <v>15</v>
      </c>
      <c r="K158" s="60" t="s">
        <v>179</v>
      </c>
      <c r="L158" s="61" t="s">
        <v>15</v>
      </c>
      <c r="M158" s="51">
        <f>INDEX(itemGPerQty, MATCH(K158, itemNames, 0))</f>
        <v>0</v>
      </c>
      <c r="N158" s="51">
        <f>INDEX(itemMlPerQty, MATCH(K158, itemNames, 0))</f>
        <v>0</v>
      </c>
      <c r="O158" s="51">
        <f t="shared" si="129"/>
        <v>0</v>
      </c>
      <c r="P158" s="51">
        <f t="shared" si="130"/>
        <v>4.4360294343749995E-2</v>
      </c>
      <c r="Q158" s="51">
        <f>MROUND(IF(AND(J158 = "", L158 = ""), I158 * recipe10DayScale, IF(ISNA(CONVERT(O158, "kg", L158)), CONVERT(P158 * recipe10DayScale, "l", L158), CONVERT(O158 * recipe10DayScale, "kg", L158))), roundTo)</f>
        <v>2</v>
      </c>
      <c r="R158" s="52">
        <f>recipe10TotScale * IF(L158 = "", Q158 * M158, IF(ISNA(CONVERT(Q158, L158, "kg")), CONVERT(Q158, L158, "l") * IF(N158 &lt;&gt; 0, M158 / N158, 0), CONVERT(Q158, L158, "kg")))</f>
        <v>0</v>
      </c>
      <c r="S158" s="52">
        <f>recipe10TotScale * IF(R158 = 0, IF(L158 = "", Q158 * N158, IF(ISNA(CONVERT(Q158, L158, "l")), CONVERT(Q158, L158, "kg") * IF(M158 &lt;&gt; 0, N158 / M158, 0), CONVERT(Q158, L158, "l"))), 0)</f>
        <v>2.9573529562499999E-2</v>
      </c>
      <c r="T158" s="51">
        <f>recipe10TotScale * IF(AND(R158 = 0, S158 = 0, J158 = "", L158 = ""), Q158, 0)</f>
        <v>0</v>
      </c>
      <c r="V158" s="48" t="b">
        <f>INDEX(itemPrepMethods, MATCH(K158, itemNames, 0))="chop"</f>
        <v>0</v>
      </c>
      <c r="W158" s="62" t="str">
        <f>IF(V158, Q158, "")</f>
        <v/>
      </c>
      <c r="X158" s="63" t="str">
        <f>IF(V158, IF(L158 = "", "", L158), "")</f>
        <v/>
      </c>
      <c r="Y158" s="63" t="str">
        <f>IF(V158, K158, "")</f>
        <v/>
      </c>
      <c r="Z158" s="64"/>
      <c r="AA158" s="48" t="b">
        <f>INDEX(itemPrepMethods, MATCH(K158, itemNames, 0))="soak"</f>
        <v>0</v>
      </c>
      <c r="AB158" s="63" t="str">
        <f>IF(AA158, Q158, "")</f>
        <v/>
      </c>
      <c r="AC158" s="63" t="str">
        <f>IF(AA158, IF(L158 = "", "", L158), "")</f>
        <v/>
      </c>
      <c r="AD158" s="63" t="str">
        <f>IF(AA158, K158, "")</f>
        <v/>
      </c>
    </row>
    <row r="159" spans="1:30" x14ac:dyDescent="0.25">
      <c r="A159" s="44" t="s">
        <v>21</v>
      </c>
      <c r="B159" s="57">
        <f t="shared" si="131"/>
        <v>2.5</v>
      </c>
      <c r="C159" s="43" t="str">
        <f t="shared" si="132"/>
        <v/>
      </c>
      <c r="D159" s="44" t="str">
        <f>_xlfn.CONCAT(K159, U159)</f>
        <v>chopped onions</v>
      </c>
      <c r="I159" s="67">
        <v>4</v>
      </c>
      <c r="J159" s="60"/>
      <c r="K159" s="60" t="s">
        <v>6</v>
      </c>
      <c r="L159" s="61"/>
      <c r="M159" s="51">
        <f>INDEX(itemGPerQty, MATCH(K159, itemNames, 0))</f>
        <v>0.185</v>
      </c>
      <c r="N159" s="51">
        <f>INDEX(itemMlPerQty, MATCH(K159, itemNames, 0))</f>
        <v>0.3</v>
      </c>
      <c r="O159" s="51">
        <f t="shared" si="129"/>
        <v>0.74</v>
      </c>
      <c r="P159" s="51">
        <f t="shared" si="130"/>
        <v>1.2</v>
      </c>
      <c r="Q159" s="51">
        <f>MROUND(IF(AND(J159 = "", L159 = ""), I159 * recipe10DayScale, IF(ISNA(CONVERT(O159, "kg", L159)), CONVERT(P159 * recipe10DayScale, "l", L159), CONVERT(O159 * recipe10DayScale, "kg", L159))), roundTo)</f>
        <v>2.5</v>
      </c>
      <c r="R159" s="52">
        <f>recipe10TotScale * IF(L159 = "", Q159 * M159, IF(ISNA(CONVERT(Q159, L159, "kg")), CONVERT(Q159, L159, "l") * IF(N159 &lt;&gt; 0, M159 / N159, 0), CONVERT(Q159, L159, "kg")))</f>
        <v>0.46250000000000002</v>
      </c>
      <c r="S159" s="52">
        <f>recipe10TotScale * IF(R159 = 0, IF(L159 = "", Q159 * N159, IF(ISNA(CONVERT(Q159, L159, "l")), CONVERT(Q159, L159, "kg") * IF(M159 &lt;&gt; 0, N159 / M159, 0), CONVERT(Q159, L159, "l"))), 0)</f>
        <v>0</v>
      </c>
      <c r="T159" s="51">
        <f>recipe10TotScale * IF(AND(R159 = 0, S159 = 0, J159 = "", L159 = ""), Q159, 0)</f>
        <v>0</v>
      </c>
      <c r="V159" s="48" t="b">
        <f>INDEX(itemPrepMethods, MATCH(K159, itemNames, 0))="chop"</f>
        <v>1</v>
      </c>
      <c r="W159" s="62">
        <f>IF(V159, Q159, "")</f>
        <v>2.5</v>
      </c>
      <c r="X159" s="63" t="str">
        <f>IF(V159, IF(L159 = "", "", L159), "")</f>
        <v/>
      </c>
      <c r="Y159" s="63" t="str">
        <f>IF(V159, K159, "")</f>
        <v>chopped onions</v>
      </c>
      <c r="Z159" s="64"/>
      <c r="AA159" s="48" t="b">
        <f>INDEX(itemPrepMethods, MATCH(K159, itemNames, 0))="soak"</f>
        <v>0</v>
      </c>
      <c r="AB159" s="63" t="str">
        <f>IF(AA159, Q159, "")</f>
        <v/>
      </c>
      <c r="AC159" s="63" t="str">
        <f>IF(AA159, IF(L159 = "", "", L159), "")</f>
        <v/>
      </c>
      <c r="AD159" s="63" t="str">
        <f>IF(AA159, K159, "")</f>
        <v/>
      </c>
    </row>
    <row r="160" spans="1:30" x14ac:dyDescent="0.25">
      <c r="A160" s="44" t="s">
        <v>21</v>
      </c>
      <c r="B160" s="57">
        <f t="shared" ref="B160" si="133">Q160</f>
        <v>3.25</v>
      </c>
      <c r="C160" s="43" t="str">
        <f t="shared" ref="C160" si="134">IF(L160="","",L160)</f>
        <v>tbs</v>
      </c>
      <c r="D160" s="44" t="str">
        <f>_xlfn.CONCAT(K160, U160)</f>
        <v>minced fresh ginger</v>
      </c>
      <c r="I160" s="67">
        <v>5</v>
      </c>
      <c r="J160" s="60" t="s">
        <v>15</v>
      </c>
      <c r="K160" s="60" t="s">
        <v>237</v>
      </c>
      <c r="L160" s="61" t="s">
        <v>15</v>
      </c>
      <c r="M160" s="51">
        <f>INDEX(itemGPerQty, MATCH(K160, itemNames, 0))</f>
        <v>0</v>
      </c>
      <c r="N160" s="51">
        <f>INDEX(itemMlPerQty, MATCH(K160, itemNames, 0))</f>
        <v>0</v>
      </c>
      <c r="O160" s="51">
        <f t="shared" si="129"/>
        <v>0</v>
      </c>
      <c r="P160" s="51">
        <f t="shared" si="130"/>
        <v>7.3933823906250001E-2</v>
      </c>
      <c r="Q160" s="51">
        <f>MROUND(IF(AND(J160 = "", L160 = ""), I160 * recipe10DayScale, IF(ISNA(CONVERT(O160, "kg", L160)), CONVERT(P160 * recipe10DayScale, "l", L160), CONVERT(O160 * recipe10DayScale, "kg", L160))), roundTo)</f>
        <v>3.25</v>
      </c>
      <c r="R160" s="52">
        <f>recipe10TotScale * IF(L160 = "", Q160 * M160, IF(ISNA(CONVERT(Q160, L160, "kg")), CONVERT(Q160, L160, "l") * IF(N160 &lt;&gt; 0, M160 / N160, 0), CONVERT(Q160, L160, "kg")))</f>
        <v>0</v>
      </c>
      <c r="S160" s="52">
        <f>recipe10TotScale * IF(R160 = 0, IF(L160 = "", Q160 * N160, IF(ISNA(CONVERT(Q160, L160, "l")), CONVERT(Q160, L160, "kg") * IF(M160 &lt;&gt; 0, N160 / M160, 0), CONVERT(Q160, L160, "l"))), 0)</f>
        <v>4.8056985539062499E-2</v>
      </c>
      <c r="T160" s="51">
        <f>recipe10TotScale * IF(AND(R160 = 0, S160 = 0, J160 = "", L160 = ""), Q160, 0)</f>
        <v>0</v>
      </c>
      <c r="V160" s="48" t="b">
        <f>INDEX(itemPrepMethods, MATCH(K160, itemNames, 0))="chop"</f>
        <v>1</v>
      </c>
      <c r="W160" s="62">
        <f>IF(V160, Q160, "")</f>
        <v>3.25</v>
      </c>
      <c r="X160" s="63" t="str">
        <f>IF(V160, IF(L160 = "", "", L160), "")</f>
        <v>tbs</v>
      </c>
      <c r="Y160" s="63" t="str">
        <f>IF(V160, K160, "")</f>
        <v>minced fresh ginger</v>
      </c>
      <c r="Z160" s="64"/>
      <c r="AA160" s="48" t="b">
        <f>INDEX(itemPrepMethods, MATCH(K160, itemNames, 0))="soak"</f>
        <v>0</v>
      </c>
      <c r="AB160" s="63" t="str">
        <f>IF(AA160, Q160, "")</f>
        <v/>
      </c>
      <c r="AC160" s="63" t="str">
        <f>IF(AA160, IF(L160 = "", "", L160), "")</f>
        <v/>
      </c>
      <c r="AD160" s="63" t="str">
        <f>IF(AA160, K160, "")</f>
        <v/>
      </c>
    </row>
    <row r="161" spans="1:30" x14ac:dyDescent="0.25">
      <c r="A161" s="44" t="s">
        <v>21</v>
      </c>
      <c r="B161" s="57">
        <f t="shared" ref="B161" si="135">Q161</f>
        <v>0.75</v>
      </c>
      <c r="C161" s="43" t="str">
        <f t="shared" ref="C161" si="136">IF(L161="","",L161)</f>
        <v/>
      </c>
      <c r="D161" s="44" t="str">
        <f>_xlfn.CONCAT(K161, U161)</f>
        <v>chopped cauliflowers</v>
      </c>
      <c r="I161" s="67">
        <v>1</v>
      </c>
      <c r="J161" s="60"/>
      <c r="K161" s="60" t="s">
        <v>172</v>
      </c>
      <c r="L161" s="61"/>
      <c r="M161" s="51">
        <f>INDEX(itemGPerQty, MATCH(K161, itemNames, 0))</f>
        <v>0</v>
      </c>
      <c r="N161" s="51">
        <f>INDEX(itemMlPerQty, MATCH(K161, itemNames, 0))</f>
        <v>0</v>
      </c>
      <c r="O161" s="51">
        <f t="shared" si="129"/>
        <v>0</v>
      </c>
      <c r="P161" s="51">
        <f t="shared" si="130"/>
        <v>0</v>
      </c>
      <c r="Q161" s="51">
        <f>MROUND(IF(AND(J161 = "", L161 = ""), I161 * recipe10DayScale, IF(ISNA(CONVERT(O161, "kg", L161)), CONVERT(P161 * recipe10DayScale, "l", L161), CONVERT(O161 * recipe10DayScale, "kg", L161))), roundTo)</f>
        <v>0.75</v>
      </c>
      <c r="R161" s="52">
        <f>recipe10TotScale * IF(L161 = "", Q161 * M161, IF(ISNA(CONVERT(Q161, L161, "kg")), CONVERT(Q161, L161, "l") * IF(N161 &lt;&gt; 0, M161 / N161, 0), CONVERT(Q161, L161, "kg")))</f>
        <v>0</v>
      </c>
      <c r="S161" s="52">
        <f>recipe10TotScale * IF(R161 = 0, IF(L161 = "", Q161 * N161, IF(ISNA(CONVERT(Q161, L161, "l")), CONVERT(Q161, L161, "kg") * IF(M161 &lt;&gt; 0, N161 / M161, 0), CONVERT(Q161, L161, "l"))), 0)</f>
        <v>0</v>
      </c>
      <c r="T161" s="51">
        <f>recipe10TotScale * IF(AND(R161 = 0, S161 = 0, J161 = "", L161 = ""), Q161, 0)</f>
        <v>0.75</v>
      </c>
      <c r="V161" s="48" t="b">
        <f>INDEX(itemPrepMethods, MATCH(K161, itemNames, 0))="chop"</f>
        <v>1</v>
      </c>
      <c r="W161" s="62">
        <f>IF(V161, Q161, "")</f>
        <v>0.75</v>
      </c>
      <c r="X161" s="63" t="str">
        <f>IF(V161, IF(L161 = "", "", L161), "")</f>
        <v/>
      </c>
      <c r="Y161" s="63" t="str">
        <f>IF(V161, K161, "")</f>
        <v>chopped cauliflowers</v>
      </c>
      <c r="Z161" s="64"/>
      <c r="AA161" s="48" t="b">
        <f>INDEX(itemPrepMethods, MATCH(K161, itemNames, 0))="soak"</f>
        <v>0</v>
      </c>
      <c r="AB161" s="63" t="str">
        <f>IF(AA161, Q161, "")</f>
        <v/>
      </c>
      <c r="AC161" s="63" t="str">
        <f>IF(AA161, IF(L161 = "", "", L161), "")</f>
        <v/>
      </c>
      <c r="AD161" s="63" t="str">
        <f>IF(AA161, K161, "")</f>
        <v/>
      </c>
    </row>
    <row r="162" spans="1:30" x14ac:dyDescent="0.25">
      <c r="A162" s="110"/>
      <c r="B162" s="110"/>
      <c r="C162" s="110"/>
      <c r="D162" s="110"/>
      <c r="I162" s="51"/>
      <c r="L162" s="48"/>
      <c r="M162" s="48"/>
      <c r="N162" s="48"/>
      <c r="W162" s="81"/>
      <c r="X162" s="82"/>
      <c r="Y162" s="82"/>
      <c r="Z162" s="83"/>
      <c r="AA162" s="73"/>
      <c r="AB162" s="81"/>
      <c r="AC162" s="81"/>
      <c r="AD162" s="81"/>
    </row>
    <row r="163" spans="1:30" x14ac:dyDescent="0.25">
      <c r="A163" s="110" t="s">
        <v>190</v>
      </c>
      <c r="B163" s="110"/>
      <c r="C163" s="110"/>
      <c r="D163" s="110"/>
      <c r="I163" s="51"/>
      <c r="L163" s="48"/>
      <c r="M163" s="48"/>
      <c r="N163" s="48"/>
      <c r="W163" s="81"/>
      <c r="X163" s="82"/>
      <c r="Y163" s="82"/>
      <c r="Z163" s="83"/>
      <c r="AA163" s="73"/>
      <c r="AB163" s="81"/>
      <c r="AC163" s="81"/>
      <c r="AD163" s="81"/>
    </row>
    <row r="164" spans="1:30" x14ac:dyDescent="0.25">
      <c r="A164" s="44" t="s">
        <v>21</v>
      </c>
      <c r="B164" s="57">
        <f t="shared" ref="B164:B165" si="137">Q164</f>
        <v>0.25</v>
      </c>
      <c r="C164" s="43" t="str">
        <f t="shared" ref="C164:C165" si="138">IF(L164="","",L164)</f>
        <v>l</v>
      </c>
      <c r="D164" s="44" t="str">
        <f>_xlfn.CONCAT(K164, U164)</f>
        <v>water</v>
      </c>
      <c r="I164" s="67">
        <v>0.5</v>
      </c>
      <c r="J164" s="60" t="s">
        <v>60</v>
      </c>
      <c r="K164" s="60" t="s">
        <v>48</v>
      </c>
      <c r="L164" s="61" t="s">
        <v>60</v>
      </c>
      <c r="M164" s="51">
        <f>INDEX(itemGPerQty, MATCH(K164, itemNames, 0))</f>
        <v>1</v>
      </c>
      <c r="N164" s="51">
        <f>INDEX(itemMlPerQty, MATCH(K164, itemNames, 0))</f>
        <v>1</v>
      </c>
      <c r="O164" s="51">
        <f t="shared" ref="O164:O168" si="139">IF(J164 = "", I164 * M164, IF(ISNA(CONVERT(I164, J164, "kg")), CONVERT(I164, J164, "l") * IF(N164 &lt;&gt; 0, M164 / N164, 0), CONVERT(I164, J164, "kg")))</f>
        <v>0.5</v>
      </c>
      <c r="P164" s="51">
        <f t="shared" ref="P164:P168" si="140">IF(J164 = "", I164 * N164, IF(ISNA(CONVERT(I164, J164, "l")), CONVERT(I164, J164, "kg") * IF(M164 &lt;&gt; 0, N164 / M164, 0), CONVERT(I164, J164, "l")))</f>
        <v>0.5</v>
      </c>
      <c r="Q164" s="51">
        <f>MROUND(IF(AND(J164 = "", L164 = ""), I164 * recipe10DayScale, IF(ISNA(CONVERT(O164, "kg", L164)), CONVERT(P164 * recipe10DayScale, "l", L164), CONVERT(O164 * recipe10DayScale, "kg", L164))), roundTo)</f>
        <v>0.25</v>
      </c>
      <c r="R164" s="52">
        <f>recipe10TotScale * IF(L164 = "", Q164 * M164, IF(ISNA(CONVERT(Q164, L164, "kg")), CONVERT(Q164, L164, "l") * IF(N164 &lt;&gt; 0, M164 / N164, 0), CONVERT(Q164, L164, "kg")))</f>
        <v>0.25</v>
      </c>
      <c r="S164" s="52">
        <f>recipe10TotScale * IF(R164 = 0, IF(L164 = "", Q164 * N164, IF(ISNA(CONVERT(Q164, L164, "l")), CONVERT(Q164, L164, "kg") * IF(M164 &lt;&gt; 0, N164 / M164, 0), CONVERT(Q164, L164, "l"))), 0)</f>
        <v>0</v>
      </c>
      <c r="T164" s="51">
        <f>recipe10TotScale * IF(AND(R164 = 0, S164 = 0, J164 = "", L164 = ""), Q164, 0)</f>
        <v>0</v>
      </c>
      <c r="V164" s="48" t="b">
        <f>INDEX(itemPrepMethods, MATCH(K164, itemNames, 0))="chop"</f>
        <v>0</v>
      </c>
      <c r="W164" s="62" t="str">
        <f>IF(V164, Q164, "")</f>
        <v/>
      </c>
      <c r="X164" s="63" t="str">
        <f>IF(V164, IF(L164 = "", "", L164), "")</f>
        <v/>
      </c>
      <c r="Y164" s="63" t="str">
        <f>IF(V164, K164, "")</f>
        <v/>
      </c>
      <c r="Z164" s="64"/>
      <c r="AA164" s="48" t="b">
        <f>INDEX(itemPrepMethods, MATCH(K164, itemNames, 0))="soak"</f>
        <v>0</v>
      </c>
      <c r="AB164" s="63" t="str">
        <f>IF(AA164, Q164, "")</f>
        <v/>
      </c>
      <c r="AC164" s="63" t="str">
        <f>IF(AA164, IF(L164 = "", "", L164), "")</f>
        <v/>
      </c>
      <c r="AD164" s="63" t="str">
        <f>IF(AA164, K164, "")</f>
        <v/>
      </c>
    </row>
    <row r="165" spans="1:30" x14ac:dyDescent="0.25">
      <c r="A165" s="44" t="s">
        <v>21</v>
      </c>
      <c r="B165" s="57">
        <f t="shared" si="137"/>
        <v>1.25</v>
      </c>
      <c r="C165" s="43" t="str">
        <f t="shared" si="138"/>
        <v/>
      </c>
      <c r="D165" s="44" t="str">
        <f>_xlfn.CONCAT(K165, U165)</f>
        <v>chopped broccoli</v>
      </c>
      <c r="I165" s="67">
        <v>1.9</v>
      </c>
      <c r="J165" s="60"/>
      <c r="K165" s="60" t="s">
        <v>123</v>
      </c>
      <c r="L165" s="61"/>
      <c r="M165" s="51">
        <f>INDEX(itemGPerQty, MATCH(K165, itemNames, 0))</f>
        <v>0.313</v>
      </c>
      <c r="N165" s="51">
        <f>INDEX(itemMlPerQty, MATCH(K165, itemNames, 0))</f>
        <v>0</v>
      </c>
      <c r="O165" s="51">
        <f t="shared" si="139"/>
        <v>0.59470000000000001</v>
      </c>
      <c r="P165" s="51">
        <f t="shared" si="140"/>
        <v>0</v>
      </c>
      <c r="Q165" s="51">
        <f>MROUND(IF(AND(J165 = "", L165 = ""), I165 * recipe10DayScale, IF(ISNA(CONVERT(O165, "kg", L165)), CONVERT(P165 * recipe10DayScale, "l", L165), CONVERT(O165 * recipe10DayScale, "kg", L165))), roundTo)</f>
        <v>1.25</v>
      </c>
      <c r="R165" s="52">
        <f>recipe10TotScale * IF(L165 = "", Q165 * M165, IF(ISNA(CONVERT(Q165, L165, "kg")), CONVERT(Q165, L165, "l") * IF(N165 &lt;&gt; 0, M165 / N165, 0), CONVERT(Q165, L165, "kg")))</f>
        <v>0.39124999999999999</v>
      </c>
      <c r="S165" s="52">
        <f>recipe10TotScale * IF(R165 = 0, IF(L165 = "", Q165 * N165, IF(ISNA(CONVERT(Q165, L165, "l")), CONVERT(Q165, L165, "kg") * IF(M165 &lt;&gt; 0, N165 / M165, 0), CONVERT(Q165, L165, "l"))), 0)</f>
        <v>0</v>
      </c>
      <c r="T165" s="51">
        <f>recipe10TotScale * IF(AND(R165 = 0, S165 = 0, J165 = "", L165 = ""), Q165, 0)</f>
        <v>0</v>
      </c>
      <c r="V165" s="48" t="b">
        <f>INDEX(itemPrepMethods, MATCH(K165, itemNames, 0))="chop"</f>
        <v>1</v>
      </c>
      <c r="W165" s="62">
        <f>IF(V165, Q165, "")</f>
        <v>1.25</v>
      </c>
      <c r="X165" s="63" t="str">
        <f>IF(V165, IF(L165 = "", "", L165), "")</f>
        <v/>
      </c>
      <c r="Y165" s="63" t="str">
        <f>IF(V165, K165, "")</f>
        <v>chopped broccoli</v>
      </c>
      <c r="Z165" s="64"/>
      <c r="AA165" s="48" t="b">
        <f>INDEX(itemPrepMethods, MATCH(K165, itemNames, 0))="soak"</f>
        <v>0</v>
      </c>
      <c r="AB165" s="63" t="str">
        <f>IF(AA165, Q165, "")</f>
        <v/>
      </c>
      <c r="AC165" s="63" t="str">
        <f>IF(AA165, IF(L165 = "", "", L165), "")</f>
        <v/>
      </c>
      <c r="AD165" s="63" t="str">
        <f>IF(AA165, K165, "")</f>
        <v/>
      </c>
    </row>
    <row r="166" spans="1:30" x14ac:dyDescent="0.25">
      <c r="A166" s="44" t="s">
        <v>21</v>
      </c>
      <c r="B166" s="57">
        <f t="shared" ref="B166:B167" si="141">Q166</f>
        <v>2.5</v>
      </c>
      <c r="C166" s="43" t="str">
        <f t="shared" ref="C166:C167" si="142">IF(L166="","",L166)</f>
        <v/>
      </c>
      <c r="D166" s="44" t="str">
        <f>_xlfn.CONCAT(K166, U166)</f>
        <v>chopped yellow capsicums</v>
      </c>
      <c r="I166" s="67">
        <v>4</v>
      </c>
      <c r="J166" s="60"/>
      <c r="K166" s="60" t="s">
        <v>181</v>
      </c>
      <c r="L166" s="61"/>
      <c r="M166" s="51">
        <f>INDEX(itemGPerQty, MATCH(K166, itemNames, 0))</f>
        <v>0.1885</v>
      </c>
      <c r="N166" s="51">
        <f>INDEX(itemMlPerQty, MATCH(K166, itemNames, 0))</f>
        <v>0.25</v>
      </c>
      <c r="O166" s="51">
        <f t="shared" si="139"/>
        <v>0.754</v>
      </c>
      <c r="P166" s="51">
        <f t="shared" si="140"/>
        <v>1</v>
      </c>
      <c r="Q166" s="51">
        <f>MROUND(IF(AND(J166 = "", L166 = ""), I166 * recipe10DayScale, IF(ISNA(CONVERT(O166, "kg", L166)), CONVERT(P166 * recipe10DayScale, "l", L166), CONVERT(O166 * recipe10DayScale, "kg", L166))), roundTo)</f>
        <v>2.5</v>
      </c>
      <c r="R166" s="52">
        <f>recipe10TotScale * IF(L166 = "", Q166 * M166, IF(ISNA(CONVERT(Q166, L166, "kg")), CONVERT(Q166, L166, "l") * IF(N166 &lt;&gt; 0, M166 / N166, 0), CONVERT(Q166, L166, "kg")))</f>
        <v>0.47125</v>
      </c>
      <c r="S166" s="52">
        <f>recipe10TotScale * IF(R166 = 0, IF(L166 = "", Q166 * N166, IF(ISNA(CONVERT(Q166, L166, "l")), CONVERT(Q166, L166, "kg") * IF(M166 &lt;&gt; 0, N166 / M166, 0), CONVERT(Q166, L166, "l"))), 0)</f>
        <v>0</v>
      </c>
      <c r="T166" s="51">
        <f>recipe10TotScale * IF(AND(R166 = 0, S166 = 0, J166 = "", L166 = ""), Q166, 0)</f>
        <v>0</v>
      </c>
      <c r="V166" s="48" t="b">
        <f>INDEX(itemPrepMethods, MATCH(K166, itemNames, 0))="chop"</f>
        <v>1</v>
      </c>
      <c r="W166" s="62">
        <f>IF(V166, Q166, "")</f>
        <v>2.5</v>
      </c>
      <c r="X166" s="63" t="str">
        <f>IF(V166, IF(L166 = "", "", L166), "")</f>
        <v/>
      </c>
      <c r="Y166" s="63" t="str">
        <f>IF(V166, K166, "")</f>
        <v>chopped yellow capsicums</v>
      </c>
      <c r="Z166" s="64"/>
      <c r="AA166" s="48" t="b">
        <f>INDEX(itemPrepMethods, MATCH(K166, itemNames, 0))="soak"</f>
        <v>0</v>
      </c>
      <c r="AB166" s="63" t="str">
        <f>IF(AA166, Q166, "")</f>
        <v/>
      </c>
      <c r="AC166" s="63" t="str">
        <f>IF(AA166, IF(L166 = "", "", L166), "")</f>
        <v/>
      </c>
      <c r="AD166" s="63" t="str">
        <f>IF(AA166, K166, "")</f>
        <v/>
      </c>
    </row>
    <row r="167" spans="1:30" x14ac:dyDescent="0.25">
      <c r="A167" s="44" t="s">
        <v>21</v>
      </c>
      <c r="B167" s="57">
        <f t="shared" si="141"/>
        <v>6.25</v>
      </c>
      <c r="C167" s="43" t="str">
        <f t="shared" si="142"/>
        <v/>
      </c>
      <c r="D167" s="44" t="str">
        <f>_xlfn.CONCAT(K167, U167)</f>
        <v>sliced celery stalks</v>
      </c>
      <c r="I167" s="67">
        <v>10</v>
      </c>
      <c r="J167" s="60"/>
      <c r="K167" s="60" t="s">
        <v>182</v>
      </c>
      <c r="L167" s="61"/>
      <c r="M167" s="51">
        <f>INDEX(itemGPerQty, MATCH(K167, itemNames, 0))</f>
        <v>0</v>
      </c>
      <c r="N167" s="51">
        <f>INDEX(itemMlPerQty, MATCH(K167, itemNames, 0))</f>
        <v>0</v>
      </c>
      <c r="O167" s="51">
        <f t="shared" si="139"/>
        <v>0</v>
      </c>
      <c r="P167" s="51">
        <f t="shared" si="140"/>
        <v>0</v>
      </c>
      <c r="Q167" s="51">
        <f>MROUND(IF(AND(J167 = "", L167 = ""), I167 * recipe10DayScale, IF(ISNA(CONVERT(O167, "kg", L167)), CONVERT(P167 * recipe10DayScale, "l", L167), CONVERT(O167 * recipe10DayScale, "kg", L167))), roundTo)</f>
        <v>6.25</v>
      </c>
      <c r="R167" s="52">
        <f>recipe10TotScale * IF(L167 = "", Q167 * M167, IF(ISNA(CONVERT(Q167, L167, "kg")), CONVERT(Q167, L167, "l") * IF(N167 &lt;&gt; 0, M167 / N167, 0), CONVERT(Q167, L167, "kg")))</f>
        <v>0</v>
      </c>
      <c r="S167" s="52">
        <f>recipe10TotScale * IF(R167 = 0, IF(L167 = "", Q167 * N167, IF(ISNA(CONVERT(Q167, L167, "l")), CONVERT(Q167, L167, "kg") * IF(M167 &lt;&gt; 0, N167 / M167, 0), CONVERT(Q167, L167, "l"))), 0)</f>
        <v>0</v>
      </c>
      <c r="T167" s="51">
        <f>recipe10TotScale * IF(AND(R167 = 0, S167 = 0, J167 = "", L167 = ""), Q167, 0)</f>
        <v>6.25</v>
      </c>
      <c r="V167" s="48" t="b">
        <f>INDEX(itemPrepMethods, MATCH(K167, itemNames, 0))="chop"</f>
        <v>1</v>
      </c>
      <c r="W167" s="62">
        <f>IF(V167, Q167, "")</f>
        <v>6.25</v>
      </c>
      <c r="X167" s="63" t="str">
        <f>IF(V167, IF(L167 = "", "", L167), "")</f>
        <v/>
      </c>
      <c r="Y167" s="63" t="str">
        <f>IF(V167, K167, "")</f>
        <v>sliced celery stalks</v>
      </c>
      <c r="Z167" s="64"/>
      <c r="AA167" s="48" t="b">
        <f>INDEX(itemPrepMethods, MATCH(K167, itemNames, 0))="soak"</f>
        <v>0</v>
      </c>
      <c r="AB167" s="63" t="str">
        <f>IF(AA167, Q167, "")</f>
        <v/>
      </c>
      <c r="AC167" s="63" t="str">
        <f>IF(AA167, IF(L167 = "", "", L167), "")</f>
        <v/>
      </c>
      <c r="AD167" s="63" t="str">
        <f>IF(AA167, K167, "")</f>
        <v/>
      </c>
    </row>
    <row r="168" spans="1:30" x14ac:dyDescent="0.25">
      <c r="A168" s="44" t="s">
        <v>21</v>
      </c>
      <c r="B168" s="57">
        <f t="shared" ref="B168" si="143">Q168</f>
        <v>3.75</v>
      </c>
      <c r="C168" s="43" t="str">
        <f t="shared" ref="C168" si="144">IF(L168="","",L168)</f>
        <v/>
      </c>
      <c r="D168" s="44" t="str">
        <f>_xlfn.CONCAT(K168, U168)</f>
        <v>tins bamboo</v>
      </c>
      <c r="I168" s="67">
        <v>6</v>
      </c>
      <c r="J168" s="60"/>
      <c r="K168" s="60" t="s">
        <v>184</v>
      </c>
      <c r="L168" s="61"/>
      <c r="M168" s="51">
        <f>INDEX(itemGPerQty, MATCH(K168, itemNames, 0))</f>
        <v>0</v>
      </c>
      <c r="N168" s="51">
        <f>INDEX(itemMlPerQty, MATCH(K168, itemNames, 0))</f>
        <v>0</v>
      </c>
      <c r="O168" s="51">
        <f t="shared" si="139"/>
        <v>0</v>
      </c>
      <c r="P168" s="51">
        <f t="shared" si="140"/>
        <v>0</v>
      </c>
      <c r="Q168" s="51">
        <f>MROUND(IF(AND(J168 = "", L168 = ""), I168 * recipe10DayScale, IF(ISNA(CONVERT(O168, "kg", L168)), CONVERT(P168 * recipe10DayScale, "l", L168), CONVERT(O168 * recipe10DayScale, "kg", L168))), roundTo)</f>
        <v>3.75</v>
      </c>
      <c r="R168" s="52">
        <f>recipe10TotScale * IF(L168 = "", Q168 * M168, IF(ISNA(CONVERT(Q168, L168, "kg")), CONVERT(Q168, L168, "l") * IF(N168 &lt;&gt; 0, M168 / N168, 0), CONVERT(Q168, L168, "kg")))</f>
        <v>0</v>
      </c>
      <c r="S168" s="52">
        <f>recipe10TotScale * IF(R168 = 0, IF(L168 = "", Q168 * N168, IF(ISNA(CONVERT(Q168, L168, "l")), CONVERT(Q168, L168, "kg") * IF(M168 &lt;&gt; 0, N168 / M168, 0), CONVERT(Q168, L168, "l"))), 0)</f>
        <v>0</v>
      </c>
      <c r="T168" s="51">
        <f>recipe10TotScale * IF(AND(R168 = 0, S168 = 0, J168 = "", L168 = ""), Q168, 0)</f>
        <v>3.75</v>
      </c>
      <c r="V168" s="48" t="b">
        <f>INDEX(itemPrepMethods, MATCH(K168, itemNames, 0))="chop"</f>
        <v>0</v>
      </c>
      <c r="W168" s="62" t="str">
        <f>IF(V168, Q168, "")</f>
        <v/>
      </c>
      <c r="X168" s="63" t="str">
        <f>IF(V168, IF(L168 = "", "", L168), "")</f>
        <v/>
      </c>
      <c r="Y168" s="63" t="str">
        <f>IF(V168, K168, "")</f>
        <v/>
      </c>
      <c r="Z168" s="64"/>
      <c r="AA168" s="48" t="b">
        <f>INDEX(itemPrepMethods, MATCH(K168, itemNames, 0))="soak"</f>
        <v>0</v>
      </c>
      <c r="AB168" s="63" t="str">
        <f>IF(AA168, Q168, "")</f>
        <v/>
      </c>
      <c r="AC168" s="63" t="str">
        <f>IF(AA168, IF(L168 = "", "", L168), "")</f>
        <v/>
      </c>
      <c r="AD168" s="63" t="str">
        <f>IF(AA168, K168, "")</f>
        <v/>
      </c>
    </row>
    <row r="169" spans="1:30" x14ac:dyDescent="0.25">
      <c r="A169" s="110"/>
      <c r="B169" s="110"/>
      <c r="C169" s="110"/>
      <c r="D169" s="110"/>
      <c r="I169" s="51"/>
      <c r="L169" s="48"/>
      <c r="M169" s="48"/>
      <c r="N169" s="48"/>
      <c r="W169" s="81"/>
      <c r="X169" s="82"/>
      <c r="Y169" s="82"/>
      <c r="Z169" s="83"/>
      <c r="AA169" s="73"/>
      <c r="AB169" s="81"/>
      <c r="AC169" s="81"/>
      <c r="AD169" s="81"/>
    </row>
    <row r="170" spans="1:30" x14ac:dyDescent="0.25">
      <c r="A170" s="110" t="s">
        <v>166</v>
      </c>
      <c r="B170" s="110"/>
      <c r="C170" s="110"/>
      <c r="D170" s="110"/>
      <c r="I170" s="51"/>
      <c r="L170" s="48"/>
      <c r="M170" s="48"/>
      <c r="N170" s="48"/>
      <c r="W170" s="81"/>
      <c r="X170" s="82"/>
      <c r="Y170" s="82"/>
      <c r="Z170" s="83"/>
      <c r="AA170" s="73"/>
      <c r="AB170" s="81"/>
      <c r="AC170" s="81"/>
      <c r="AD170" s="81"/>
    </row>
    <row r="171" spans="1:30" x14ac:dyDescent="0.25">
      <c r="A171" s="44" t="s">
        <v>21</v>
      </c>
      <c r="B171" s="66">
        <f t="shared" ref="B171" si="145">Q171</f>
        <v>3</v>
      </c>
      <c r="C171" s="98" t="str">
        <f t="shared" ref="C171" si="146">IF(L171="","",L171)</f>
        <v/>
      </c>
      <c r="D171" s="99" t="str">
        <f>_xlfn.CONCAT(K171, U171)</f>
        <v>juiced limes</v>
      </c>
      <c r="I171" s="67">
        <v>4.75</v>
      </c>
      <c r="J171" s="60"/>
      <c r="K171" s="60" t="s">
        <v>405</v>
      </c>
      <c r="L171" s="61"/>
      <c r="M171" s="51">
        <f>INDEX(itemGPerQty, MATCH(K171, itemNames, 0))</f>
        <v>0</v>
      </c>
      <c r="N171" s="51">
        <f>INDEX(itemMlPerQty, MATCH(K171, itemNames, 0))</f>
        <v>0</v>
      </c>
      <c r="O171" s="51">
        <f t="shared" ref="O171:O173" si="147">IF(J171 = "", I171 * M171, IF(ISNA(CONVERT(I171, J171, "kg")), CONVERT(I171, J171, "l") * IF(N171 &lt;&gt; 0, M171 / N171, 0), CONVERT(I171, J171, "kg")))</f>
        <v>0</v>
      </c>
      <c r="P171" s="51">
        <f t="shared" ref="P171:P173" si="148">IF(J171 = "", I171 * N171, IF(ISNA(CONVERT(I171, J171, "l")), CONVERT(I171, J171, "kg") * IF(M171 &lt;&gt; 0, N171 / M171, 0), CONVERT(I171, J171, "l")))</f>
        <v>0</v>
      </c>
      <c r="Q171" s="51">
        <f>MROUND(IF(AND(J171 = "", L171 = ""), I171 * recipe10DayScale, IF(ISNA(CONVERT(O171, "kg", L171)), CONVERT(P171 * recipe10DayScale, "l", L171), CONVERT(O171 * recipe10DayScale, "kg", L171))), roundTo)</f>
        <v>3</v>
      </c>
      <c r="R171" s="52">
        <f>recipe10TotScale * IF(L171 = "", Q171 * M171, IF(ISNA(CONVERT(Q171, L171, "kg")), CONVERT(Q171, L171, "l") * IF(N171 &lt;&gt; 0, M171 / N171, 0), CONVERT(Q171, L171, "kg")))</f>
        <v>0</v>
      </c>
      <c r="S171" s="52">
        <f>recipe10TotScale * IF(R171 = 0, IF(L171 = "", Q171 * N171, IF(ISNA(CONVERT(Q171, L171, "l")), CONVERT(Q171, L171, "kg") * IF(M171 &lt;&gt; 0, N171 / M171, 0), CONVERT(Q171, L171, "l"))), 0)</f>
        <v>0</v>
      </c>
      <c r="T171" s="51">
        <f>recipe10TotScale * IF(AND(R171 = 0, S171 = 0, J171 = "", L171 = ""), Q171, 0)</f>
        <v>3</v>
      </c>
      <c r="V171" s="48" t="b">
        <f>INDEX(itemPrepMethods, MATCH(K171, itemNames, 0))="chop"</f>
        <v>1</v>
      </c>
      <c r="W171" s="62">
        <f>IF(V171, Q171, "")</f>
        <v>3</v>
      </c>
      <c r="X171" s="63" t="str">
        <f>IF(V171, IF(L171 = "", "", L171), "")</f>
        <v/>
      </c>
      <c r="Y171" s="63" t="str">
        <f>IF(V171, K171, "")</f>
        <v>juiced limes</v>
      </c>
      <c r="Z171" s="64"/>
      <c r="AA171" s="48" t="b">
        <f>INDEX(itemPrepMethods, MATCH(K171, itemNames, 0))="soak"</f>
        <v>0</v>
      </c>
      <c r="AB171" s="63" t="str">
        <f>IF(AA171, Q171, "")</f>
        <v/>
      </c>
      <c r="AC171" s="63" t="str">
        <f>IF(AA171, IF(L171 = "", "", L171), "")</f>
        <v/>
      </c>
      <c r="AD171" s="63" t="str">
        <f>IF(AA171, K171, "")</f>
        <v/>
      </c>
    </row>
    <row r="172" spans="1:30" x14ac:dyDescent="0.25">
      <c r="A172" s="44" t="s">
        <v>21</v>
      </c>
      <c r="B172" s="57">
        <f t="shared" ref="B172" si="149">Q172</f>
        <v>750</v>
      </c>
      <c r="C172" s="43" t="str">
        <f t="shared" ref="C172" si="150">IF(L172="","",L172)</f>
        <v>g</v>
      </c>
      <c r="D172" s="44" t="str">
        <f>_xlfn.CONCAT(K172, U172)</f>
        <v>green beans</v>
      </c>
      <c r="I172" s="67">
        <v>1.2</v>
      </c>
      <c r="J172" s="60" t="s">
        <v>12</v>
      </c>
      <c r="K172" s="60" t="s">
        <v>187</v>
      </c>
      <c r="L172" s="61" t="s">
        <v>0</v>
      </c>
      <c r="M172" s="51">
        <f>INDEX(itemGPerQty, MATCH(K172, itemNames, 0))</f>
        <v>0</v>
      </c>
      <c r="N172" s="51">
        <f>INDEX(itemMlPerQty, MATCH(K172, itemNames, 0))</f>
        <v>0</v>
      </c>
      <c r="O172" s="51">
        <f t="shared" si="147"/>
        <v>1.2</v>
      </c>
      <c r="P172" s="51">
        <f t="shared" si="148"/>
        <v>0</v>
      </c>
      <c r="Q172" s="51">
        <f>MROUND(IF(AND(J172 = "", L172 = ""), I172 * recipe10DayScale, IF(ISNA(CONVERT(O172, "kg", L172)), CONVERT(P172 * recipe10DayScale, "l", L172), CONVERT(O172 * recipe10DayScale, "kg", L172))), roundTo)</f>
        <v>750</v>
      </c>
      <c r="R172" s="52">
        <f>recipe10TotScale * IF(L172 = "", Q172 * M172, IF(ISNA(CONVERT(Q172, L172, "kg")), CONVERT(Q172, L172, "l") * IF(N172 &lt;&gt; 0, M172 / N172, 0), CONVERT(Q172, L172, "kg")))</f>
        <v>0.75</v>
      </c>
      <c r="S172" s="52">
        <f>recipe10TotScale * IF(R172 = 0, IF(L172 = "", Q172 * N172, IF(ISNA(CONVERT(Q172, L172, "l")), CONVERT(Q172, L172, "kg") * IF(M172 &lt;&gt; 0, N172 / M172, 0), CONVERT(Q172, L172, "l"))), 0)</f>
        <v>0</v>
      </c>
      <c r="T172" s="51">
        <f>recipe10TotScale * IF(AND(R172 = 0, S172 = 0, J172 = "", L172 = ""), Q172, 0)</f>
        <v>0</v>
      </c>
      <c r="V172" s="48" t="b">
        <f>INDEX(itemPrepMethods, MATCH(K172, itemNames, 0))="chop"</f>
        <v>0</v>
      </c>
      <c r="W172" s="62" t="str">
        <f>IF(V172, Q172, "")</f>
        <v/>
      </c>
      <c r="X172" s="63" t="str">
        <f>IF(V172, IF(L172 = "", "", L172), "")</f>
        <v/>
      </c>
      <c r="Y172" s="63" t="str">
        <f>IF(V172, K172, "")</f>
        <v/>
      </c>
      <c r="Z172" s="64"/>
      <c r="AA172" s="48" t="b">
        <f>INDEX(itemPrepMethods, MATCH(K172, itemNames, 0))="soak"</f>
        <v>0</v>
      </c>
      <c r="AB172" s="63" t="str">
        <f>IF(AA172, Q172, "")</f>
        <v/>
      </c>
      <c r="AC172" s="63" t="str">
        <f>IF(AA172, IF(L172 = "", "", L172), "")</f>
        <v/>
      </c>
      <c r="AD172" s="63" t="str">
        <f>IF(AA172, K172, "")</f>
        <v/>
      </c>
    </row>
    <row r="173" spans="1:30" x14ac:dyDescent="0.25">
      <c r="A173" s="44" t="s">
        <v>21</v>
      </c>
      <c r="B173" s="57">
        <f t="shared" ref="B173" si="151">Q173</f>
        <v>1.25</v>
      </c>
      <c r="C173" s="43" t="str">
        <f t="shared" ref="C173" si="152">IF(L173="","",L173)</f>
        <v/>
      </c>
      <c r="D173" s="44" t="str">
        <f>_xlfn.CONCAT(K173, U173)</f>
        <v>tins coconut cream</v>
      </c>
      <c r="I173" s="67">
        <v>1.9</v>
      </c>
      <c r="J173" s="60"/>
      <c r="K173" s="60" t="s">
        <v>114</v>
      </c>
      <c r="L173" s="61"/>
      <c r="M173" s="51">
        <f>INDEX(itemGPerQty, MATCH(K173, itemNames, 0))</f>
        <v>0</v>
      </c>
      <c r="N173" s="51">
        <f>INDEX(itemMlPerQty, MATCH(K173, itemNames, 0))</f>
        <v>0</v>
      </c>
      <c r="O173" s="51">
        <f t="shared" si="147"/>
        <v>0</v>
      </c>
      <c r="P173" s="51">
        <f t="shared" si="148"/>
        <v>0</v>
      </c>
      <c r="Q173" s="51">
        <f>MROUND(IF(AND(J173 = "", L173 = ""), I173 * recipe10DayScale, IF(ISNA(CONVERT(O173, "kg", L173)), CONVERT(P173 * recipe10DayScale, "l", L173), CONVERT(O173 * recipe10DayScale, "kg", L173))), roundTo)</f>
        <v>1.25</v>
      </c>
      <c r="R173" s="52">
        <f>recipe10TotScale * IF(L173 = "", Q173 * M173, IF(ISNA(CONVERT(Q173, L173, "kg")), CONVERT(Q173, L173, "l") * IF(N173 &lt;&gt; 0, M173 / N173, 0), CONVERT(Q173, L173, "kg")))</f>
        <v>0</v>
      </c>
      <c r="S173" s="52">
        <f>recipe10TotScale * IF(R173 = 0, IF(L173 = "", Q173 * N173, IF(ISNA(CONVERT(Q173, L173, "l")), CONVERT(Q173, L173, "kg") * IF(M173 &lt;&gt; 0, N173 / M173, 0), CONVERT(Q173, L173, "l"))), 0)</f>
        <v>0</v>
      </c>
      <c r="T173" s="51">
        <f>recipe10TotScale * IF(AND(R173 = 0, S173 = 0, J173 = "", L173 = ""), Q173, 0)</f>
        <v>1.25</v>
      </c>
      <c r="V173" s="48" t="b">
        <f>INDEX(itemPrepMethods, MATCH(K173, itemNames, 0))="chop"</f>
        <v>0</v>
      </c>
      <c r="W173" s="62" t="str">
        <f>IF(V173, Q173, "")</f>
        <v/>
      </c>
      <c r="X173" s="63" t="str">
        <f>IF(V173, IF(L173 = "", "", L173), "")</f>
        <v/>
      </c>
      <c r="Y173" s="63" t="str">
        <f>IF(V173, K173, "")</f>
        <v/>
      </c>
      <c r="Z173" s="64"/>
      <c r="AA173" s="48" t="b">
        <f>INDEX(itemPrepMethods, MATCH(K173, itemNames, 0))="soak"</f>
        <v>0</v>
      </c>
      <c r="AB173" s="63" t="str">
        <f>IF(AA173, Q173, "")</f>
        <v/>
      </c>
      <c r="AC173" s="63" t="str">
        <f>IF(AA173, IF(L173 = "", "", L173), "")</f>
        <v/>
      </c>
      <c r="AD173" s="63" t="str">
        <f>IF(AA173, K173, "")</f>
        <v/>
      </c>
    </row>
    <row r="174" spans="1:30" x14ac:dyDescent="0.25">
      <c r="A174" s="110"/>
      <c r="B174" s="110"/>
      <c r="C174" s="110"/>
      <c r="D174" s="110"/>
      <c r="I174" s="51"/>
      <c r="L174" s="48"/>
      <c r="M174" s="48"/>
      <c r="N174" s="48"/>
      <c r="W174" s="81"/>
      <c r="X174" s="82"/>
      <c r="Y174" s="82"/>
      <c r="Z174" s="83"/>
      <c r="AA174" s="73"/>
      <c r="AB174" s="81"/>
      <c r="AC174" s="81"/>
      <c r="AD174" s="81"/>
    </row>
    <row r="175" spans="1:30" x14ac:dyDescent="0.25">
      <c r="A175" s="110" t="s">
        <v>309</v>
      </c>
      <c r="B175" s="110"/>
      <c r="C175" s="110"/>
      <c r="D175" s="110"/>
      <c r="I175" s="51"/>
      <c r="L175" s="48"/>
      <c r="M175" s="48"/>
      <c r="N175" s="48"/>
      <c r="W175" s="81"/>
      <c r="X175" s="82"/>
      <c r="Y175" s="82"/>
      <c r="Z175" s="83"/>
      <c r="AA175" s="73"/>
      <c r="AB175" s="81"/>
      <c r="AC175" s="81"/>
      <c r="AD175" s="81"/>
    </row>
    <row r="176" spans="1:30" x14ac:dyDescent="0.25">
      <c r="A176" s="110"/>
      <c r="B176" s="110"/>
      <c r="C176" s="110"/>
      <c r="D176" s="110"/>
      <c r="I176" s="51"/>
      <c r="L176" s="48"/>
      <c r="M176" s="48"/>
      <c r="N176" s="48"/>
      <c r="W176" s="81"/>
      <c r="X176" s="82"/>
      <c r="Y176" s="82"/>
      <c r="Z176" s="83"/>
      <c r="AA176" s="73"/>
      <c r="AB176" s="81"/>
      <c r="AC176" s="81"/>
      <c r="AD176" s="81"/>
    </row>
    <row r="177" spans="1:30" x14ac:dyDescent="0.25">
      <c r="A177" s="110" t="s">
        <v>191</v>
      </c>
      <c r="B177" s="110"/>
      <c r="C177" s="110"/>
      <c r="D177" s="110"/>
      <c r="I177" s="51"/>
      <c r="L177" s="48"/>
      <c r="M177" s="48"/>
      <c r="N177" s="48"/>
      <c r="W177" s="81"/>
      <c r="X177" s="82"/>
      <c r="Y177" s="82"/>
      <c r="Z177" s="83"/>
      <c r="AA177" s="73"/>
      <c r="AB177" s="81"/>
      <c r="AC177" s="81"/>
      <c r="AD177" s="81"/>
    </row>
    <row r="178" spans="1:30" x14ac:dyDescent="0.25">
      <c r="A178" s="44" t="s">
        <v>21</v>
      </c>
      <c r="B178" s="57">
        <f t="shared" ref="B178" si="153">Q178</f>
        <v>2</v>
      </c>
      <c r="C178" s="43" t="str">
        <f t="shared" ref="C178:C180" si="154">IF(L178="","",L178)</f>
        <v>cup</v>
      </c>
      <c r="D178" s="44" t="str">
        <f>_xlfn.CONCAT(K178, U178)</f>
        <v>cashew nuts</v>
      </c>
      <c r="I178" s="67">
        <v>3</v>
      </c>
      <c r="J178" s="60" t="s">
        <v>16</v>
      </c>
      <c r="K178" s="60" t="s">
        <v>192</v>
      </c>
      <c r="L178" s="61" t="s">
        <v>16</v>
      </c>
      <c r="M178" s="51">
        <f>INDEX(itemGPerQty, MATCH(K178, itemNames, 0))</f>
        <v>0</v>
      </c>
      <c r="N178" s="51">
        <f>INDEX(itemMlPerQty, MATCH(K178, itemNames, 0))</f>
        <v>0</v>
      </c>
      <c r="O178" s="51">
        <f>IF(J178 = "", I178 * M178, IF(ISNA(CONVERT(I178, J178, "kg")), CONVERT(I178, J178, "l") * IF(N178 &lt;&gt; 0, M178 / N178, 0), CONVERT(I178, J178, "kg")))</f>
        <v>0</v>
      </c>
      <c r="P178" s="51">
        <f>IF(J178 = "", I178 * N178, IF(ISNA(CONVERT(I178, J178, "l")), CONVERT(I178, J178, "kg") * IF(M178 &lt;&gt; 0, N178 / M178, 0), CONVERT(I178, J178, "l")))</f>
        <v>0.70976470949999992</v>
      </c>
      <c r="Q178" s="51">
        <f>MROUND(IF(AND(J178 = "", L178 = ""), I178 * recipe10DayScale, IF(ISNA(CONVERT(O178, "kg", L178)), CONVERT(P178 * recipe10DayScale, "l", L178), CONVERT(O178 * recipe10DayScale, "kg", L178))), roundTo)</f>
        <v>2</v>
      </c>
      <c r="R178" s="52">
        <f>recipe10TotScale * IF(L178 = "", Q178 * M178, IF(ISNA(CONVERT(Q178, L178, "kg")), CONVERT(Q178, L178, "l") * IF(N178 &lt;&gt; 0, M178 / N178, 0), CONVERT(Q178, L178, "kg")))</f>
        <v>0</v>
      </c>
      <c r="S178" s="52">
        <f>recipe10TotScale * IF(R178 = 0, IF(L178 = "", Q178 * N178, IF(ISNA(CONVERT(Q178, L178, "l")), CONVERT(Q178, L178, "kg") * IF(M178 &lt;&gt; 0, N178 / M178, 0), CONVERT(Q178, L178, "l"))), 0)</f>
        <v>0.47317647299999999</v>
      </c>
      <c r="T178" s="51">
        <f>recipe10TotScale * IF(AND(R178 = 0, S178 = 0, J178 = "", L178 = ""), Q178, 0)</f>
        <v>0</v>
      </c>
      <c r="V178" s="48" t="b">
        <f>INDEX(itemPrepMethods, MATCH(K178, itemNames, 0))="chop"</f>
        <v>0</v>
      </c>
      <c r="W178" s="62" t="str">
        <f>IF(V178, Q178, "")</f>
        <v/>
      </c>
      <c r="X178" s="63" t="str">
        <f>IF(V178, IF(L178 = "", "", L178), "")</f>
        <v/>
      </c>
      <c r="Y178" s="63" t="str">
        <f>IF(V178, K178, "")</f>
        <v/>
      </c>
      <c r="Z178" s="64"/>
      <c r="AA178" s="48" t="b">
        <f>INDEX(itemPrepMethods, MATCH(K178, itemNames, 0))="soak"</f>
        <v>0</v>
      </c>
      <c r="AB178" s="63" t="str">
        <f>IF(AA178, Q178, "")</f>
        <v/>
      </c>
      <c r="AC178" s="63" t="str">
        <f>IF(AA178, IF(L178 = "", "", L178), "")</f>
        <v/>
      </c>
      <c r="AD178" s="63" t="str">
        <f>IF(AA178, K178, "")</f>
        <v/>
      </c>
    </row>
    <row r="179" spans="1:30" x14ac:dyDescent="0.25">
      <c r="A179" s="44" t="s">
        <v>21</v>
      </c>
      <c r="B179" s="57"/>
      <c r="C179" s="43" t="str">
        <f t="shared" si="154"/>
        <v/>
      </c>
      <c r="D179" s="44" t="str">
        <f>_xlfn.CONCAT(K179, U179)</f>
        <v>grilled tofu</v>
      </c>
      <c r="I179" s="51"/>
      <c r="L179" s="48"/>
      <c r="M179" s="48"/>
      <c r="N179" s="48"/>
      <c r="O179" s="48"/>
      <c r="P179" s="48"/>
      <c r="Q179" s="48"/>
      <c r="R179" s="48"/>
      <c r="S179" s="48"/>
      <c r="T179" s="48"/>
      <c r="U179" s="48" t="s">
        <v>131</v>
      </c>
      <c r="V179" s="73"/>
      <c r="W179" s="81"/>
      <c r="X179" s="82"/>
      <c r="Y179" s="82"/>
      <c r="Z179" s="83"/>
      <c r="AA179" s="73"/>
      <c r="AB179" s="81"/>
      <c r="AC179" s="81"/>
      <c r="AD179" s="81"/>
    </row>
    <row r="180" spans="1:30" x14ac:dyDescent="0.25">
      <c r="A180" s="44" t="s">
        <v>21</v>
      </c>
      <c r="B180" s="57"/>
      <c r="C180" s="43" t="str">
        <f t="shared" si="154"/>
        <v/>
      </c>
      <c r="D180" s="44" t="str">
        <f>_xlfn.CONCAT(K180, U180)</f>
        <v>sprigs fresh corriander, for garnish</v>
      </c>
      <c r="I180" s="68"/>
      <c r="J180" s="65"/>
      <c r="K180" s="60" t="s">
        <v>90</v>
      </c>
      <c r="L180" s="65"/>
      <c r="M180" s="65"/>
      <c r="N180" s="65"/>
      <c r="O180" s="65"/>
      <c r="P180" s="65"/>
      <c r="U180" s="48" t="s">
        <v>224</v>
      </c>
      <c r="V180" s="48" t="b">
        <f>INDEX(itemPrepMethods, MATCH(K180, itemNames, 0))="chop"</f>
        <v>0</v>
      </c>
      <c r="W180" s="62" t="str">
        <f>IF(V180, Q180, "")</f>
        <v/>
      </c>
      <c r="X180" s="63" t="str">
        <f>IF(V180, IF(L180 = "", "", L180), "")</f>
        <v/>
      </c>
      <c r="Y180" s="63" t="str">
        <f>IF(V180, K180, "")</f>
        <v/>
      </c>
      <c r="Z180" s="64"/>
      <c r="AA180" s="48" t="b">
        <f>INDEX(itemPrepMethods, MATCH(K180, itemNames, 0))="soak"</f>
        <v>0</v>
      </c>
      <c r="AB180" s="63" t="str">
        <f>IF(AA180, Q180, "")</f>
        <v/>
      </c>
      <c r="AC180" s="63" t="str">
        <f>IF(AA180, IF(L180 = "", "", L180), "")</f>
        <v/>
      </c>
      <c r="AD180" s="63" t="str">
        <f>IF(AA180, K180, "")</f>
        <v/>
      </c>
    </row>
    <row r="181" spans="1:30" ht="15.75" x14ac:dyDescent="0.25">
      <c r="A181" s="111" t="s">
        <v>29</v>
      </c>
      <c r="B181" s="111"/>
      <c r="C181" s="111"/>
      <c r="D181" s="111"/>
      <c r="E181" s="47" t="s">
        <v>139</v>
      </c>
      <c r="F181" s="112" t="s">
        <v>85</v>
      </c>
      <c r="G181" s="112"/>
      <c r="H181" s="51"/>
    </row>
    <row r="182" spans="1:30" ht="24" x14ac:dyDescent="0.2">
      <c r="A182" s="111" t="s">
        <v>265</v>
      </c>
      <c r="B182" s="111"/>
      <c r="C182" s="111"/>
      <c r="D182" s="111"/>
      <c r="E182" s="46" t="s">
        <v>59</v>
      </c>
      <c r="F182" s="97">
        <v>15</v>
      </c>
      <c r="G182" s="51"/>
      <c r="H182" s="51"/>
      <c r="I182" s="76" t="s">
        <v>57</v>
      </c>
      <c r="J182" s="77" t="s">
        <v>58</v>
      </c>
      <c r="K182" s="77" t="s">
        <v>17</v>
      </c>
      <c r="L182" s="78" t="s">
        <v>56</v>
      </c>
      <c r="M182" s="76" t="s">
        <v>151</v>
      </c>
      <c r="N182" s="76" t="s">
        <v>152</v>
      </c>
      <c r="O182" s="76" t="s">
        <v>153</v>
      </c>
      <c r="P182" s="76" t="s">
        <v>154</v>
      </c>
      <c r="Q182" s="77" t="s">
        <v>374</v>
      </c>
      <c r="R182" s="79" t="s">
        <v>375</v>
      </c>
      <c r="S182" s="79" t="s">
        <v>376</v>
      </c>
      <c r="T182" s="76" t="s">
        <v>377</v>
      </c>
      <c r="U182" s="77" t="s">
        <v>22</v>
      </c>
      <c r="V182" s="77" t="s">
        <v>218</v>
      </c>
      <c r="W182" s="80" t="s">
        <v>374</v>
      </c>
      <c r="X182" s="77" t="s">
        <v>216</v>
      </c>
      <c r="Y182" s="77" t="s">
        <v>217</v>
      </c>
      <c r="Z182" s="77" t="s">
        <v>321</v>
      </c>
      <c r="AA182" s="77" t="s">
        <v>219</v>
      </c>
      <c r="AB182" s="80" t="s">
        <v>374</v>
      </c>
      <c r="AC182" s="77" t="s">
        <v>220</v>
      </c>
      <c r="AD182" s="77" t="s">
        <v>221</v>
      </c>
    </row>
    <row r="183" spans="1:30" ht="15.75" thickBot="1" x14ac:dyDescent="0.3">
      <c r="A183" s="110"/>
      <c r="B183" s="110"/>
      <c r="C183" s="110"/>
      <c r="D183" s="110"/>
      <c r="E183" s="72" t="s">
        <v>369</v>
      </c>
      <c r="F183" s="97">
        <f>moDiCount</f>
        <v>10</v>
      </c>
      <c r="G183" s="51"/>
      <c r="H183" s="51"/>
      <c r="I183" s="68"/>
      <c r="J183" s="46"/>
      <c r="K183" s="46"/>
      <c r="L183" s="69"/>
      <c r="M183" s="68"/>
      <c r="N183" s="68"/>
      <c r="O183" s="68"/>
      <c r="P183" s="68"/>
      <c r="Q183" s="46"/>
      <c r="R183" s="70"/>
      <c r="S183" s="70"/>
      <c r="T183" s="68"/>
      <c r="U183" s="46"/>
      <c r="V183" s="46"/>
      <c r="W183" s="65"/>
      <c r="X183" s="46"/>
      <c r="Y183" s="46"/>
      <c r="Z183" s="45"/>
      <c r="AA183" s="46"/>
      <c r="AB183" s="46"/>
      <c r="AC183" s="46"/>
      <c r="AD183" s="46"/>
    </row>
    <row r="184" spans="1:30" ht="15.75" thickBot="1" x14ac:dyDescent="0.3">
      <c r="A184" s="110" t="s">
        <v>266</v>
      </c>
      <c r="B184" s="110"/>
      <c r="C184" s="110"/>
      <c r="D184" s="110"/>
      <c r="E184" s="72" t="s">
        <v>372</v>
      </c>
      <c r="F184" s="55">
        <f>F183/F182</f>
        <v>0.66666666666666663</v>
      </c>
      <c r="G184" s="56" t="s">
        <v>390</v>
      </c>
      <c r="H184" s="58"/>
      <c r="I184" s="51"/>
    </row>
    <row r="185" spans="1:30" x14ac:dyDescent="0.25">
      <c r="A185" s="44" t="s">
        <v>21</v>
      </c>
      <c r="B185" s="57">
        <f>Q185</f>
        <v>3</v>
      </c>
      <c r="C185" s="43" t="str">
        <f>IF(L185="","",L185)</f>
        <v>l</v>
      </c>
      <c r="D185" s="44" t="str">
        <f>_xlfn.CONCAT(K185, U185)</f>
        <v>vegetable stock</v>
      </c>
      <c r="E185" s="73"/>
      <c r="F185" s="73"/>
      <c r="G185" s="73"/>
      <c r="I185" s="59">
        <v>4.5</v>
      </c>
      <c r="J185" s="60" t="s">
        <v>60</v>
      </c>
      <c r="K185" s="60" t="s">
        <v>61</v>
      </c>
      <c r="L185" s="61" t="s">
        <v>60</v>
      </c>
      <c r="M185" s="51">
        <f>INDEX(itemGPerQty, MATCH(K185, itemNames, 0))</f>
        <v>0</v>
      </c>
      <c r="N185" s="51">
        <f>INDEX(itemMlPerQty, MATCH(K185, itemNames, 0))</f>
        <v>0</v>
      </c>
      <c r="O185" s="51">
        <f>IF(J185 = "", I185 * M185, IF(ISNA(CONVERT(I185, J185, "kg")), CONVERT(I185, J185, "l") * IF(N185 &lt;&gt; 0, M185 / N185, 0), CONVERT(I185, J185, "kg")))</f>
        <v>0</v>
      </c>
      <c r="P185" s="51">
        <f>IF(J185 = "", I185 * N185, IF(ISNA(CONVERT(I185, J185, "l")), CONVERT(I185, J185, "kg") * IF(M185 &lt;&gt; 0, N185 / M185, 0), CONVERT(I185, J185, "l")))</f>
        <v>4.5</v>
      </c>
      <c r="Q185" s="51">
        <f>MROUND(IF(AND(J185 = "", L185 = ""), I185 * recipe05DayScale, IF(ISNA(CONVERT(O185, "kg", L185)), CONVERT(P185 * recipe05DayScale, "l", L185), CONVERT(O185 * recipe05DayScale, "kg", L185))), roundTo)</f>
        <v>3</v>
      </c>
      <c r="R185" s="52">
        <f>recipe05TotScale * IF(L185 = "", Q185 * M185, IF(ISNA(CONVERT(Q185, L185, "kg")), CONVERT(Q185, L185, "l") * IF(N185 &lt;&gt; 0, M185 / N185, 0), CONVERT(Q185, L185, "kg")))</f>
        <v>0</v>
      </c>
      <c r="S185" s="52">
        <f>recipe05TotScale * IF(R185 = 0, IF(L185 = "", Q185 * N185, IF(ISNA(CONVERT(Q185, L185, "l")), CONVERT(Q185, L185, "kg") * IF(M185 &lt;&gt; 0, N185 / M185, 0), CONVERT(Q185, L185, "l"))), 0)</f>
        <v>3</v>
      </c>
      <c r="T185" s="51">
        <f>recipe05TotScale * IF(AND(R185 = 0, S185 = 0, J185 = "", L185 = ""), Q185, 0)</f>
        <v>0</v>
      </c>
      <c r="V185" s="48" t="b">
        <f>INDEX(itemPrepMethods, MATCH(K185, itemNames, 0))="chop"</f>
        <v>0</v>
      </c>
      <c r="W185" s="62" t="str">
        <f>IF(V185, Q185, "")</f>
        <v/>
      </c>
      <c r="X185" s="63" t="str">
        <f>IF(V185, IF(L185 = "", "", L185), "")</f>
        <v/>
      </c>
      <c r="Y185" s="63" t="str">
        <f>IF(V185, K185, "")</f>
        <v/>
      </c>
      <c r="Z185" s="64"/>
      <c r="AA185" s="48" t="b">
        <f>INDEX(itemPrepMethods, MATCH(K185, itemNames, 0))="soak"</f>
        <v>0</v>
      </c>
      <c r="AB185" s="63" t="str">
        <f>IF(AA185, Q185, "")</f>
        <v/>
      </c>
      <c r="AC185" s="63" t="str">
        <f>IF(AA185, IF(L185 = "", "", L185), "")</f>
        <v/>
      </c>
      <c r="AD185" s="63" t="str">
        <f>IF(AA185, K185, "")</f>
        <v/>
      </c>
    </row>
    <row r="186" spans="1:30" ht="16.5" thickBot="1" x14ac:dyDescent="0.3">
      <c r="A186" s="113"/>
      <c r="B186" s="113"/>
      <c r="C186" s="113"/>
      <c r="D186" s="113"/>
      <c r="E186" s="72" t="s">
        <v>348</v>
      </c>
      <c r="F186" s="97">
        <f>moDiCount</f>
        <v>10</v>
      </c>
      <c r="G186" s="73"/>
      <c r="H186" s="51"/>
      <c r="I186" s="68"/>
      <c r="J186" s="46"/>
      <c r="K186" s="46"/>
      <c r="L186" s="69"/>
      <c r="M186" s="68"/>
      <c r="N186" s="68"/>
      <c r="O186" s="68"/>
      <c r="P186" s="68"/>
      <c r="Q186" s="46"/>
      <c r="R186" s="70"/>
      <c r="S186" s="70"/>
      <c r="T186" s="68"/>
      <c r="U186" s="46"/>
      <c r="W186" s="81"/>
      <c r="X186" s="81"/>
      <c r="Y186" s="81"/>
      <c r="Z186" s="81"/>
      <c r="AA186" s="73"/>
      <c r="AB186" s="81"/>
      <c r="AC186" s="81"/>
      <c r="AD186" s="81"/>
    </row>
    <row r="187" spans="1:30" ht="15.75" thickBot="1" x14ac:dyDescent="0.3">
      <c r="A187" s="110" t="s">
        <v>127</v>
      </c>
      <c r="B187" s="110"/>
      <c r="C187" s="110"/>
      <c r="D187" s="110"/>
      <c r="E187" s="72" t="s">
        <v>373</v>
      </c>
      <c r="F187" s="55">
        <f>F186/F183</f>
        <v>1</v>
      </c>
      <c r="G187" s="56" t="s">
        <v>391</v>
      </c>
      <c r="H187" s="51"/>
      <c r="I187" s="68"/>
      <c r="J187" s="46"/>
      <c r="K187" s="46"/>
      <c r="L187" s="69"/>
      <c r="M187" s="68"/>
      <c r="N187" s="68"/>
      <c r="O187" s="68"/>
      <c r="P187" s="68"/>
      <c r="Q187" s="46"/>
      <c r="R187" s="70"/>
      <c r="S187" s="70"/>
      <c r="T187" s="68"/>
      <c r="U187" s="46"/>
      <c r="W187" s="81"/>
      <c r="X187" s="81"/>
      <c r="Y187" s="81"/>
      <c r="Z187" s="81"/>
      <c r="AA187" s="73"/>
      <c r="AB187" s="81"/>
      <c r="AC187" s="81"/>
      <c r="AD187" s="81"/>
    </row>
    <row r="188" spans="1:30" x14ac:dyDescent="0.25">
      <c r="A188" s="44" t="s">
        <v>21</v>
      </c>
      <c r="B188" s="57">
        <f t="shared" ref="B188:B203" si="155">Q188</f>
        <v>16</v>
      </c>
      <c r="C188" s="43" t="str">
        <f t="shared" ref="C188:C212" si="156">IF(L188="","",L188)</f>
        <v/>
      </c>
      <c r="D188" s="44" t="str">
        <f>_xlfn.CONCAT(K188, U188)</f>
        <v>chopped kumara</v>
      </c>
      <c r="I188" s="59">
        <v>24</v>
      </c>
      <c r="J188" s="60"/>
      <c r="K188" s="60" t="s">
        <v>163</v>
      </c>
      <c r="L188" s="61"/>
      <c r="M188" s="51">
        <f t="shared" ref="M188:M203" si="157">INDEX(itemGPerQty, MATCH(K188, itemNames, 0))</f>
        <v>0.34</v>
      </c>
      <c r="N188" s="51">
        <f t="shared" ref="N188:N203" si="158">INDEX(itemMlPerQty, MATCH(K188, itemNames, 0))</f>
        <v>0</v>
      </c>
      <c r="O188" s="51">
        <f t="shared" ref="O188:O203" si="159">IF(J188 = "", I188 * M188, IF(ISNA(CONVERT(I188, J188, "kg")), CONVERT(I188, J188, "l") * IF(N188 &lt;&gt; 0, M188 / N188, 0), CONVERT(I188, J188, "kg")))</f>
        <v>8.16</v>
      </c>
      <c r="P188" s="51">
        <f t="shared" ref="P188:P203" si="160">IF(J188 = "", I188 * N188, IF(ISNA(CONVERT(I188, J188, "l")), CONVERT(I188, J188, "kg") * IF(M188 &lt;&gt; 0, N188 / M188, 0), CONVERT(I188, J188, "l")))</f>
        <v>0</v>
      </c>
      <c r="Q188" s="51">
        <f>MROUND(IF(AND(J188 = "", L188 = ""), I188 * recipe05DayScale, IF(ISNA(CONVERT(O188, "kg", L188)), CONVERT(P188 * recipe05DayScale, "l", L188), CONVERT(O188 * recipe05DayScale, "kg", L188))), roundTo)</f>
        <v>16</v>
      </c>
      <c r="R188" s="52">
        <f>recipe05TotScale * IF(L188 = "", Q188 * M188, IF(ISNA(CONVERT(Q188, L188, "kg")), CONVERT(Q188, L188, "l") * IF(N188 &lt;&gt; 0, M188 / N188, 0), CONVERT(Q188, L188, "kg")))</f>
        <v>5.44</v>
      </c>
      <c r="S188" s="52">
        <f>recipe05TotScale * IF(R188 = 0, IF(L188 = "", Q188 * N188, IF(ISNA(CONVERT(Q188, L188, "l")), CONVERT(Q188, L188, "kg") * IF(M188 &lt;&gt; 0, N188 / M188, 0), CONVERT(Q188, L188, "l"))), 0)</f>
        <v>0</v>
      </c>
      <c r="T188" s="51">
        <f>recipe05TotScale * IF(AND(R188 = 0, S188 = 0, J188 = "", L188 = ""), Q188, 0)</f>
        <v>0</v>
      </c>
      <c r="V188" s="48" t="b">
        <f>INDEX(itemPrepMethods, MATCH(K188, itemNames, 0))="chop"</f>
        <v>1</v>
      </c>
      <c r="W188" s="62">
        <f>IF(V188, Q188, "")</f>
        <v>16</v>
      </c>
      <c r="X188" s="63" t="str">
        <f>IF(V188, IF(L188 = "", "", L188), "")</f>
        <v/>
      </c>
      <c r="Y188" s="63" t="str">
        <f>IF(V188, K188, "")</f>
        <v>chopped kumara</v>
      </c>
      <c r="Z188" s="64"/>
      <c r="AA188" s="48" t="b">
        <f>INDEX(itemPrepMethods, MATCH(K188, itemNames, 0))="soak"</f>
        <v>0</v>
      </c>
      <c r="AB188" s="63" t="str">
        <f>IF(AA188, Q188, "")</f>
        <v/>
      </c>
      <c r="AC188" s="63" t="str">
        <f>IF(AA188, IF(L188 = "", "", L188), "")</f>
        <v/>
      </c>
      <c r="AD188" s="63" t="str">
        <f>IF(AA188, K188, "")</f>
        <v/>
      </c>
    </row>
    <row r="189" spans="1:30" x14ac:dyDescent="0.25">
      <c r="A189" s="44" t="s">
        <v>21</v>
      </c>
      <c r="B189" s="57">
        <f t="shared" si="155"/>
        <v>8</v>
      </c>
      <c r="C189" s="43" t="str">
        <f t="shared" si="156"/>
        <v/>
      </c>
      <c r="D189" s="44" t="str">
        <f>_xlfn.CONCAT(K189, U189)</f>
        <v>chopped carrots</v>
      </c>
      <c r="I189" s="59">
        <v>12</v>
      </c>
      <c r="J189" s="60"/>
      <c r="K189" s="60" t="s">
        <v>5</v>
      </c>
      <c r="L189" s="61"/>
      <c r="M189" s="51">
        <f t="shared" si="157"/>
        <v>0.14833333333333334</v>
      </c>
      <c r="N189" s="51">
        <f t="shared" si="158"/>
        <v>0.19999999999999998</v>
      </c>
      <c r="O189" s="51">
        <f t="shared" si="159"/>
        <v>1.7800000000000002</v>
      </c>
      <c r="P189" s="51">
        <f t="shared" si="160"/>
        <v>2.4</v>
      </c>
      <c r="Q189" s="51">
        <f>MROUND(IF(AND(J189 = "", L189 = ""), I189 * recipe05DayScale, IF(ISNA(CONVERT(O189, "kg", L189)), CONVERT(P189 * recipe05DayScale, "l", L189), CONVERT(O189 * recipe05DayScale, "kg", L189))), roundTo)</f>
        <v>8</v>
      </c>
      <c r="R189" s="52">
        <f>recipe05TotScale * IF(L189 = "", Q189 * M189, IF(ISNA(CONVERT(Q189, L189, "kg")), CONVERT(Q189, L189, "l") * IF(N189 &lt;&gt; 0, M189 / N189, 0), CONVERT(Q189, L189, "kg")))</f>
        <v>1.1866666666666668</v>
      </c>
      <c r="S189" s="52">
        <f>recipe05TotScale * IF(R189 = 0, IF(L189 = "", Q189 * N189, IF(ISNA(CONVERT(Q189, L189, "l")), CONVERT(Q189, L189, "kg") * IF(M189 &lt;&gt; 0, N189 / M189, 0), CONVERT(Q189, L189, "l"))), 0)</f>
        <v>0</v>
      </c>
      <c r="T189" s="51">
        <f>recipe05TotScale * IF(AND(R189 = 0, S189 = 0, J189 = "", L189 = ""), Q189, 0)</f>
        <v>0</v>
      </c>
      <c r="V189" s="48" t="b">
        <f>INDEX(itemPrepMethods, MATCH(K189, itemNames, 0))="chop"</f>
        <v>1</v>
      </c>
      <c r="W189" s="62">
        <f>IF(V189, Q189, "")</f>
        <v>8</v>
      </c>
      <c r="X189" s="63" t="str">
        <f>IF(V189, IF(L189 = "", "", L189), "")</f>
        <v/>
      </c>
      <c r="Y189" s="63" t="str">
        <f>IF(V189, K189, "")</f>
        <v>chopped carrots</v>
      </c>
      <c r="Z189" s="64"/>
      <c r="AA189" s="48" t="b">
        <f>INDEX(itemPrepMethods, MATCH(K189, itemNames, 0))="soak"</f>
        <v>0</v>
      </c>
      <c r="AB189" s="63" t="str">
        <f>IF(AA189, Q189, "")</f>
        <v/>
      </c>
      <c r="AC189" s="63" t="str">
        <f>IF(AA189, IF(L189 = "", "", L189), "")</f>
        <v/>
      </c>
      <c r="AD189" s="63" t="str">
        <f>IF(AA189, K189, "")</f>
        <v/>
      </c>
    </row>
    <row r="190" spans="1:30" x14ac:dyDescent="0.25">
      <c r="A190" s="44" t="s">
        <v>21</v>
      </c>
      <c r="B190" s="57"/>
      <c r="C190" s="43" t="str">
        <f>IF(L190="","",L190)</f>
        <v/>
      </c>
      <c r="D190" s="44" t="str">
        <f>_xlfn.CONCAT(K190, U190)</f>
        <v>water, ONLY IF REQUIRED to completely cover vegetables</v>
      </c>
      <c r="I190" s="51"/>
      <c r="K190" s="60" t="s">
        <v>48</v>
      </c>
      <c r="L190" s="48"/>
      <c r="M190" s="48"/>
      <c r="N190" s="48"/>
      <c r="O190" s="48"/>
      <c r="P190" s="48"/>
      <c r="U190" s="48" t="s">
        <v>267</v>
      </c>
      <c r="V190" s="48" t="b">
        <f>INDEX(itemPrepMethods, MATCH(K190, itemNames, 0))="chop"</f>
        <v>0</v>
      </c>
      <c r="W190" s="62" t="str">
        <f>IF(V190, Q190, "")</f>
        <v/>
      </c>
      <c r="X190" s="63" t="str">
        <f>IF(V190, IF(L190 = "", "", L190), "")</f>
        <v/>
      </c>
      <c r="Y190" s="63" t="str">
        <f>IF(V190, K190, "")</f>
        <v/>
      </c>
      <c r="Z190" s="64"/>
      <c r="AA190" s="48" t="b">
        <f>INDEX(itemPrepMethods, MATCH(K190, itemNames, 0))="soak"</f>
        <v>0</v>
      </c>
      <c r="AB190" s="63" t="str">
        <f>IF(AA190, Q190, "")</f>
        <v/>
      </c>
      <c r="AC190" s="63" t="str">
        <f>IF(AA190, IF(L190 = "", "", L190), "")</f>
        <v/>
      </c>
      <c r="AD190" s="63" t="str">
        <f>IF(AA190, K190, "")</f>
        <v/>
      </c>
    </row>
    <row r="191" spans="1:30" ht="15.75" x14ac:dyDescent="0.25">
      <c r="A191" s="113"/>
      <c r="B191" s="113"/>
      <c r="C191" s="113"/>
      <c r="D191" s="113"/>
      <c r="E191" s="46"/>
      <c r="F191" s="46"/>
      <c r="G191" s="51"/>
      <c r="H191" s="51"/>
      <c r="I191" s="68"/>
      <c r="J191" s="46"/>
      <c r="K191" s="46"/>
      <c r="L191" s="69"/>
      <c r="M191" s="68"/>
      <c r="N191" s="68"/>
      <c r="O191" s="68"/>
      <c r="P191" s="68"/>
      <c r="Q191" s="46"/>
      <c r="R191" s="70"/>
      <c r="S191" s="70"/>
      <c r="T191" s="68"/>
      <c r="U191" s="46"/>
      <c r="W191" s="81"/>
      <c r="X191" s="81"/>
      <c r="Y191" s="81"/>
      <c r="Z191" s="81"/>
      <c r="AA191" s="73"/>
      <c r="AB191" s="81"/>
      <c r="AC191" s="81"/>
      <c r="AD191" s="81"/>
    </row>
    <row r="192" spans="1:30" x14ac:dyDescent="0.25">
      <c r="A192" s="110" t="s">
        <v>268</v>
      </c>
      <c r="B192" s="110"/>
      <c r="C192" s="110"/>
      <c r="D192" s="110"/>
      <c r="E192" s="46"/>
      <c r="F192" s="46"/>
      <c r="G192" s="51"/>
      <c r="H192" s="51"/>
      <c r="I192" s="68"/>
      <c r="J192" s="46"/>
      <c r="K192" s="46"/>
      <c r="L192" s="69"/>
      <c r="M192" s="68"/>
      <c r="N192" s="68"/>
      <c r="O192" s="68"/>
      <c r="P192" s="68"/>
      <c r="Q192" s="46"/>
      <c r="R192" s="70"/>
      <c r="S192" s="70"/>
      <c r="T192" s="68"/>
      <c r="U192" s="46"/>
      <c r="W192" s="81"/>
      <c r="X192" s="81"/>
      <c r="Y192" s="81"/>
      <c r="Z192" s="81"/>
      <c r="AA192" s="73"/>
      <c r="AB192" s="81"/>
      <c r="AC192" s="81"/>
      <c r="AD192" s="81"/>
    </row>
    <row r="193" spans="1:30" ht="15.75" x14ac:dyDescent="0.25">
      <c r="A193" s="113"/>
      <c r="B193" s="113"/>
      <c r="C193" s="113"/>
      <c r="D193" s="113"/>
      <c r="E193" s="46"/>
      <c r="F193" s="46"/>
      <c r="G193" s="51"/>
      <c r="H193" s="51"/>
      <c r="I193" s="68"/>
      <c r="J193" s="46"/>
      <c r="K193" s="46"/>
      <c r="L193" s="69"/>
      <c r="M193" s="68"/>
      <c r="N193" s="68"/>
      <c r="O193" s="68"/>
      <c r="P193" s="68"/>
      <c r="Q193" s="46"/>
      <c r="R193" s="70"/>
      <c r="S193" s="70"/>
      <c r="T193" s="68"/>
      <c r="U193" s="46"/>
      <c r="W193" s="81"/>
      <c r="X193" s="81"/>
      <c r="Y193" s="81"/>
      <c r="Z193" s="81"/>
      <c r="AA193" s="73"/>
      <c r="AB193" s="81"/>
      <c r="AC193" s="81"/>
      <c r="AD193" s="81"/>
    </row>
    <row r="194" spans="1:30" x14ac:dyDescent="0.25">
      <c r="A194" s="110" t="s">
        <v>275</v>
      </c>
      <c r="B194" s="110"/>
      <c r="C194" s="110"/>
      <c r="D194" s="110"/>
      <c r="E194" s="46"/>
      <c r="F194" s="46"/>
      <c r="G194" s="51"/>
      <c r="H194" s="51"/>
      <c r="I194" s="68"/>
      <c r="J194" s="46"/>
      <c r="K194" s="46"/>
      <c r="L194" s="69"/>
      <c r="M194" s="68"/>
      <c r="N194" s="68"/>
      <c r="O194" s="68"/>
      <c r="P194" s="68"/>
      <c r="Q194" s="46"/>
      <c r="R194" s="70"/>
      <c r="S194" s="70"/>
      <c r="T194" s="68"/>
      <c r="U194" s="46"/>
      <c r="W194" s="81"/>
      <c r="X194" s="81"/>
      <c r="Y194" s="81"/>
      <c r="Z194" s="81"/>
      <c r="AA194" s="73"/>
      <c r="AB194" s="81"/>
      <c r="AC194" s="81"/>
      <c r="AD194" s="81"/>
    </row>
    <row r="195" spans="1:30" ht="15.75" x14ac:dyDescent="0.25">
      <c r="A195" s="113"/>
      <c r="B195" s="113"/>
      <c r="C195" s="113"/>
      <c r="D195" s="113"/>
      <c r="E195" s="46"/>
      <c r="F195" s="46"/>
      <c r="G195" s="51"/>
      <c r="H195" s="51"/>
      <c r="I195" s="68"/>
      <c r="J195" s="46"/>
      <c r="K195" s="46"/>
      <c r="L195" s="69"/>
      <c r="M195" s="68"/>
      <c r="N195" s="68"/>
      <c r="O195" s="68"/>
      <c r="P195" s="68"/>
      <c r="Q195" s="46"/>
      <c r="R195" s="70"/>
      <c r="S195" s="70"/>
      <c r="T195" s="68"/>
      <c r="U195" s="46"/>
      <c r="W195" s="81"/>
      <c r="X195" s="81"/>
      <c r="Y195" s="81"/>
      <c r="Z195" s="81"/>
      <c r="AA195" s="73"/>
      <c r="AB195" s="81"/>
      <c r="AC195" s="81"/>
      <c r="AD195" s="81"/>
    </row>
    <row r="196" spans="1:30" x14ac:dyDescent="0.25">
      <c r="A196" s="110" t="s">
        <v>269</v>
      </c>
      <c r="B196" s="110"/>
      <c r="C196" s="110"/>
      <c r="D196" s="110"/>
      <c r="E196" s="46"/>
      <c r="F196" s="46"/>
      <c r="G196" s="51"/>
      <c r="H196" s="51"/>
      <c r="I196" s="68"/>
      <c r="J196" s="46"/>
      <c r="K196" s="46"/>
      <c r="L196" s="69"/>
      <c r="M196" s="68"/>
      <c r="N196" s="68"/>
      <c r="O196" s="68"/>
      <c r="P196" s="68"/>
      <c r="Q196" s="46"/>
      <c r="R196" s="70"/>
      <c r="S196" s="70"/>
      <c r="T196" s="68"/>
      <c r="U196" s="46"/>
      <c r="W196" s="81"/>
      <c r="X196" s="81"/>
      <c r="Y196" s="81"/>
      <c r="Z196" s="81"/>
      <c r="AA196" s="73"/>
      <c r="AB196" s="81"/>
      <c r="AC196" s="81"/>
      <c r="AD196" s="81"/>
    </row>
    <row r="197" spans="1:30" x14ac:dyDescent="0.25">
      <c r="A197" s="44" t="s">
        <v>21</v>
      </c>
      <c r="B197" s="57">
        <f t="shared" si="155"/>
        <v>2</v>
      </c>
      <c r="C197" s="43" t="str">
        <f t="shared" si="156"/>
        <v/>
      </c>
      <c r="D197" s="44" t="str">
        <f>_xlfn.CONCAT(K197, U197)</f>
        <v>tins creamed corn</v>
      </c>
      <c r="I197" s="59">
        <v>3</v>
      </c>
      <c r="J197" s="60"/>
      <c r="K197" s="60" t="s">
        <v>77</v>
      </c>
      <c r="L197" s="61"/>
      <c r="M197" s="51">
        <f t="shared" si="157"/>
        <v>0</v>
      </c>
      <c r="N197" s="51">
        <f t="shared" si="158"/>
        <v>0</v>
      </c>
      <c r="O197" s="51">
        <f t="shared" si="159"/>
        <v>0</v>
      </c>
      <c r="P197" s="51">
        <f t="shared" si="160"/>
        <v>0</v>
      </c>
      <c r="Q197" s="51">
        <f>MROUND(IF(AND(J197 = "", L197 = ""), I197 * recipe05DayScale, IF(ISNA(CONVERT(O197, "kg", L197)), CONVERT(P197 * recipe05DayScale, "l", L197), CONVERT(O197 * recipe05DayScale, "kg", L197))), roundTo)</f>
        <v>2</v>
      </c>
      <c r="R197" s="52">
        <f>recipe05TotScale * IF(L197 = "", Q197 * M197, IF(ISNA(CONVERT(Q197, L197, "kg")), CONVERT(Q197, L197, "l") * IF(N197 &lt;&gt; 0, M197 / N197, 0), CONVERT(Q197, L197, "kg")))</f>
        <v>0</v>
      </c>
      <c r="S197" s="52">
        <f>recipe05TotScale * IF(R197 = 0, IF(L197 = "", Q197 * N197, IF(ISNA(CONVERT(Q197, L197, "l")), CONVERT(Q197, L197, "kg") * IF(M197 &lt;&gt; 0, N197 / M197, 0), CONVERT(Q197, L197, "l"))), 0)</f>
        <v>0</v>
      </c>
      <c r="T197" s="51">
        <f>recipe05TotScale * IF(AND(R197 = 0, S197 = 0, J197 = "", L197 = ""), Q197, 0)</f>
        <v>2</v>
      </c>
      <c r="V197" s="48" t="b">
        <f>INDEX(itemPrepMethods, MATCH(K197, itemNames, 0))="chop"</f>
        <v>0</v>
      </c>
      <c r="W197" s="62" t="str">
        <f>IF(V197, Q197, "")</f>
        <v/>
      </c>
      <c r="X197" s="63" t="str">
        <f>IF(V197, IF(L197 = "", "", L197), "")</f>
        <v/>
      </c>
      <c r="Y197" s="63" t="str">
        <f>IF(V197, K197, "")</f>
        <v/>
      </c>
      <c r="Z197" s="64"/>
      <c r="AA197" s="48" t="b">
        <f>INDEX(itemPrepMethods, MATCH(K197, itemNames, 0))="soak"</f>
        <v>0</v>
      </c>
      <c r="AB197" s="63" t="str">
        <f>IF(AA197, Q197, "")</f>
        <v/>
      </c>
      <c r="AC197" s="63" t="str">
        <f>IF(AA197, IF(L197 = "", "", L197), "")</f>
        <v/>
      </c>
      <c r="AD197" s="63" t="str">
        <f>IF(AA197, K197, "")</f>
        <v/>
      </c>
    </row>
    <row r="198" spans="1:30" x14ac:dyDescent="0.25">
      <c r="A198" s="44" t="s">
        <v>21</v>
      </c>
      <c r="B198" s="57">
        <f t="shared" si="155"/>
        <v>5.25</v>
      </c>
      <c r="C198" s="43" t="str">
        <f t="shared" si="156"/>
        <v>tbs</v>
      </c>
      <c r="D198" s="44" t="str">
        <f>_xlfn.CONCAT(K198, U198)</f>
        <v>dijon mustard</v>
      </c>
      <c r="I198" s="59">
        <v>8</v>
      </c>
      <c r="J198" s="60" t="s">
        <v>15</v>
      </c>
      <c r="K198" s="60" t="s">
        <v>78</v>
      </c>
      <c r="L198" s="61" t="s">
        <v>15</v>
      </c>
      <c r="M198" s="51">
        <f t="shared" si="157"/>
        <v>0</v>
      </c>
      <c r="N198" s="51">
        <f t="shared" si="158"/>
        <v>0</v>
      </c>
      <c r="O198" s="51">
        <f t="shared" si="159"/>
        <v>0</v>
      </c>
      <c r="P198" s="51">
        <f t="shared" si="160"/>
        <v>0.11829411825</v>
      </c>
      <c r="Q198" s="51">
        <f>MROUND(IF(AND(J198 = "", L198 = ""), I198 * recipe05DayScale, IF(ISNA(CONVERT(O198, "kg", L198)), CONVERT(P198 * recipe05DayScale, "l", L198), CONVERT(O198 * recipe05DayScale, "kg", L198))), roundTo)</f>
        <v>5.25</v>
      </c>
      <c r="R198" s="52">
        <f>recipe05TotScale * IF(L198 = "", Q198 * M198, IF(ISNA(CONVERT(Q198, L198, "kg")), CONVERT(Q198, L198, "l") * IF(N198 &lt;&gt; 0, M198 / N198, 0), CONVERT(Q198, L198, "kg")))</f>
        <v>0</v>
      </c>
      <c r="S198" s="52">
        <f>recipe05TotScale * IF(R198 = 0, IF(L198 = "", Q198 * N198, IF(ISNA(CONVERT(Q198, L198, "l")), CONVERT(Q198, L198, "kg") * IF(M198 &lt;&gt; 0, N198 / M198, 0), CONVERT(Q198, L198, "l"))), 0)</f>
        <v>7.7630515101562492E-2</v>
      </c>
      <c r="T198" s="51">
        <f>recipe05TotScale * IF(AND(R198 = 0, S198 = 0, J198 = "", L198 = ""), Q198, 0)</f>
        <v>0</v>
      </c>
      <c r="V198" s="48" t="b">
        <f>INDEX(itemPrepMethods, MATCH(K198, itemNames, 0))="chop"</f>
        <v>0</v>
      </c>
      <c r="W198" s="62" t="str">
        <f>IF(V198, Q198, "")</f>
        <v/>
      </c>
      <c r="X198" s="63" t="str">
        <f>IF(V198, IF(L198 = "", "", L198), "")</f>
        <v/>
      </c>
      <c r="Y198" s="63" t="str">
        <f>IF(V198, K198, "")</f>
        <v/>
      </c>
      <c r="Z198" s="64"/>
      <c r="AA198" s="48" t="b">
        <f>INDEX(itemPrepMethods, MATCH(K198, itemNames, 0))="soak"</f>
        <v>0</v>
      </c>
      <c r="AB198" s="63" t="str">
        <f>IF(AA198, Q198, "")</f>
        <v/>
      </c>
      <c r="AC198" s="63" t="str">
        <f>IF(AA198, IF(L198 = "", "", L198), "")</f>
        <v/>
      </c>
      <c r="AD198" s="63" t="str">
        <f>IF(AA198, K198, "")</f>
        <v/>
      </c>
    </row>
    <row r="199" spans="1:30" x14ac:dyDescent="0.25">
      <c r="A199" s="44" t="s">
        <v>21</v>
      </c>
      <c r="B199" s="57">
        <f>Q199</f>
        <v>0.25</v>
      </c>
      <c r="C199" s="43" t="str">
        <f>IF(L199="","",L199)</f>
        <v>cup</v>
      </c>
      <c r="D199" s="44" t="str">
        <f>_xlfn.CONCAT(K199, U199)</f>
        <v>olive oil</v>
      </c>
      <c r="I199" s="59">
        <v>0.33</v>
      </c>
      <c r="J199" s="60" t="s">
        <v>16</v>
      </c>
      <c r="K199" s="60" t="s">
        <v>80</v>
      </c>
      <c r="L199" s="61" t="s">
        <v>16</v>
      </c>
      <c r="M199" s="51">
        <f>INDEX(itemGPerQty, MATCH(K199, itemNames, 0))</f>
        <v>0</v>
      </c>
      <c r="N199" s="51">
        <f>INDEX(itemMlPerQty, MATCH(K199, itemNames, 0))</f>
        <v>0</v>
      </c>
      <c r="O199" s="51">
        <f>IF(J199 = "", I199 * M199, IF(ISNA(CONVERT(I199, J199, "kg")), CONVERT(I199, J199, "l") * IF(N199 &lt;&gt; 0, M199 / N199, 0), CONVERT(I199, J199, "kg")))</f>
        <v>0</v>
      </c>
      <c r="P199" s="51">
        <f>IF(J199 = "", I199 * N199, IF(ISNA(CONVERT(I199, J199, "l")), CONVERT(I199, J199, "kg") * IF(M199 &lt;&gt; 0, N199 / M199, 0), CONVERT(I199, J199, "l")))</f>
        <v>7.8074118045000002E-2</v>
      </c>
      <c r="Q199" s="51">
        <f>MROUND(IF(AND(J199 = "", L199 = ""), I199 * recipe05DayScale, IF(ISNA(CONVERT(O199, "kg", L199)), CONVERT(P199 * recipe05DayScale, "l", L199), CONVERT(O199 * recipe05DayScale, "kg", L199))), roundTo)</f>
        <v>0.25</v>
      </c>
      <c r="R199" s="52">
        <f>recipe05TotScale * IF(L199 = "", Q199 * M199, IF(ISNA(CONVERT(Q199, L199, "kg")), CONVERT(Q199, L199, "l") * IF(N199 &lt;&gt; 0, M199 / N199, 0), CONVERT(Q199, L199, "kg")))</f>
        <v>0</v>
      </c>
      <c r="S199" s="52">
        <f>recipe05TotScale * IF(R199 = 0, IF(L199 = "", Q199 * N199, IF(ISNA(CONVERT(Q199, L199, "l")), CONVERT(Q199, L199, "kg") * IF(M199 &lt;&gt; 0, N199 / M199, 0), CONVERT(Q199, L199, "l"))), 0)</f>
        <v>5.9147059124999998E-2</v>
      </c>
      <c r="T199" s="51">
        <f>recipe05TotScale * IF(AND(R199 = 0, S199 = 0, J199 = "", L199 = ""), Q199, 0)</f>
        <v>0</v>
      </c>
      <c r="V199" s="48" t="b">
        <f>INDEX(itemPrepMethods, MATCH(K199, itemNames, 0))="chop"</f>
        <v>0</v>
      </c>
      <c r="W199" s="62" t="str">
        <f>IF(V199, Q199, "")</f>
        <v/>
      </c>
      <c r="X199" s="63" t="str">
        <f>IF(V199, IF(L199 = "", "", L199), "")</f>
        <v/>
      </c>
      <c r="Y199" s="63" t="str">
        <f>IF(V199, K199, "")</f>
        <v/>
      </c>
      <c r="Z199" s="64"/>
      <c r="AA199" s="48" t="b">
        <f>INDEX(itemPrepMethods, MATCH(K199, itemNames, 0))="soak"</f>
        <v>0</v>
      </c>
      <c r="AB199" s="63" t="str">
        <f>IF(AA199, Q199, "")</f>
        <v/>
      </c>
      <c r="AC199" s="63" t="str">
        <f>IF(AA199, IF(L199 = "", "", L199), "")</f>
        <v/>
      </c>
      <c r="AD199" s="63" t="str">
        <f>IF(AA199, K199, "")</f>
        <v/>
      </c>
    </row>
    <row r="200" spans="1:30" ht="15.75" x14ac:dyDescent="0.25">
      <c r="A200" s="113"/>
      <c r="B200" s="113"/>
      <c r="C200" s="113"/>
      <c r="D200" s="113"/>
      <c r="E200" s="46"/>
      <c r="F200" s="46"/>
      <c r="G200" s="51"/>
      <c r="H200" s="51"/>
      <c r="I200" s="68"/>
      <c r="J200" s="46"/>
      <c r="K200" s="46"/>
      <c r="L200" s="69"/>
      <c r="M200" s="68"/>
      <c r="N200" s="68"/>
      <c r="O200" s="68"/>
      <c r="P200" s="68"/>
      <c r="Q200" s="46"/>
      <c r="R200" s="70"/>
      <c r="S200" s="70"/>
      <c r="T200" s="68"/>
      <c r="U200" s="46"/>
      <c r="W200" s="81"/>
      <c r="X200" s="81"/>
      <c r="Y200" s="81"/>
      <c r="Z200" s="81"/>
      <c r="AA200" s="73"/>
      <c r="AB200" s="81"/>
      <c r="AC200" s="81"/>
      <c r="AD200" s="81"/>
    </row>
    <row r="201" spans="1:30" x14ac:dyDescent="0.25">
      <c r="A201" s="110" t="s">
        <v>270</v>
      </c>
      <c r="B201" s="110"/>
      <c r="C201" s="110"/>
      <c r="D201" s="110"/>
      <c r="E201" s="46"/>
      <c r="F201" s="46"/>
      <c r="G201" s="51"/>
      <c r="H201" s="51"/>
      <c r="I201" s="68"/>
      <c r="J201" s="46"/>
      <c r="K201" s="46"/>
      <c r="L201" s="69"/>
      <c r="M201" s="68"/>
      <c r="N201" s="68"/>
      <c r="O201" s="68"/>
      <c r="P201" s="68"/>
      <c r="Q201" s="46"/>
      <c r="R201" s="70"/>
      <c r="S201" s="70"/>
      <c r="T201" s="68"/>
      <c r="U201" s="46"/>
      <c r="W201" s="81"/>
      <c r="X201" s="81"/>
      <c r="Y201" s="81"/>
      <c r="Z201" s="81"/>
      <c r="AA201" s="73"/>
      <c r="AB201" s="81"/>
      <c r="AC201" s="81"/>
      <c r="AD201" s="81"/>
    </row>
    <row r="202" spans="1:30" x14ac:dyDescent="0.25">
      <c r="A202" s="44" t="s">
        <v>21</v>
      </c>
      <c r="B202" s="57">
        <f>Q202</f>
        <v>4</v>
      </c>
      <c r="C202" s="43" t="str">
        <f>IF(L202="","",L202)</f>
        <v>tsp</v>
      </c>
      <c r="D202" s="44" t="str">
        <f>_xlfn.CONCAT(K202, U202)</f>
        <v>ground cumin</v>
      </c>
      <c r="I202" s="59">
        <v>6</v>
      </c>
      <c r="J202" s="60" t="s">
        <v>13</v>
      </c>
      <c r="K202" s="60" t="s">
        <v>14</v>
      </c>
      <c r="L202" s="61" t="s">
        <v>13</v>
      </c>
      <c r="M202" s="51">
        <f>INDEX(itemGPerQty, MATCH(K202, itemNames, 0))</f>
        <v>1.0999999999999999E-2</v>
      </c>
      <c r="N202" s="51">
        <f>INDEX(itemMlPerQty, MATCH(K202, itemNames, 0))</f>
        <v>2.2180100000000001E-2</v>
      </c>
      <c r="O202" s="51">
        <f>IF(J202 = "", I202 * M202, IF(ISNA(CONVERT(I202, J202, "kg")), CONVERT(I202, J202, "l") * IF(N202 &lt;&gt; 0, M202 / N202, 0), CONVERT(I202, J202, "kg")))</f>
        <v>1.4666697859229668E-2</v>
      </c>
      <c r="P202" s="51">
        <f>IF(J202 = "", I202 * N202, IF(ISNA(CONVERT(I202, J202, "l")), CONVERT(I202, J202, "kg") * IF(M202 &lt;&gt; 0, N202 / M202, 0), CONVERT(I202, J202, "l")))</f>
        <v>2.9573529562499999E-2</v>
      </c>
      <c r="Q202" s="51">
        <f>MROUND(IF(AND(J202 = "", L202 = ""), I202 * recipe05DayScale, IF(ISNA(CONVERT(O202, "kg", L202)), CONVERT(P202 * recipe05DayScale, "l", L202), CONVERT(O202 * recipe05DayScale, "kg", L202))), roundTo)</f>
        <v>4</v>
      </c>
      <c r="R202" s="52">
        <f>recipe05TotScale * IF(L202 = "", Q202 * M202, IF(ISNA(CONVERT(Q202, L202, "kg")), CONVERT(Q202, L202, "l") * IF(N202 &lt;&gt; 0, M202 / N202, 0), CONVERT(Q202, L202, "kg")))</f>
        <v>9.7777985728197785E-3</v>
      </c>
      <c r="S202" s="52">
        <f>recipe05TotScale * IF(R202 = 0, IF(L202 = "", Q202 * N202, IF(ISNA(CONVERT(Q202, L202, "l")), CONVERT(Q202, L202, "kg") * IF(M202 &lt;&gt; 0, N202 / M202, 0), CONVERT(Q202, L202, "l"))), 0)</f>
        <v>0</v>
      </c>
      <c r="T202" s="51">
        <f>recipe05TotScale * IF(AND(R202 = 0, S202 = 0, J202 = "", L202 = ""), Q202, 0)</f>
        <v>0</v>
      </c>
      <c r="V202" s="48" t="b">
        <f>INDEX(itemPrepMethods, MATCH(K202, itemNames, 0))="chop"</f>
        <v>0</v>
      </c>
      <c r="W202" s="62" t="str">
        <f>IF(V202, Q202, "")</f>
        <v/>
      </c>
      <c r="X202" s="63" t="str">
        <f>IF(V202, IF(L202 = "", "", L202), "")</f>
        <v/>
      </c>
      <c r="Y202" s="63" t="str">
        <f>IF(V202, K202, "")</f>
        <v/>
      </c>
      <c r="Z202" s="64"/>
      <c r="AA202" s="48" t="b">
        <f>INDEX(itemPrepMethods, MATCH(K202, itemNames, 0))="soak"</f>
        <v>0</v>
      </c>
      <c r="AB202" s="63" t="str">
        <f>IF(AA202, Q202, "")</f>
        <v/>
      </c>
      <c r="AC202" s="63" t="str">
        <f>IF(AA202, IF(L202 = "", "", L202), "")</f>
        <v/>
      </c>
      <c r="AD202" s="63" t="str">
        <f>IF(AA202, K202, "")</f>
        <v/>
      </c>
    </row>
    <row r="203" spans="1:30" x14ac:dyDescent="0.25">
      <c r="A203" s="44" t="s">
        <v>21</v>
      </c>
      <c r="B203" s="57">
        <f t="shared" si="155"/>
        <v>4</v>
      </c>
      <c r="C203" s="43" t="str">
        <f t="shared" si="156"/>
        <v>tbs</v>
      </c>
      <c r="D203" s="44" t="str">
        <f>_xlfn.CONCAT(K203, U203)</f>
        <v>nutritional yeast</v>
      </c>
      <c r="I203" s="59">
        <v>6</v>
      </c>
      <c r="J203" s="60" t="s">
        <v>15</v>
      </c>
      <c r="K203" s="60" t="s">
        <v>79</v>
      </c>
      <c r="L203" s="61" t="s">
        <v>15</v>
      </c>
      <c r="M203" s="51">
        <f t="shared" si="157"/>
        <v>0</v>
      </c>
      <c r="N203" s="51">
        <f t="shared" si="158"/>
        <v>0</v>
      </c>
      <c r="O203" s="51">
        <f t="shared" si="159"/>
        <v>0</v>
      </c>
      <c r="P203" s="51">
        <f t="shared" si="160"/>
        <v>8.872058868749999E-2</v>
      </c>
      <c r="Q203" s="51">
        <f>MROUND(IF(AND(J203 = "", L203 = ""), I203 * recipe05DayScale, IF(ISNA(CONVERT(O203, "kg", L203)), CONVERT(P203 * recipe05DayScale, "l", L203), CONVERT(O203 * recipe05DayScale, "kg", L203))), roundTo)</f>
        <v>4</v>
      </c>
      <c r="R203" s="52">
        <f>recipe05TotScale * IF(L203 = "", Q203 * M203, IF(ISNA(CONVERT(Q203, L203, "kg")), CONVERT(Q203, L203, "l") * IF(N203 &lt;&gt; 0, M203 / N203, 0), CONVERT(Q203, L203, "kg")))</f>
        <v>0</v>
      </c>
      <c r="S203" s="52">
        <f>recipe05TotScale * IF(R203 = 0, IF(L203 = "", Q203 * N203, IF(ISNA(CONVERT(Q203, L203, "l")), CONVERT(Q203, L203, "kg") * IF(M203 &lt;&gt; 0, N203 / M203, 0), CONVERT(Q203, L203, "l"))), 0)</f>
        <v>5.9147059124999998E-2</v>
      </c>
      <c r="T203" s="51">
        <f>recipe05TotScale * IF(AND(R203 = 0, S203 = 0, J203 = "", L203 = ""), Q203, 0)</f>
        <v>0</v>
      </c>
      <c r="V203" s="48" t="b">
        <f>INDEX(itemPrepMethods, MATCH(K203, itemNames, 0))="chop"</f>
        <v>0</v>
      </c>
      <c r="W203" s="62" t="str">
        <f>IF(V203, Q203, "")</f>
        <v/>
      </c>
      <c r="X203" s="63" t="str">
        <f>IF(V203, IF(L203 = "", "", L203), "")</f>
        <v/>
      </c>
      <c r="Y203" s="63" t="str">
        <f>IF(V203, K203, "")</f>
        <v/>
      </c>
      <c r="Z203" s="64"/>
      <c r="AA203" s="48" t="b">
        <f>INDEX(itemPrepMethods, MATCH(K203, itemNames, 0))="soak"</f>
        <v>0</v>
      </c>
      <c r="AB203" s="63" t="str">
        <f>IF(AA203, Q203, "")</f>
        <v/>
      </c>
      <c r="AC203" s="63" t="str">
        <f>IF(AA203, IF(L203 = "", "", L203), "")</f>
        <v/>
      </c>
      <c r="AD203" s="63" t="str">
        <f>IF(AA203, K203, "")</f>
        <v/>
      </c>
    </row>
    <row r="204" spans="1:30" x14ac:dyDescent="0.25">
      <c r="B204" s="57"/>
      <c r="I204" s="48"/>
      <c r="L204" s="48"/>
      <c r="W204" s="81"/>
      <c r="X204" s="81"/>
      <c r="Y204" s="81"/>
      <c r="Z204" s="81"/>
      <c r="AA204" s="73"/>
      <c r="AB204" s="81"/>
      <c r="AC204" s="81"/>
      <c r="AD204" s="81"/>
    </row>
    <row r="205" spans="1:30" x14ac:dyDescent="0.25">
      <c r="A205" s="110" t="s">
        <v>271</v>
      </c>
      <c r="B205" s="110"/>
      <c r="C205" s="110"/>
      <c r="D205" s="110"/>
      <c r="I205" s="48"/>
      <c r="L205" s="48"/>
      <c r="W205" s="81"/>
      <c r="X205" s="81"/>
      <c r="Y205" s="81"/>
      <c r="Z205" s="81"/>
      <c r="AA205" s="73"/>
      <c r="AB205" s="81"/>
      <c r="AC205" s="81"/>
      <c r="AD205" s="81"/>
    </row>
    <row r="206" spans="1:30" x14ac:dyDescent="0.25">
      <c r="B206" s="57"/>
      <c r="I206" s="48"/>
      <c r="L206" s="48"/>
      <c r="W206" s="81"/>
      <c r="X206" s="81"/>
      <c r="Y206" s="81"/>
      <c r="Z206" s="81"/>
      <c r="AA206" s="73"/>
      <c r="AB206" s="81"/>
      <c r="AC206" s="81"/>
      <c r="AD206" s="81"/>
    </row>
    <row r="207" spans="1:30" x14ac:dyDescent="0.25">
      <c r="A207" s="110" t="s">
        <v>273</v>
      </c>
      <c r="B207" s="110"/>
      <c r="C207" s="110"/>
      <c r="D207" s="110"/>
      <c r="I207" s="48"/>
      <c r="L207" s="48"/>
      <c r="W207" s="81"/>
      <c r="X207" s="81"/>
      <c r="Y207" s="81"/>
      <c r="Z207" s="81"/>
      <c r="AA207" s="73"/>
      <c r="AB207" s="81"/>
      <c r="AC207" s="81"/>
      <c r="AD207" s="81"/>
    </row>
    <row r="208" spans="1:30" x14ac:dyDescent="0.25">
      <c r="A208" s="44" t="s">
        <v>21</v>
      </c>
      <c r="B208" s="57"/>
      <c r="C208" s="43" t="str">
        <f t="shared" ref="C208" si="161">IF(L208="","",L208)</f>
        <v/>
      </c>
      <c r="D208" s="44" t="str">
        <f>_xlfn.CONCAT(K208, U208)</f>
        <v>salt, to taste</v>
      </c>
      <c r="I208" s="51"/>
      <c r="K208" s="60" t="s">
        <v>11</v>
      </c>
      <c r="L208" s="48"/>
      <c r="M208" s="48"/>
      <c r="N208" s="48"/>
      <c r="O208" s="48"/>
      <c r="P208" s="48"/>
      <c r="U208" s="48" t="s">
        <v>222</v>
      </c>
      <c r="V208" s="48" t="b">
        <f>INDEX(itemPrepMethods, MATCH(K208, itemNames, 0))="chop"</f>
        <v>0</v>
      </c>
      <c r="W208" s="62" t="str">
        <f>IF(V208, Q208, "")</f>
        <v/>
      </c>
      <c r="X208" s="63" t="str">
        <f>IF(V208, IF(L208 = "", "", L208), "")</f>
        <v/>
      </c>
      <c r="Y208" s="63" t="str">
        <f>IF(V208, K208, "")</f>
        <v/>
      </c>
      <c r="Z208" s="64"/>
      <c r="AA208" s="48" t="b">
        <f>INDEX(itemPrepMethods, MATCH(K208, itemNames, 0))="soak"</f>
        <v>0</v>
      </c>
      <c r="AB208" s="63" t="str">
        <f>IF(AA208, Q208, "")</f>
        <v/>
      </c>
      <c r="AC208" s="63" t="str">
        <f>IF(AA208, IF(L208 = "", "", L208), "")</f>
        <v/>
      </c>
      <c r="AD208" s="63" t="str">
        <f>IF(AA208, K208, "")</f>
        <v/>
      </c>
    </row>
    <row r="209" spans="1:30" x14ac:dyDescent="0.25">
      <c r="A209" s="44" t="s">
        <v>21</v>
      </c>
      <c r="B209" s="57"/>
      <c r="C209" s="43" t="str">
        <f t="shared" si="156"/>
        <v/>
      </c>
      <c r="D209" s="44" t="str">
        <f>_xlfn.CONCAT(K209, U209)</f>
        <v>ground black pepper, to taste</v>
      </c>
      <c r="I209" s="51"/>
      <c r="K209" s="60" t="s">
        <v>83</v>
      </c>
      <c r="L209" s="48"/>
      <c r="M209" s="48"/>
      <c r="N209" s="48"/>
      <c r="O209" s="48"/>
      <c r="P209" s="48"/>
      <c r="U209" s="48" t="s">
        <v>222</v>
      </c>
      <c r="V209" s="48" t="b">
        <f>INDEX(itemPrepMethods, MATCH(K209, itemNames, 0))="chop"</f>
        <v>0</v>
      </c>
      <c r="W209" s="62" t="str">
        <f>IF(V209, Q209, "")</f>
        <v/>
      </c>
      <c r="X209" s="63" t="str">
        <f>IF(V209, IF(L209 = "", "", L209), "")</f>
        <v/>
      </c>
      <c r="Y209" s="63" t="str">
        <f>IF(V209, K209, "")</f>
        <v/>
      </c>
      <c r="Z209" s="64"/>
      <c r="AA209" s="48" t="b">
        <f>INDEX(itemPrepMethods, MATCH(K209, itemNames, 0))="soak"</f>
        <v>0</v>
      </c>
      <c r="AB209" s="63" t="str">
        <f>IF(AA209, Q209, "")</f>
        <v/>
      </c>
      <c r="AC209" s="63" t="str">
        <f>IF(AA209, IF(L209 = "", "", L209), "")</f>
        <v/>
      </c>
      <c r="AD209" s="63" t="str">
        <f>IF(AA209, K209, "")</f>
        <v/>
      </c>
    </row>
    <row r="210" spans="1:30" x14ac:dyDescent="0.25">
      <c r="B210" s="57"/>
      <c r="I210" s="48"/>
      <c r="L210" s="48"/>
      <c r="W210" s="81"/>
      <c r="X210" s="81"/>
      <c r="Y210" s="81"/>
      <c r="Z210" s="81"/>
      <c r="AA210" s="73"/>
      <c r="AB210" s="81"/>
      <c r="AC210" s="81"/>
      <c r="AD210" s="81"/>
    </row>
    <row r="211" spans="1:30" x14ac:dyDescent="0.25">
      <c r="A211" s="110" t="s">
        <v>274</v>
      </c>
      <c r="B211" s="110"/>
      <c r="C211" s="110"/>
      <c r="D211" s="110"/>
      <c r="I211" s="48"/>
      <c r="L211" s="48"/>
      <c r="W211" s="81"/>
      <c r="X211" s="81"/>
      <c r="Y211" s="81"/>
      <c r="Z211" s="81"/>
      <c r="AA211" s="73"/>
      <c r="AB211" s="81"/>
      <c r="AC211" s="81"/>
      <c r="AD211" s="81"/>
    </row>
    <row r="212" spans="1:30" x14ac:dyDescent="0.25">
      <c r="A212" s="44" t="s">
        <v>21</v>
      </c>
      <c r="B212" s="57"/>
      <c r="C212" s="43" t="str">
        <f t="shared" si="156"/>
        <v/>
      </c>
      <c r="D212" s="44" t="str">
        <f>_xlfn.CONCAT(K212, U212)</f>
        <v>chopped fresh chives, if available</v>
      </c>
      <c r="I212" s="51"/>
      <c r="K212" s="60" t="s">
        <v>86</v>
      </c>
      <c r="L212" s="48"/>
      <c r="M212" s="48"/>
      <c r="N212" s="48"/>
      <c r="O212" s="48"/>
      <c r="P212" s="48"/>
      <c r="U212" s="48" t="s">
        <v>244</v>
      </c>
      <c r="V212" s="48" t="b">
        <f>INDEX(itemPrepMethods, MATCH(K212, itemNames, 0))="chop"</f>
        <v>1</v>
      </c>
      <c r="W212" s="62">
        <f>IF(V212, Q212, "")</f>
        <v>0</v>
      </c>
      <c r="X212" s="63" t="str">
        <f>IF(V212, IF(L212 = "", "", L212), "")</f>
        <v/>
      </c>
      <c r="Y212" s="63" t="str">
        <f>IF(V212, K212, "")</f>
        <v>chopped fresh chives</v>
      </c>
      <c r="Z212" s="64"/>
      <c r="AA212" s="48" t="b">
        <f>INDEX(itemPrepMethods, MATCH(K212, itemNames, 0))="soak"</f>
        <v>0</v>
      </c>
      <c r="AB212" s="63" t="str">
        <f>IF(AA212, Q212, "")</f>
        <v/>
      </c>
      <c r="AC212" s="63" t="str">
        <f>IF(AA212, IF(L212 = "", "", L212), "")</f>
        <v/>
      </c>
      <c r="AD212" s="63" t="str">
        <f>IF(AA212, K212, "")</f>
        <v/>
      </c>
    </row>
    <row r="213" spans="1:30" ht="15.75" x14ac:dyDescent="0.25">
      <c r="A213" s="111" t="s">
        <v>31</v>
      </c>
      <c r="B213" s="111"/>
      <c r="C213" s="111"/>
      <c r="D213" s="111"/>
      <c r="E213" s="47" t="s">
        <v>140</v>
      </c>
      <c r="F213" s="112" t="s">
        <v>100</v>
      </c>
      <c r="G213" s="112"/>
      <c r="H213" s="51"/>
    </row>
    <row r="214" spans="1:30" ht="24" x14ac:dyDescent="0.2">
      <c r="A214" s="111" t="s">
        <v>39</v>
      </c>
      <c r="B214" s="111"/>
      <c r="C214" s="111"/>
      <c r="D214" s="111"/>
      <c r="E214" s="46" t="s">
        <v>59</v>
      </c>
      <c r="F214" s="97">
        <v>14</v>
      </c>
      <c r="G214" s="51"/>
      <c r="H214" s="51"/>
      <c r="I214" s="76" t="s">
        <v>57</v>
      </c>
      <c r="J214" s="77" t="s">
        <v>58</v>
      </c>
      <c r="K214" s="77" t="s">
        <v>17</v>
      </c>
      <c r="L214" s="78" t="s">
        <v>56</v>
      </c>
      <c r="M214" s="76" t="s">
        <v>151</v>
      </c>
      <c r="N214" s="76" t="s">
        <v>152</v>
      </c>
      <c r="O214" s="76" t="s">
        <v>153</v>
      </c>
      <c r="P214" s="76" t="s">
        <v>154</v>
      </c>
      <c r="Q214" s="77" t="s">
        <v>374</v>
      </c>
      <c r="R214" s="79" t="s">
        <v>375</v>
      </c>
      <c r="S214" s="79" t="s">
        <v>376</v>
      </c>
      <c r="T214" s="76" t="s">
        <v>377</v>
      </c>
      <c r="U214" s="77" t="s">
        <v>22</v>
      </c>
      <c r="V214" s="77" t="s">
        <v>218</v>
      </c>
      <c r="W214" s="80" t="s">
        <v>374</v>
      </c>
      <c r="X214" s="77" t="s">
        <v>216</v>
      </c>
      <c r="Y214" s="77" t="s">
        <v>217</v>
      </c>
      <c r="Z214" s="77" t="s">
        <v>321</v>
      </c>
      <c r="AA214" s="77" t="s">
        <v>219</v>
      </c>
      <c r="AB214" s="80" t="s">
        <v>374</v>
      </c>
      <c r="AC214" s="77" t="s">
        <v>220</v>
      </c>
      <c r="AD214" s="77" t="s">
        <v>221</v>
      </c>
    </row>
    <row r="215" spans="1:30" ht="16.5" thickBot="1" x14ac:dyDescent="0.3">
      <c r="A215" s="113"/>
      <c r="B215" s="113"/>
      <c r="C215" s="113"/>
      <c r="D215" s="113"/>
      <c r="E215" s="72" t="s">
        <v>369</v>
      </c>
      <c r="F215" s="97">
        <f>tuLuCount</f>
        <v>10</v>
      </c>
      <c r="G215" s="51"/>
      <c r="H215" s="51"/>
      <c r="I215" s="68"/>
      <c r="J215" s="46"/>
      <c r="K215" s="46"/>
      <c r="L215" s="69"/>
      <c r="M215" s="68"/>
      <c r="N215" s="68"/>
      <c r="O215" s="68"/>
      <c r="P215" s="68"/>
      <c r="Q215" s="46"/>
      <c r="R215" s="70"/>
      <c r="S215" s="70"/>
      <c r="T215" s="68"/>
      <c r="U215" s="46"/>
    </row>
    <row r="216" spans="1:30" ht="15.75" thickBot="1" x14ac:dyDescent="0.3">
      <c r="A216" s="110" t="s">
        <v>126</v>
      </c>
      <c r="B216" s="110"/>
      <c r="C216" s="110"/>
      <c r="D216" s="110"/>
      <c r="E216" s="72" t="s">
        <v>372</v>
      </c>
      <c r="F216" s="55">
        <f>F215/F214</f>
        <v>0.7142857142857143</v>
      </c>
      <c r="G216" s="56" t="s">
        <v>392</v>
      </c>
      <c r="H216" s="58"/>
      <c r="I216" s="51"/>
    </row>
    <row r="217" spans="1:30" x14ac:dyDescent="0.25">
      <c r="A217" s="44" t="s">
        <v>21</v>
      </c>
      <c r="B217" s="57">
        <f t="shared" ref="B217:B218" si="162">Q217</f>
        <v>2.25</v>
      </c>
      <c r="C217" s="43" t="str">
        <f>IF(L217="","",L217)</f>
        <v>cup</v>
      </c>
      <c r="D217" s="44" t="str">
        <f>_xlfn.CONCAT(K217, U217)</f>
        <v>peanut butter</v>
      </c>
      <c r="E217" s="73"/>
      <c r="F217" s="73"/>
      <c r="G217" s="73"/>
      <c r="I217" s="59">
        <v>3</v>
      </c>
      <c r="J217" s="60" t="s">
        <v>16</v>
      </c>
      <c r="K217" s="60" t="s">
        <v>112</v>
      </c>
      <c r="L217" s="61" t="s">
        <v>16</v>
      </c>
      <c r="M217" s="51">
        <f>INDEX(itemGPerQty, MATCH(K217, itemNames, 0))</f>
        <v>0</v>
      </c>
      <c r="N217" s="51">
        <f>INDEX(itemMlPerQty, MATCH(K217, itemNames, 0))</f>
        <v>0</v>
      </c>
      <c r="O217" s="51">
        <f t="shared" ref="O217:O218" si="163">IF(J217 = "", I217 * M217, IF(ISNA(CONVERT(I217, J217, "kg")), CONVERT(I217, J217, "l") * IF(N217 &lt;&gt; 0, M217 / N217, 0), CONVERT(I217, J217, "kg")))</f>
        <v>0</v>
      </c>
      <c r="P217" s="51">
        <f t="shared" ref="P217:P218" si="164">IF(J217 = "", I217 * N217, IF(ISNA(CONVERT(I217, J217, "l")), CONVERT(I217, J217, "kg") * IF(M217 &lt;&gt; 0, N217 / M217, 0), CONVERT(I217, J217, "l")))</f>
        <v>0.70976470949999992</v>
      </c>
      <c r="Q217" s="51">
        <f>MROUND(IF(AND(J217 = "", L217 = ""), I217 * recipe06DayScale, IF(ISNA(CONVERT(O217, "kg", L217)), CONVERT(P217 * recipe06DayScale, "l", L217), CONVERT(O217 * recipe06DayScale, "kg", L217))), roundTo)</f>
        <v>2.25</v>
      </c>
      <c r="R217" s="52">
        <f>recipe06TotScale * IF(L217 = "", Q217 * M217, IF(ISNA(CONVERT(Q217, L217, "kg")), CONVERT(Q217, L217, "l") * IF(N217 &lt;&gt; 0, M217 / N217, 0), CONVERT(Q217, L217, "kg")))</f>
        <v>0</v>
      </c>
      <c r="S217" s="52">
        <f>recipe06TotScale * IF(R217 = 0, IF(L217 = "", Q217 * N217, IF(ISNA(CONVERT(Q217, L217, "l")), CONVERT(Q217, L217, "kg") * IF(M217 &lt;&gt; 0, N217 / M217, 0), CONVERT(Q217, L217, "l"))), 0)</f>
        <v>0.53232353212499994</v>
      </c>
      <c r="T217" s="51">
        <f>recipe06TotScale * IF(AND(R217 = 0, S217 = 0, J217 = "", L217 = ""), Q217, 0)</f>
        <v>0</v>
      </c>
      <c r="V217" s="48" t="b">
        <f>INDEX(itemPrepMethods, MATCH(K217, itemNames, 0))="chop"</f>
        <v>0</v>
      </c>
      <c r="W217" s="62" t="str">
        <f>IF(V217, Q217, "")</f>
        <v/>
      </c>
      <c r="X217" s="63" t="str">
        <f>IF(V217, IF(L217 = "", "", L217), "")</f>
        <v/>
      </c>
      <c r="Y217" s="63" t="str">
        <f>IF(V217, K217, "")</f>
        <v/>
      </c>
      <c r="Z217" s="64"/>
      <c r="AA217" s="48" t="b">
        <f>INDEX(itemPrepMethods, MATCH(K217, itemNames, 0))="soak"</f>
        <v>0</v>
      </c>
      <c r="AB217" s="63" t="str">
        <f>IF(AA217, Q217, "")</f>
        <v/>
      </c>
      <c r="AC217" s="63" t="str">
        <f>IF(AA217, IF(L217 = "", "", L217), "")</f>
        <v/>
      </c>
      <c r="AD217" s="63" t="str">
        <f>IF(AA217, K217, "")</f>
        <v/>
      </c>
    </row>
    <row r="218" spans="1:30" ht="15.75" thickBot="1" x14ac:dyDescent="0.3">
      <c r="A218" s="44" t="s">
        <v>21</v>
      </c>
      <c r="B218" s="57">
        <f t="shared" si="162"/>
        <v>2.75</v>
      </c>
      <c r="C218" s="43" t="str">
        <f>IF(L218="","",L218)</f>
        <v>cup</v>
      </c>
      <c r="D218" s="44" t="str">
        <f>_xlfn.CONCAT(K218, U218)</f>
        <v>hot water</v>
      </c>
      <c r="E218" s="72" t="s">
        <v>348</v>
      </c>
      <c r="F218" s="97">
        <f>tuLuCount</f>
        <v>10</v>
      </c>
      <c r="G218" s="73"/>
      <c r="I218" s="59">
        <v>4</v>
      </c>
      <c r="J218" s="60" t="s">
        <v>16</v>
      </c>
      <c r="K218" s="60" t="s">
        <v>120</v>
      </c>
      <c r="L218" s="61" t="s">
        <v>16</v>
      </c>
      <c r="M218" s="51">
        <f>INDEX(itemGPerQty, MATCH(K218, itemNames, 0))</f>
        <v>1</v>
      </c>
      <c r="N218" s="51">
        <f>INDEX(itemMlPerQty, MATCH(K218, itemNames, 0))</f>
        <v>1</v>
      </c>
      <c r="O218" s="51">
        <f t="shared" si="163"/>
        <v>0.94635294599999997</v>
      </c>
      <c r="P218" s="51">
        <f t="shared" si="164"/>
        <v>0.94635294599999997</v>
      </c>
      <c r="Q218" s="51">
        <f>MROUND(IF(AND(J218 = "", L218 = ""), I218 * recipe06DayScale, IF(ISNA(CONVERT(O218, "kg", L218)), CONVERT(P218 * recipe06DayScale, "l", L218), CONVERT(O218 * recipe06DayScale, "kg", L218))), roundTo)</f>
        <v>2.75</v>
      </c>
      <c r="R218" s="52">
        <f>recipe06TotScale * IF(L218 = "", Q218 * M218, IF(ISNA(CONVERT(Q218, L218, "kg")), CONVERT(Q218, L218, "l") * IF(N218 &lt;&gt; 0, M218 / N218, 0), CONVERT(Q218, L218, "kg")))</f>
        <v>0.65061765037499997</v>
      </c>
      <c r="S218" s="52">
        <f>recipe06TotScale * IF(R218 = 0, IF(L218 = "", Q218 * N218, IF(ISNA(CONVERT(Q218, L218, "l")), CONVERT(Q218, L218, "kg") * IF(M218 &lt;&gt; 0, N218 / M218, 0), CONVERT(Q218, L218, "l"))), 0)</f>
        <v>0</v>
      </c>
      <c r="T218" s="51">
        <f>recipe06TotScale * IF(AND(R218 = 0, S218 = 0, J218 = "", L218 = ""), Q218, 0)</f>
        <v>0</v>
      </c>
      <c r="V218" s="48" t="b">
        <f>INDEX(itemPrepMethods, MATCH(K218, itemNames, 0))="chop"</f>
        <v>0</v>
      </c>
      <c r="W218" s="62" t="str">
        <f>IF(V218, Q218, "")</f>
        <v/>
      </c>
      <c r="X218" s="63" t="str">
        <f>IF(V218, IF(L218 = "", "", L218), "")</f>
        <v/>
      </c>
      <c r="Y218" s="63" t="str">
        <f>IF(V218, K218, "")</f>
        <v/>
      </c>
      <c r="Z218" s="64"/>
      <c r="AA218" s="48" t="b">
        <f>INDEX(itemPrepMethods, MATCH(K218, itemNames, 0))="soak"</f>
        <v>0</v>
      </c>
      <c r="AB218" s="63" t="str">
        <f>IF(AA218, Q218, "")</f>
        <v/>
      </c>
      <c r="AC218" s="63" t="str">
        <f>IF(AA218, IF(L218 = "", "", L218), "")</f>
        <v/>
      </c>
      <c r="AD218" s="63" t="str">
        <f>IF(AA218, K218, "")</f>
        <v/>
      </c>
    </row>
    <row r="219" spans="1:30" ht="15.75" thickBot="1" x14ac:dyDescent="0.3">
      <c r="A219" s="110"/>
      <c r="B219" s="110"/>
      <c r="C219" s="110"/>
      <c r="D219" s="110"/>
      <c r="E219" s="72" t="s">
        <v>373</v>
      </c>
      <c r="F219" s="55">
        <f>F218/F215</f>
        <v>1</v>
      </c>
      <c r="G219" s="56" t="s">
        <v>393</v>
      </c>
      <c r="I219" s="51"/>
      <c r="W219" s="81"/>
      <c r="X219" s="81"/>
      <c r="Y219" s="81"/>
      <c r="Z219" s="81"/>
      <c r="AA219" s="73"/>
      <c r="AB219" s="81"/>
      <c r="AC219" s="81"/>
      <c r="AD219" s="81"/>
    </row>
    <row r="220" spans="1:30" x14ac:dyDescent="0.25">
      <c r="A220" s="110" t="s">
        <v>127</v>
      </c>
      <c r="B220" s="110"/>
      <c r="C220" s="110"/>
      <c r="D220" s="110"/>
      <c r="I220" s="51"/>
      <c r="W220" s="81"/>
      <c r="X220" s="81"/>
      <c r="Y220" s="81"/>
      <c r="Z220" s="81"/>
      <c r="AA220" s="73"/>
      <c r="AB220" s="81"/>
      <c r="AC220" s="81"/>
      <c r="AD220" s="81"/>
    </row>
    <row r="221" spans="1:30" x14ac:dyDescent="0.25">
      <c r="A221" s="44" t="s">
        <v>21</v>
      </c>
      <c r="B221" s="57">
        <f t="shared" ref="B221:B222" si="165">Q221</f>
        <v>0.25</v>
      </c>
      <c r="C221" s="43" t="str">
        <f>IF(L221="","",L221)</f>
        <v>cup</v>
      </c>
      <c r="D221" s="44" t="str">
        <f>_xlfn.CONCAT(K221, U221)</f>
        <v>cider vinegar</v>
      </c>
      <c r="I221" s="59">
        <v>0.5</v>
      </c>
      <c r="J221" s="60" t="s">
        <v>16</v>
      </c>
      <c r="K221" s="60" t="s">
        <v>121</v>
      </c>
      <c r="L221" s="61" t="s">
        <v>16</v>
      </c>
      <c r="M221" s="51">
        <f>INDEX(itemGPerQty, MATCH(K221, itemNames, 0))</f>
        <v>0</v>
      </c>
      <c r="N221" s="51">
        <f>INDEX(itemMlPerQty, MATCH(K221, itemNames, 0))</f>
        <v>0</v>
      </c>
      <c r="O221" s="51">
        <f t="shared" ref="O221:O222" si="166">IF(J221 = "", I221 * M221, IF(ISNA(CONVERT(I221, J221, "kg")), CONVERT(I221, J221, "l") * IF(N221 &lt;&gt; 0, M221 / N221, 0), CONVERT(I221, J221, "kg")))</f>
        <v>0</v>
      </c>
      <c r="P221" s="51">
        <f t="shared" ref="P221:P222" si="167">IF(J221 = "", I221 * N221, IF(ISNA(CONVERT(I221, J221, "l")), CONVERT(I221, J221, "kg") * IF(M221 &lt;&gt; 0, N221 / M221, 0), CONVERT(I221, J221, "l")))</f>
        <v>0.11829411825</v>
      </c>
      <c r="Q221" s="51">
        <f>MROUND(IF(AND(J221 = "", L221 = ""), I221 * recipe06DayScale, IF(ISNA(CONVERT(O221, "kg", L221)), CONVERT(P221 * recipe06DayScale, "l", L221), CONVERT(O221 * recipe06DayScale, "kg", L221))), roundTo)</f>
        <v>0.25</v>
      </c>
      <c r="R221" s="52">
        <f>recipe06TotScale * IF(L221 = "", Q221 * M221, IF(ISNA(CONVERT(Q221, L221, "kg")), CONVERT(Q221, L221, "l") * IF(N221 &lt;&gt; 0, M221 / N221, 0), CONVERT(Q221, L221, "kg")))</f>
        <v>0</v>
      </c>
      <c r="S221" s="52">
        <f>recipe06TotScale * IF(R221 = 0, IF(L221 = "", Q221 * N221, IF(ISNA(CONVERT(Q221, L221, "l")), CONVERT(Q221, L221, "kg") * IF(M221 &lt;&gt; 0, N221 / M221, 0), CONVERT(Q221, L221, "l"))), 0)</f>
        <v>5.9147059124999998E-2</v>
      </c>
      <c r="T221" s="51">
        <f>recipe06TotScale * IF(AND(R221 = 0, S221 = 0, J221 = "", L221 = ""), Q221, 0)</f>
        <v>0</v>
      </c>
      <c r="V221" s="48" t="b">
        <f>INDEX(itemPrepMethods, MATCH(K221, itemNames, 0))="chop"</f>
        <v>0</v>
      </c>
      <c r="W221" s="62" t="str">
        <f>IF(V221, Q221, "")</f>
        <v/>
      </c>
      <c r="X221" s="63" t="str">
        <f>IF(V221, IF(L221 = "", "", L221), "")</f>
        <v/>
      </c>
      <c r="Y221" s="63" t="str">
        <f>IF(V221, K221, "")</f>
        <v/>
      </c>
      <c r="Z221" s="64"/>
      <c r="AA221" s="48" t="b">
        <f>INDEX(itemPrepMethods, MATCH(K221, itemNames, 0))="soak"</f>
        <v>0</v>
      </c>
      <c r="AB221" s="63" t="str">
        <f>IF(AA221, Q221, "")</f>
        <v/>
      </c>
      <c r="AC221" s="63" t="str">
        <f>IF(AA221, IF(L221 = "", "", L221), "")</f>
        <v/>
      </c>
      <c r="AD221" s="63" t="str">
        <f>IF(AA221, K221, "")</f>
        <v/>
      </c>
    </row>
    <row r="222" spans="1:30" x14ac:dyDescent="0.25">
      <c r="A222" s="44" t="s">
        <v>21</v>
      </c>
      <c r="B222" s="57">
        <f t="shared" si="165"/>
        <v>0.25</v>
      </c>
      <c r="C222" s="43" t="str">
        <f>IF(L222="","",L222)</f>
        <v>cup</v>
      </c>
      <c r="D222" s="44" t="str">
        <f>_xlfn.CONCAT(K222, U222)</f>
        <v>soy sauce</v>
      </c>
      <c r="I222" s="59">
        <v>0.5</v>
      </c>
      <c r="J222" s="60" t="s">
        <v>16</v>
      </c>
      <c r="K222" s="60" t="s">
        <v>122</v>
      </c>
      <c r="L222" s="61" t="s">
        <v>16</v>
      </c>
      <c r="M222" s="51">
        <f>INDEX(itemGPerQty, MATCH(K222, itemNames, 0))</f>
        <v>0</v>
      </c>
      <c r="N222" s="51">
        <f>INDEX(itemMlPerQty, MATCH(K222, itemNames, 0))</f>
        <v>0</v>
      </c>
      <c r="O222" s="51">
        <f t="shared" si="166"/>
        <v>0</v>
      </c>
      <c r="P222" s="51">
        <f t="shared" si="167"/>
        <v>0.11829411825</v>
      </c>
      <c r="Q222" s="51">
        <f>MROUND(IF(AND(J222 = "", L222 = ""), I222 * recipe06DayScale, IF(ISNA(CONVERT(O222, "kg", L222)), CONVERT(P222 * recipe06DayScale, "l", L222), CONVERT(O222 * recipe06DayScale, "kg", L222))), roundTo)</f>
        <v>0.25</v>
      </c>
      <c r="R222" s="52">
        <f>recipe06TotScale * IF(L222 = "", Q222 * M222, IF(ISNA(CONVERT(Q222, L222, "kg")), CONVERT(Q222, L222, "l") * IF(N222 &lt;&gt; 0, M222 / N222, 0), CONVERT(Q222, L222, "kg")))</f>
        <v>0</v>
      </c>
      <c r="S222" s="52">
        <f>recipe06TotScale * IF(R222 = 0, IF(L222 = "", Q222 * N222, IF(ISNA(CONVERT(Q222, L222, "l")), CONVERT(Q222, L222, "kg") * IF(M222 &lt;&gt; 0, N222 / M222, 0), CONVERT(Q222, L222, "l"))), 0)</f>
        <v>5.9147059124999998E-2</v>
      </c>
      <c r="T222" s="51">
        <f>recipe06TotScale * IF(AND(R222 = 0, S222 = 0, J222 = "", L222 = ""), Q222, 0)</f>
        <v>0</v>
      </c>
      <c r="V222" s="48" t="b">
        <f>INDEX(itemPrepMethods, MATCH(K222, itemNames, 0))="chop"</f>
        <v>0</v>
      </c>
      <c r="W222" s="62" t="str">
        <f>IF(V222, Q222, "")</f>
        <v/>
      </c>
      <c r="X222" s="63" t="str">
        <f>IF(V222, IF(L222 = "", "", L222), "")</f>
        <v/>
      </c>
      <c r="Y222" s="63" t="str">
        <f>IF(V222, K222, "")</f>
        <v/>
      </c>
      <c r="Z222" s="64"/>
      <c r="AA222" s="48" t="b">
        <f>INDEX(itemPrepMethods, MATCH(K222, itemNames, 0))="soak"</f>
        <v>0</v>
      </c>
      <c r="AB222" s="63" t="str">
        <f>IF(AA222, Q222, "")</f>
        <v/>
      </c>
      <c r="AC222" s="63" t="str">
        <f>IF(AA222, IF(L222 = "", "", L222), "")</f>
        <v/>
      </c>
      <c r="AD222" s="63" t="str">
        <f>IF(AA222, K222, "")</f>
        <v/>
      </c>
    </row>
    <row r="223" spans="1:30" x14ac:dyDescent="0.25">
      <c r="A223" s="110"/>
      <c r="B223" s="110"/>
      <c r="C223" s="110"/>
      <c r="D223" s="110"/>
      <c r="I223" s="51"/>
      <c r="W223" s="81"/>
      <c r="X223" s="81"/>
      <c r="Y223" s="81"/>
      <c r="Z223" s="81"/>
      <c r="AA223" s="73"/>
      <c r="AB223" s="81"/>
      <c r="AC223" s="81"/>
      <c r="AD223" s="81"/>
    </row>
    <row r="224" spans="1:30" x14ac:dyDescent="0.25">
      <c r="A224" s="110" t="s">
        <v>128</v>
      </c>
      <c r="B224" s="110"/>
      <c r="C224" s="110"/>
      <c r="D224" s="110"/>
      <c r="I224" s="51"/>
      <c r="W224" s="81"/>
      <c r="X224" s="81"/>
      <c r="Y224" s="81"/>
      <c r="Z224" s="81"/>
      <c r="AA224" s="73"/>
      <c r="AB224" s="81"/>
      <c r="AC224" s="81"/>
      <c r="AD224" s="81"/>
    </row>
    <row r="225" spans="1:30" ht="36" x14ac:dyDescent="0.25">
      <c r="A225" s="44" t="s">
        <v>21</v>
      </c>
      <c r="B225" s="57">
        <f>Q225</f>
        <v>2.25</v>
      </c>
      <c r="C225" s="43" t="str">
        <f>IF(L225="","",L225)</f>
        <v/>
      </c>
      <c r="D225" s="44" t="str">
        <f>_xlfn.CONCAT(K225, U225)</f>
        <v>blocks tofu, cut into cubes</v>
      </c>
      <c r="I225" s="59">
        <v>3</v>
      </c>
      <c r="J225" s="60"/>
      <c r="K225" s="60" t="s">
        <v>276</v>
      </c>
      <c r="L225" s="61"/>
      <c r="M225" s="51">
        <f>INDEX(itemGPerQty, MATCH(K225, itemNames, 0))</f>
        <v>0</v>
      </c>
      <c r="N225" s="51">
        <f>INDEX(itemMlPerQty, MATCH(K225, itemNames, 0))</f>
        <v>0</v>
      </c>
      <c r="O225" s="51">
        <f>IF(J225 = "", I225 * M225, IF(ISNA(CONVERT(I225, J225, "kg")), CONVERT(I225, J225, "l") * IF(N225 &lt;&gt; 0, M225 / N225, 0), CONVERT(I225, J225, "kg")))</f>
        <v>0</v>
      </c>
      <c r="P225" s="51">
        <f>IF(J225 = "", I225 * N225, IF(ISNA(CONVERT(I225, J225, "l")), CONVERT(I225, J225, "kg") * IF(M225 &lt;&gt; 0, N225 / M225, 0), CONVERT(I225, J225, "l")))</f>
        <v>0</v>
      </c>
      <c r="Q225" s="51">
        <f>MROUND(IF(AND(J225 = "", L225 = ""), I225 * recipe06DayScale, IF(ISNA(CONVERT(O225, "kg", L225)), CONVERT(P225 * recipe06DayScale, "l", L225), CONVERT(O225 * recipe06DayScale, "kg", L225))), roundTo)</f>
        <v>2.25</v>
      </c>
      <c r="R225" s="52">
        <f>recipe06TotScale * IF(L225 = "", Q225 * M225, IF(ISNA(CONVERT(Q225, L225, "kg")), CONVERT(Q225, L225, "l") * IF(N225 &lt;&gt; 0, M225 / N225, 0), CONVERT(Q225, L225, "kg")))</f>
        <v>0</v>
      </c>
      <c r="S225" s="52">
        <f>recipe06TotScale * IF(R225 = 0, IF(L225 = "", Q225 * N225, IF(ISNA(CONVERT(Q225, L225, "l")), CONVERT(Q225, L225, "kg") * IF(M225 &lt;&gt; 0, N225 / M225, 0), CONVERT(Q225, L225, "l"))), 0)</f>
        <v>0</v>
      </c>
      <c r="T225" s="51">
        <f>recipe06TotScale * IF(AND(R225 = 0, S225 = 0, J225 = "", L225 = ""), Q225, 0)</f>
        <v>2.25</v>
      </c>
      <c r="V225" s="48" t="b">
        <f>INDEX(itemPrepMethods, MATCH(K225, itemNames, 0))="chop"</f>
        <v>1</v>
      </c>
      <c r="W225" s="62">
        <f>IF(V225, Q225, "")</f>
        <v>2.25</v>
      </c>
      <c r="X225" s="63" t="str">
        <f>IF(V225, IF(L225 = "", "", L225), "")</f>
        <v/>
      </c>
      <c r="Y225" s="63" t="str">
        <f>IF(V225, K225, "")</f>
        <v>blocks tofu, cut into cubes</v>
      </c>
      <c r="Z225" s="64" t="s">
        <v>278</v>
      </c>
      <c r="AA225" s="48" t="b">
        <f>INDEX(itemPrepMethods, MATCH(K225, itemNames, 0))="soak"</f>
        <v>0</v>
      </c>
      <c r="AB225" s="63" t="str">
        <f>IF(AA225, Q225, "")</f>
        <v/>
      </c>
      <c r="AC225" s="63" t="str">
        <f>IF(AA225, IF(L225 = "", "", L225), "")</f>
        <v/>
      </c>
      <c r="AD225" s="63" t="str">
        <f>IF(AA225, K225, "")</f>
        <v/>
      </c>
    </row>
    <row r="226" spans="1:30" x14ac:dyDescent="0.25">
      <c r="A226" s="110"/>
      <c r="B226" s="110"/>
      <c r="C226" s="110"/>
      <c r="D226" s="110"/>
      <c r="I226" s="51"/>
      <c r="W226" s="81"/>
      <c r="X226" s="81"/>
      <c r="Y226" s="81"/>
      <c r="Z226" s="81"/>
      <c r="AA226" s="73"/>
      <c r="AB226" s="81"/>
      <c r="AC226" s="81"/>
      <c r="AD226" s="81"/>
    </row>
    <row r="227" spans="1:30" x14ac:dyDescent="0.25">
      <c r="A227" s="110" t="s">
        <v>129</v>
      </c>
      <c r="B227" s="110"/>
      <c r="C227" s="110"/>
      <c r="D227" s="110"/>
      <c r="I227" s="51"/>
      <c r="W227" s="81"/>
      <c r="X227" s="81"/>
      <c r="Y227" s="81"/>
      <c r="Z227" s="81"/>
      <c r="AA227" s="73"/>
      <c r="AB227" s="81"/>
      <c r="AC227" s="81"/>
      <c r="AD227" s="81"/>
    </row>
    <row r="228" spans="1:30" x14ac:dyDescent="0.25">
      <c r="A228" s="44" t="s">
        <v>21</v>
      </c>
      <c r="B228" s="57">
        <f>Q228</f>
        <v>3.5</v>
      </c>
      <c r="C228" s="43" t="str">
        <f>IF(L228="","",L228)</f>
        <v/>
      </c>
      <c r="D228" s="44" t="str">
        <f>_xlfn.CONCAT(K228, U228)</f>
        <v>garlic cloves. Remove from oil once cooked</v>
      </c>
      <c r="I228" s="59">
        <v>5</v>
      </c>
      <c r="J228" s="60"/>
      <c r="K228" s="60" t="s">
        <v>8</v>
      </c>
      <c r="L228" s="61"/>
      <c r="M228" s="51">
        <f>INDEX(itemGPerQty, MATCH(K228, itemNames, 0))</f>
        <v>0</v>
      </c>
      <c r="N228" s="51">
        <f>INDEX(itemMlPerQty, MATCH(K228, itemNames, 0))</f>
        <v>0</v>
      </c>
      <c r="O228" s="51">
        <f>IF(J228 = "", I228 * M228, IF(ISNA(CONVERT(I228, J228, "kg")), CONVERT(I228, J228, "l") * IF(N228 &lt;&gt; 0, M228 / N228, 0), CONVERT(I228, J228, "kg")))</f>
        <v>0</v>
      </c>
      <c r="P228" s="51">
        <f>IF(J228 = "", I228 * N228, IF(ISNA(CONVERT(I228, J228, "l")), CONVERT(I228, J228, "kg") * IF(M228 &lt;&gt; 0, N228 / M228, 0), CONVERT(I228, J228, "l")))</f>
        <v>0</v>
      </c>
      <c r="Q228" s="51">
        <f>MROUND(IF(AND(J228 = "", L228 = ""), I228 * recipe06DayScale, IF(ISNA(CONVERT(O228, "kg", L228)), CONVERT(P228 * recipe06DayScale, "l", L228), CONVERT(O228 * recipe06DayScale, "kg", L228))), roundTo)</f>
        <v>3.5</v>
      </c>
      <c r="R228" s="52">
        <f>recipe06TotScale * IF(L228 = "", Q228 * M228, IF(ISNA(CONVERT(Q228, L228, "kg")), CONVERT(Q228, L228, "l") * IF(N228 &lt;&gt; 0, M228 / N228, 0), CONVERT(Q228, L228, "kg")))</f>
        <v>0</v>
      </c>
      <c r="S228" s="52">
        <f>recipe06TotScale * IF(R228 = 0, IF(L228 = "", Q228 * N228, IF(ISNA(CONVERT(Q228, L228, "l")), CONVERT(Q228, L228, "kg") * IF(M228 &lt;&gt; 0, N228 / M228, 0), CONVERT(Q228, L228, "l"))), 0)</f>
        <v>0</v>
      </c>
      <c r="T228" s="51">
        <f>recipe06TotScale * IF(AND(R228 = 0, S228 = 0, J228 = "", L228 = ""), Q228, 0)</f>
        <v>3.5</v>
      </c>
      <c r="U228" s="48" t="s">
        <v>249</v>
      </c>
      <c r="V228" s="48" t="b">
        <f>INDEX(itemPrepMethods, MATCH(K228, itemNames, 0))="chop"</f>
        <v>0</v>
      </c>
      <c r="W228" s="62" t="str">
        <f>IF(V228, Q228, "")</f>
        <v/>
      </c>
      <c r="X228" s="63" t="str">
        <f>IF(V228, IF(L228 = "", "", L228), "")</f>
        <v/>
      </c>
      <c r="Y228" s="63" t="str">
        <f>IF(V228, K228, "")</f>
        <v/>
      </c>
      <c r="Z228" s="64"/>
      <c r="AA228" s="48" t="b">
        <f>INDEX(itemPrepMethods, MATCH(K228, itemNames, 0))="soak"</f>
        <v>0</v>
      </c>
      <c r="AB228" s="63" t="str">
        <f>IF(AA228, Q228, "")</f>
        <v/>
      </c>
      <c r="AC228" s="63" t="str">
        <f>IF(AA228, IF(L228 = "", "", L228), "")</f>
        <v/>
      </c>
      <c r="AD228" s="63" t="str">
        <f>IF(AA228, K228, "")</f>
        <v/>
      </c>
    </row>
    <row r="229" spans="1:30" x14ac:dyDescent="0.25">
      <c r="A229" s="44" t="s">
        <v>21</v>
      </c>
      <c r="B229" s="57">
        <f t="shared" ref="B229:B230" si="168">Q229</f>
        <v>2</v>
      </c>
      <c r="C229" s="43" t="str">
        <f>IF(L229="","",L229)</f>
        <v/>
      </c>
      <c r="D229" s="44" t="str">
        <f>_xlfn.CONCAT(K229, U229)</f>
        <v>chopped onions</v>
      </c>
      <c r="I229" s="59">
        <v>2.75</v>
      </c>
      <c r="J229" s="60"/>
      <c r="K229" s="60" t="s">
        <v>6</v>
      </c>
      <c r="L229" s="61"/>
      <c r="M229" s="51">
        <f>INDEX(itemGPerQty, MATCH(K229, itemNames, 0))</f>
        <v>0.185</v>
      </c>
      <c r="N229" s="51">
        <f>INDEX(itemMlPerQty, MATCH(K229, itemNames, 0))</f>
        <v>0.3</v>
      </c>
      <c r="O229" s="51">
        <f t="shared" ref="O229:O230" si="169">IF(J229 = "", I229 * M229, IF(ISNA(CONVERT(I229, J229, "kg")), CONVERT(I229, J229, "l") * IF(N229 &lt;&gt; 0, M229 / N229, 0), CONVERT(I229, J229, "kg")))</f>
        <v>0.50875000000000004</v>
      </c>
      <c r="P229" s="51">
        <f t="shared" ref="P229:P230" si="170">IF(J229 = "", I229 * N229, IF(ISNA(CONVERT(I229, J229, "l")), CONVERT(I229, J229, "kg") * IF(M229 &lt;&gt; 0, N229 / M229, 0), CONVERT(I229, J229, "l")))</f>
        <v>0.82499999999999996</v>
      </c>
      <c r="Q229" s="51">
        <f>MROUND(IF(AND(J229 = "", L229 = ""), I229 * recipe06DayScale, IF(ISNA(CONVERT(O229, "kg", L229)), CONVERT(P229 * recipe06DayScale, "l", L229), CONVERT(O229 * recipe06DayScale, "kg", L229))), roundTo)</f>
        <v>2</v>
      </c>
      <c r="R229" s="52">
        <f>recipe06TotScale * IF(L229 = "", Q229 * M229, IF(ISNA(CONVERT(Q229, L229, "kg")), CONVERT(Q229, L229, "l") * IF(N229 &lt;&gt; 0, M229 / N229, 0), CONVERT(Q229, L229, "kg")))</f>
        <v>0.37</v>
      </c>
      <c r="S229" s="52">
        <f>recipe06TotScale * IF(R229 = 0, IF(L229 = "", Q229 * N229, IF(ISNA(CONVERT(Q229, L229, "l")), CONVERT(Q229, L229, "kg") * IF(M229 &lt;&gt; 0, N229 / M229, 0), CONVERT(Q229, L229, "l"))), 0)</f>
        <v>0</v>
      </c>
      <c r="T229" s="51">
        <f>recipe06TotScale * IF(AND(R229 = 0, S229 = 0, J229 = "", L229 = ""), Q229, 0)</f>
        <v>0</v>
      </c>
      <c r="V229" s="48" t="b">
        <f>INDEX(itemPrepMethods, MATCH(K229, itemNames, 0))="chop"</f>
        <v>1</v>
      </c>
      <c r="W229" s="62">
        <f>IF(V229, Q229, "")</f>
        <v>2</v>
      </c>
      <c r="X229" s="63" t="str">
        <f>IF(V229, IF(L229 = "", "", L229), "")</f>
        <v/>
      </c>
      <c r="Y229" s="63" t="str">
        <f>IF(V229, K229, "")</f>
        <v>chopped onions</v>
      </c>
      <c r="Z229" s="64"/>
      <c r="AA229" s="48" t="b">
        <f>INDEX(itemPrepMethods, MATCH(K229, itemNames, 0))="soak"</f>
        <v>0</v>
      </c>
      <c r="AB229" s="63" t="str">
        <f>IF(AA229, Q229, "")</f>
        <v/>
      </c>
      <c r="AC229" s="63" t="str">
        <f>IF(AA229, IF(L229 = "", "", L229), "")</f>
        <v/>
      </c>
      <c r="AD229" s="63" t="str">
        <f>IF(AA229, K229, "")</f>
        <v/>
      </c>
    </row>
    <row r="230" spans="1:30" x14ac:dyDescent="0.25">
      <c r="A230" s="44" t="s">
        <v>21</v>
      </c>
      <c r="B230" s="57">
        <f t="shared" si="168"/>
        <v>0.25</v>
      </c>
      <c r="C230" s="43" t="str">
        <f>IF(L230="","",L230)</f>
        <v>cup</v>
      </c>
      <c r="D230" s="44" t="str">
        <f>_xlfn.CONCAT(K230, U230)</f>
        <v>minced fresh ginger</v>
      </c>
      <c r="I230" s="59">
        <v>0.5</v>
      </c>
      <c r="J230" s="60" t="s">
        <v>16</v>
      </c>
      <c r="K230" s="60" t="s">
        <v>237</v>
      </c>
      <c r="L230" s="61" t="s">
        <v>16</v>
      </c>
      <c r="M230" s="51">
        <f>INDEX(itemGPerQty, MATCH(K230, itemNames, 0))</f>
        <v>0</v>
      </c>
      <c r="N230" s="51">
        <f>INDEX(itemMlPerQty, MATCH(K230, itemNames, 0))</f>
        <v>0</v>
      </c>
      <c r="O230" s="51">
        <f t="shared" si="169"/>
        <v>0</v>
      </c>
      <c r="P230" s="51">
        <f t="shared" si="170"/>
        <v>0.11829411825</v>
      </c>
      <c r="Q230" s="51">
        <f>MROUND(IF(AND(J230 = "", L230 = ""), I230 * recipe06DayScale, IF(ISNA(CONVERT(O230, "kg", L230)), CONVERT(P230 * recipe06DayScale, "l", L230), CONVERT(O230 * recipe06DayScale, "kg", L230))), roundTo)</f>
        <v>0.25</v>
      </c>
      <c r="R230" s="52">
        <f>recipe06TotScale * IF(L230 = "", Q230 * M230, IF(ISNA(CONVERT(Q230, L230, "kg")), CONVERT(Q230, L230, "l") * IF(N230 &lt;&gt; 0, M230 / N230, 0), CONVERT(Q230, L230, "kg")))</f>
        <v>0</v>
      </c>
      <c r="S230" s="52">
        <f>recipe06TotScale * IF(R230 = 0, IF(L230 = "", Q230 * N230, IF(ISNA(CONVERT(Q230, L230, "l")), CONVERT(Q230, L230, "kg") * IF(M230 &lt;&gt; 0, N230 / M230, 0), CONVERT(Q230, L230, "l"))), 0)</f>
        <v>5.9147059124999998E-2</v>
      </c>
      <c r="T230" s="51">
        <f>recipe06TotScale * IF(AND(R230 = 0, S230 = 0, J230 = "", L230 = ""), Q230, 0)</f>
        <v>0</v>
      </c>
      <c r="V230" s="48" t="b">
        <f>INDEX(itemPrepMethods, MATCH(K230, itemNames, 0))="chop"</f>
        <v>1</v>
      </c>
      <c r="W230" s="62">
        <f>IF(V230, Q230, "")</f>
        <v>0.25</v>
      </c>
      <c r="X230" s="63" t="str">
        <f>IF(V230, IF(L230 = "", "", L230), "")</f>
        <v>cup</v>
      </c>
      <c r="Y230" s="63" t="str">
        <f>IF(V230, K230, "")</f>
        <v>minced fresh ginger</v>
      </c>
      <c r="Z230" s="64"/>
      <c r="AA230" s="48" t="b">
        <f>INDEX(itemPrepMethods, MATCH(K230, itemNames, 0))="soak"</f>
        <v>0</v>
      </c>
      <c r="AB230" s="63" t="str">
        <f>IF(AA230, Q230, "")</f>
        <v/>
      </c>
      <c r="AC230" s="63" t="str">
        <f>IF(AA230, IF(L230 = "", "", L230), "")</f>
        <v/>
      </c>
      <c r="AD230" s="63" t="str">
        <f>IF(AA230, K230, "")</f>
        <v/>
      </c>
    </row>
    <row r="231" spans="1:30" x14ac:dyDescent="0.25">
      <c r="A231" s="110"/>
      <c r="B231" s="110"/>
      <c r="C231" s="110"/>
      <c r="D231" s="110"/>
      <c r="I231" s="51"/>
      <c r="W231" s="81"/>
      <c r="X231" s="81"/>
      <c r="Y231" s="81"/>
      <c r="Z231" s="81"/>
      <c r="AA231" s="73"/>
      <c r="AB231" s="81"/>
      <c r="AC231" s="81"/>
      <c r="AD231" s="81"/>
    </row>
    <row r="232" spans="1:30" x14ac:dyDescent="0.25">
      <c r="A232" s="110" t="s">
        <v>130</v>
      </c>
      <c r="B232" s="110"/>
      <c r="C232" s="110"/>
      <c r="D232" s="110"/>
      <c r="I232" s="51"/>
      <c r="W232" s="81"/>
      <c r="X232" s="81"/>
      <c r="Y232" s="81"/>
      <c r="Z232" s="81"/>
      <c r="AA232" s="73"/>
      <c r="AB232" s="81"/>
      <c r="AC232" s="81"/>
      <c r="AD232" s="81"/>
    </row>
    <row r="233" spans="1:30" x14ac:dyDescent="0.25">
      <c r="A233" s="44" t="s">
        <v>21</v>
      </c>
      <c r="B233" s="57">
        <f t="shared" ref="B233:B236" si="171">Q233</f>
        <v>2.25</v>
      </c>
      <c r="C233" s="43" t="str">
        <f>IF(L233="","",L233)</f>
        <v/>
      </c>
      <c r="D233" s="44" t="str">
        <f t="shared" ref="D233:D238" si="172">_xlfn.CONCAT(K233, U233)</f>
        <v>chopped broccoli</v>
      </c>
      <c r="I233" s="59">
        <v>3</v>
      </c>
      <c r="J233" s="60"/>
      <c r="K233" s="60" t="s">
        <v>123</v>
      </c>
      <c r="L233" s="61"/>
      <c r="M233" s="51">
        <f>INDEX(itemGPerQty, MATCH(K233, itemNames, 0))</f>
        <v>0.313</v>
      </c>
      <c r="N233" s="51">
        <f>INDEX(itemMlPerQty, MATCH(K233, itemNames, 0))</f>
        <v>0</v>
      </c>
      <c r="O233" s="51">
        <f t="shared" ref="O233:O236" si="173">IF(J233 = "", I233 * M233, IF(ISNA(CONVERT(I233, J233, "kg")), CONVERT(I233, J233, "l") * IF(N233 &lt;&gt; 0, M233 / N233, 0), CONVERT(I233, J233, "kg")))</f>
        <v>0.93900000000000006</v>
      </c>
      <c r="P233" s="51">
        <f t="shared" ref="P233:P236" si="174">IF(J233 = "", I233 * N233, IF(ISNA(CONVERT(I233, J233, "l")), CONVERT(I233, J233, "kg") * IF(M233 &lt;&gt; 0, N233 / M233, 0), CONVERT(I233, J233, "l")))</f>
        <v>0</v>
      </c>
      <c r="Q233" s="51">
        <f>MROUND(IF(AND(J233 = "", L233 = ""), I233 * recipe06DayScale, IF(ISNA(CONVERT(O233, "kg", L233)), CONVERT(P233 * recipe06DayScale, "l", L233), CONVERT(O233 * recipe06DayScale, "kg", L233))), roundTo)</f>
        <v>2.25</v>
      </c>
      <c r="R233" s="52">
        <f>recipe06TotScale * IF(L233 = "", Q233 * M233, IF(ISNA(CONVERT(Q233, L233, "kg")), CONVERT(Q233, L233, "l") * IF(N233 &lt;&gt; 0, M233 / N233, 0), CONVERT(Q233, L233, "kg")))</f>
        <v>0.70425000000000004</v>
      </c>
      <c r="S233" s="52">
        <f>recipe06TotScale * IF(R233 = 0, IF(L233 = "", Q233 * N233, IF(ISNA(CONVERT(Q233, L233, "l")), CONVERT(Q233, L233, "kg") * IF(M233 &lt;&gt; 0, N233 / M233, 0), CONVERT(Q233, L233, "l"))), 0)</f>
        <v>0</v>
      </c>
      <c r="T233" s="51">
        <f>recipe06TotScale * IF(AND(R233 = 0, S233 = 0, J233 = "", L233 = ""), Q233, 0)</f>
        <v>0</v>
      </c>
      <c r="V233" s="48" t="b">
        <f>INDEX(itemPrepMethods, MATCH(K233, itemNames, 0))="chop"</f>
        <v>1</v>
      </c>
      <c r="W233" s="62">
        <f>IF(V233, Q233, "")</f>
        <v>2.25</v>
      </c>
      <c r="X233" s="63" t="str">
        <f>IF(V233, IF(L233 = "", "", L233), "")</f>
        <v/>
      </c>
      <c r="Y233" s="63" t="str">
        <f>IF(V233, K233, "")</f>
        <v>chopped broccoli</v>
      </c>
      <c r="Z233" s="64"/>
      <c r="AA233" s="48" t="b">
        <f>INDEX(itemPrepMethods, MATCH(K233, itemNames, 0))="soak"</f>
        <v>0</v>
      </c>
      <c r="AB233" s="63" t="str">
        <f>IF(AA233, Q233, "")</f>
        <v/>
      </c>
      <c r="AC233" s="63" t="str">
        <f>IF(AA233, IF(L233 = "", "", L233), "")</f>
        <v/>
      </c>
      <c r="AD233" s="63" t="str">
        <f>IF(AA233, K233, "")</f>
        <v/>
      </c>
    </row>
    <row r="234" spans="1:30" x14ac:dyDescent="0.25">
      <c r="A234" s="44" t="s">
        <v>21</v>
      </c>
      <c r="B234" s="57">
        <f t="shared" si="171"/>
        <v>1.5</v>
      </c>
      <c r="C234" s="43" t="str">
        <f>IF(L234="","",L234)</f>
        <v/>
      </c>
      <c r="D234" s="44" t="str">
        <f t="shared" si="172"/>
        <v>chopped cauliflowers</v>
      </c>
      <c r="I234" s="59">
        <v>2</v>
      </c>
      <c r="J234" s="60"/>
      <c r="K234" s="60" t="s">
        <v>172</v>
      </c>
      <c r="L234" s="61"/>
      <c r="M234" s="51">
        <f>INDEX(itemGPerQty, MATCH(K234, itemNames, 0))</f>
        <v>0</v>
      </c>
      <c r="N234" s="51">
        <f>INDEX(itemMlPerQty, MATCH(K234, itemNames, 0))</f>
        <v>0</v>
      </c>
      <c r="O234" s="51">
        <f t="shared" si="173"/>
        <v>0</v>
      </c>
      <c r="P234" s="51">
        <f t="shared" si="174"/>
        <v>0</v>
      </c>
      <c r="Q234" s="51">
        <f>MROUND(IF(AND(J234 = "", L234 = ""), I234 * recipe06DayScale, IF(ISNA(CONVERT(O234, "kg", L234)), CONVERT(P234 * recipe06DayScale, "l", L234), CONVERT(O234 * recipe06DayScale, "kg", L234))), roundTo)</f>
        <v>1.5</v>
      </c>
      <c r="R234" s="52">
        <f>recipe06TotScale * IF(L234 = "", Q234 * M234, IF(ISNA(CONVERT(Q234, L234, "kg")), CONVERT(Q234, L234, "l") * IF(N234 &lt;&gt; 0, M234 / N234, 0), CONVERT(Q234, L234, "kg")))</f>
        <v>0</v>
      </c>
      <c r="S234" s="52">
        <f>recipe06TotScale * IF(R234 = 0, IF(L234 = "", Q234 * N234, IF(ISNA(CONVERT(Q234, L234, "l")), CONVERT(Q234, L234, "kg") * IF(M234 &lt;&gt; 0, N234 / M234, 0), CONVERT(Q234, L234, "l"))), 0)</f>
        <v>0</v>
      </c>
      <c r="T234" s="51">
        <f>recipe06TotScale * IF(AND(R234 = 0, S234 = 0, J234 = "", L234 = ""), Q234, 0)</f>
        <v>1.5</v>
      </c>
      <c r="V234" s="48" t="b">
        <f>INDEX(itemPrepMethods, MATCH(K234, itemNames, 0))="chop"</f>
        <v>1</v>
      </c>
      <c r="W234" s="62">
        <f>IF(V234, Q234, "")</f>
        <v>1.5</v>
      </c>
      <c r="X234" s="63" t="str">
        <f>IF(V234, IF(L234 = "", "", L234), "")</f>
        <v/>
      </c>
      <c r="Y234" s="63" t="str">
        <f>IF(V234, K234, "")</f>
        <v>chopped cauliflowers</v>
      </c>
      <c r="Z234" s="64"/>
      <c r="AA234" s="48" t="b">
        <f>INDEX(itemPrepMethods, MATCH(K234, itemNames, 0))="soak"</f>
        <v>0</v>
      </c>
      <c r="AB234" s="63" t="str">
        <f>IF(AA234, Q234, "")</f>
        <v/>
      </c>
      <c r="AC234" s="63" t="str">
        <f>IF(AA234, IF(L234 = "", "", L234), "")</f>
        <v/>
      </c>
      <c r="AD234" s="63" t="str">
        <f>IF(AA234, K234, "")</f>
        <v/>
      </c>
    </row>
    <row r="235" spans="1:30" x14ac:dyDescent="0.25">
      <c r="A235" s="44" t="s">
        <v>21</v>
      </c>
      <c r="B235" s="57">
        <f t="shared" si="171"/>
        <v>1</v>
      </c>
      <c r="C235" s="43" t="str">
        <f>IF(L235="","",L235)</f>
        <v>cup</v>
      </c>
      <c r="D235" s="44" t="str">
        <f t="shared" si="172"/>
        <v>peanuts</v>
      </c>
      <c r="I235" s="59">
        <v>1.5</v>
      </c>
      <c r="J235" s="60" t="s">
        <v>16</v>
      </c>
      <c r="K235" s="60" t="s">
        <v>124</v>
      </c>
      <c r="L235" s="61" t="s">
        <v>16</v>
      </c>
      <c r="M235" s="51">
        <f>INDEX(itemGPerQty, MATCH(K235, itemNames, 0))</f>
        <v>0</v>
      </c>
      <c r="N235" s="51">
        <f>INDEX(itemMlPerQty, MATCH(K235, itemNames, 0))</f>
        <v>0</v>
      </c>
      <c r="O235" s="51">
        <f t="shared" si="173"/>
        <v>0</v>
      </c>
      <c r="P235" s="51">
        <f t="shared" si="174"/>
        <v>0.35488235474999996</v>
      </c>
      <c r="Q235" s="51">
        <f>MROUND(IF(AND(J235 = "", L235 = ""), I235 * recipe06DayScale, IF(ISNA(CONVERT(O235, "kg", L235)), CONVERT(P235 * recipe06DayScale, "l", L235), CONVERT(O235 * recipe06DayScale, "kg", L235))), roundTo)</f>
        <v>1</v>
      </c>
      <c r="R235" s="52">
        <f>recipe06TotScale * IF(L235 = "", Q235 * M235, IF(ISNA(CONVERT(Q235, L235, "kg")), CONVERT(Q235, L235, "l") * IF(N235 &lt;&gt; 0, M235 / N235, 0), CONVERT(Q235, L235, "kg")))</f>
        <v>0</v>
      </c>
      <c r="S235" s="52">
        <f>recipe06TotScale * IF(R235 = 0, IF(L235 = "", Q235 * N235, IF(ISNA(CONVERT(Q235, L235, "l")), CONVERT(Q235, L235, "kg") * IF(M235 &lt;&gt; 0, N235 / M235, 0), CONVERT(Q235, L235, "l"))), 0)</f>
        <v>0.23658823649999999</v>
      </c>
      <c r="T235" s="51">
        <f>recipe06TotScale * IF(AND(R235 = 0, S235 = 0, J235 = "", L235 = ""), Q235, 0)</f>
        <v>0</v>
      </c>
      <c r="V235" s="48" t="b">
        <f>INDEX(itemPrepMethods, MATCH(K235, itemNames, 0))="chop"</f>
        <v>0</v>
      </c>
      <c r="W235" s="62" t="str">
        <f>IF(V235, Q235, "")</f>
        <v/>
      </c>
      <c r="X235" s="63" t="str">
        <f>IF(V235, IF(L235 = "", "", L235), "")</f>
        <v/>
      </c>
      <c r="Y235" s="63" t="str">
        <f>IF(V235, K235, "")</f>
        <v/>
      </c>
      <c r="Z235" s="64"/>
      <c r="AA235" s="48" t="b">
        <f>INDEX(itemPrepMethods, MATCH(K235, itemNames, 0))="soak"</f>
        <v>0</v>
      </c>
      <c r="AB235" s="63" t="str">
        <f>IF(AA235, Q235, "")</f>
        <v/>
      </c>
      <c r="AC235" s="63" t="str">
        <f>IF(AA235, IF(L235 = "", "", L235), "")</f>
        <v/>
      </c>
      <c r="AD235" s="63" t="str">
        <f>IF(AA235, K235, "")</f>
        <v/>
      </c>
    </row>
    <row r="236" spans="1:30" x14ac:dyDescent="0.25">
      <c r="A236" s="44" t="s">
        <v>21</v>
      </c>
      <c r="B236" s="57">
        <f t="shared" si="171"/>
        <v>2.25</v>
      </c>
      <c r="C236" s="43" t="str">
        <f>IF(L236="","",L236)</f>
        <v>cup</v>
      </c>
      <c r="D236" s="44" t="str">
        <f t="shared" si="172"/>
        <v>tins coconut milk</v>
      </c>
      <c r="I236" s="59">
        <v>3</v>
      </c>
      <c r="J236" s="60" t="s">
        <v>16</v>
      </c>
      <c r="K236" s="60" t="s">
        <v>125</v>
      </c>
      <c r="L236" s="61" t="s">
        <v>16</v>
      </c>
      <c r="M236" s="51">
        <f>INDEX(itemGPerQty, MATCH(K236, itemNames, 0))</f>
        <v>0</v>
      </c>
      <c r="N236" s="51">
        <f>INDEX(itemMlPerQty, MATCH(K236, itemNames, 0))</f>
        <v>0</v>
      </c>
      <c r="O236" s="51">
        <f t="shared" si="173"/>
        <v>0</v>
      </c>
      <c r="P236" s="51">
        <f t="shared" si="174"/>
        <v>0.70976470949999992</v>
      </c>
      <c r="Q236" s="51">
        <f>MROUND(IF(AND(J236 = "", L236 = ""), I236 * recipe06DayScale, IF(ISNA(CONVERT(O236, "kg", L236)), CONVERT(P236 * recipe06DayScale, "l", L236), CONVERT(O236 * recipe06DayScale, "kg", L236))), roundTo)</f>
        <v>2.25</v>
      </c>
      <c r="R236" s="52">
        <f>recipe06TotScale * IF(L236 = "", Q236 * M236, IF(ISNA(CONVERT(Q236, L236, "kg")), CONVERT(Q236, L236, "l") * IF(N236 &lt;&gt; 0, M236 / N236, 0), CONVERT(Q236, L236, "kg")))</f>
        <v>0</v>
      </c>
      <c r="S236" s="52">
        <f>recipe06TotScale * IF(R236 = 0, IF(L236 = "", Q236 * N236, IF(ISNA(CONVERT(Q236, L236, "l")), CONVERT(Q236, L236, "kg") * IF(M236 &lt;&gt; 0, N236 / M236, 0), CONVERT(Q236, L236, "l"))), 0)</f>
        <v>0.53232353212499994</v>
      </c>
      <c r="T236" s="51">
        <f>recipe06TotScale * IF(AND(R236 = 0, S236 = 0, J236 = "", L236 = ""), Q236, 0)</f>
        <v>0</v>
      </c>
      <c r="V236" s="48" t="b">
        <f>INDEX(itemPrepMethods, MATCH(K236, itemNames, 0))="chop"</f>
        <v>0</v>
      </c>
      <c r="W236" s="62" t="str">
        <f>IF(V236, Q236, "")</f>
        <v/>
      </c>
      <c r="X236" s="63" t="str">
        <f>IF(V236, IF(L236 = "", "", L236), "")</f>
        <v/>
      </c>
      <c r="Y236" s="63" t="str">
        <f>IF(V236, K236, "")</f>
        <v/>
      </c>
      <c r="Z236" s="64"/>
      <c r="AA236" s="48" t="b">
        <f>INDEX(itemPrepMethods, MATCH(K236, itemNames, 0))="soak"</f>
        <v>0</v>
      </c>
      <c r="AB236" s="63" t="str">
        <f>IF(AA236, Q236, "")</f>
        <v/>
      </c>
      <c r="AC236" s="63" t="str">
        <f>IF(AA236, IF(L236 = "", "", L236), "")</f>
        <v/>
      </c>
      <c r="AD236" s="63" t="str">
        <f>IF(AA236, K236, "")</f>
        <v/>
      </c>
    </row>
    <row r="237" spans="1:30" x14ac:dyDescent="0.25">
      <c r="A237" s="44" t="s">
        <v>21</v>
      </c>
      <c r="D237" s="44" t="str">
        <f t="shared" si="172"/>
        <v>grilled tofu</v>
      </c>
      <c r="I237" s="51"/>
      <c r="U237" s="48" t="s">
        <v>131</v>
      </c>
    </row>
    <row r="238" spans="1:30" x14ac:dyDescent="0.25">
      <c r="A238" s="44" t="s">
        <v>21</v>
      </c>
      <c r="D238" s="44" t="str">
        <f t="shared" si="172"/>
        <v>peanut sauce</v>
      </c>
      <c r="I238" s="51"/>
      <c r="U238" s="48" t="s">
        <v>132</v>
      </c>
    </row>
    <row r="239" spans="1:30" ht="15.75" x14ac:dyDescent="0.25">
      <c r="A239" s="111" t="s">
        <v>32</v>
      </c>
      <c r="B239" s="111"/>
      <c r="C239" s="111"/>
      <c r="D239" s="111"/>
      <c r="E239" s="47" t="s">
        <v>141</v>
      </c>
      <c r="F239" s="112" t="s">
        <v>84</v>
      </c>
      <c r="G239" s="112"/>
      <c r="H239" s="51"/>
    </row>
    <row r="240" spans="1:30" ht="24" x14ac:dyDescent="0.2">
      <c r="A240" s="111" t="s">
        <v>40</v>
      </c>
      <c r="B240" s="111"/>
      <c r="C240" s="111"/>
      <c r="D240" s="111"/>
      <c r="E240" s="46" t="s">
        <v>59</v>
      </c>
      <c r="F240" s="97">
        <v>15</v>
      </c>
      <c r="G240" s="51"/>
      <c r="H240" s="51"/>
      <c r="I240" s="76" t="s">
        <v>57</v>
      </c>
      <c r="J240" s="77" t="s">
        <v>58</v>
      </c>
      <c r="K240" s="77" t="s">
        <v>17</v>
      </c>
      <c r="L240" s="78" t="s">
        <v>56</v>
      </c>
      <c r="M240" s="76" t="s">
        <v>151</v>
      </c>
      <c r="N240" s="76" t="s">
        <v>152</v>
      </c>
      <c r="O240" s="76" t="s">
        <v>153</v>
      </c>
      <c r="P240" s="76" t="s">
        <v>154</v>
      </c>
      <c r="Q240" s="77" t="s">
        <v>374</v>
      </c>
      <c r="R240" s="79" t="s">
        <v>375</v>
      </c>
      <c r="S240" s="79" t="s">
        <v>376</v>
      </c>
      <c r="T240" s="76" t="s">
        <v>377</v>
      </c>
      <c r="U240" s="77" t="s">
        <v>22</v>
      </c>
      <c r="V240" s="77" t="s">
        <v>218</v>
      </c>
      <c r="W240" s="80" t="s">
        <v>374</v>
      </c>
      <c r="X240" s="77" t="s">
        <v>216</v>
      </c>
      <c r="Y240" s="77" t="s">
        <v>217</v>
      </c>
      <c r="Z240" s="77" t="s">
        <v>321</v>
      </c>
      <c r="AA240" s="77" t="s">
        <v>219</v>
      </c>
      <c r="AB240" s="80" t="s">
        <v>374</v>
      </c>
      <c r="AC240" s="77" t="s">
        <v>220</v>
      </c>
      <c r="AD240" s="77" t="s">
        <v>221</v>
      </c>
    </row>
    <row r="241" spans="1:30" ht="15.75" thickBot="1" x14ac:dyDescent="0.3">
      <c r="A241" s="110"/>
      <c r="B241" s="110"/>
      <c r="C241" s="110"/>
      <c r="D241" s="110"/>
      <c r="E241" s="72" t="s">
        <v>369</v>
      </c>
      <c r="F241" s="97">
        <f>tuDiCount</f>
        <v>10</v>
      </c>
      <c r="G241" s="51"/>
      <c r="H241" s="58"/>
    </row>
    <row r="242" spans="1:30" ht="15.75" thickBot="1" x14ac:dyDescent="0.3">
      <c r="A242" s="110" t="s">
        <v>280</v>
      </c>
      <c r="B242" s="110"/>
      <c r="C242" s="110"/>
      <c r="D242" s="110"/>
      <c r="E242" s="72" t="s">
        <v>372</v>
      </c>
      <c r="F242" s="55">
        <f>F241/F240</f>
        <v>0.66666666666666663</v>
      </c>
      <c r="G242" s="56" t="s">
        <v>394</v>
      </c>
      <c r="I242" s="51"/>
      <c r="W242" s="62"/>
      <c r="X242" s="63"/>
      <c r="Y242" s="63"/>
      <c r="Z242" s="64"/>
      <c r="AB242" s="63"/>
      <c r="AC242" s="63"/>
      <c r="AD242" s="63"/>
    </row>
    <row r="243" spans="1:30" x14ac:dyDescent="0.25">
      <c r="A243" s="44" t="s">
        <v>21</v>
      </c>
      <c r="B243" s="57">
        <f t="shared" ref="B243:B260" si="175">Q243</f>
        <v>3.25</v>
      </c>
      <c r="C243" s="43" t="str">
        <f t="shared" ref="C243:C260" si="176">IF(L243="","",L243)</f>
        <v>tbs</v>
      </c>
      <c r="D243" s="44" t="str">
        <f>_xlfn.CONCAT(K243, U243)</f>
        <v>minced fresh ginger</v>
      </c>
      <c r="E243" s="73"/>
      <c r="F243" s="73"/>
      <c r="G243" s="73"/>
      <c r="I243" s="59">
        <v>5</v>
      </c>
      <c r="J243" s="60" t="s">
        <v>15</v>
      </c>
      <c r="K243" s="60" t="s">
        <v>237</v>
      </c>
      <c r="L243" s="61" t="s">
        <v>15</v>
      </c>
      <c r="M243" s="51">
        <f t="shared" ref="M243:M260" si="177">INDEX(itemGPerQty, MATCH(K243, itemNames, 0))</f>
        <v>0</v>
      </c>
      <c r="N243" s="51">
        <f t="shared" ref="N243:N260" si="178">INDEX(itemMlPerQty, MATCH(K243, itemNames, 0))</f>
        <v>0</v>
      </c>
      <c r="O243" s="51">
        <f t="shared" ref="O243:O260" si="179">IF(J243 = "", I243 * M243, IF(ISNA(CONVERT(I243, J243, "kg")), CONVERT(I243, J243, "l") * IF(N243 &lt;&gt; 0, M243 / N243, 0), CONVERT(I243, J243, "kg")))</f>
        <v>0</v>
      </c>
      <c r="P243" s="51">
        <f t="shared" ref="P243:P260" si="180">IF(J243 = "", I243 * N243, IF(ISNA(CONVERT(I243, J243, "l")), CONVERT(I243, J243, "kg") * IF(M243 &lt;&gt; 0, N243 / M243, 0), CONVERT(I243, J243, "l")))</f>
        <v>7.3933823906250001E-2</v>
      </c>
      <c r="Q243" s="51">
        <f>MROUND(IF(AND(J243 = "", L243 = ""), I243 * recipe07DayScale, IF(ISNA(CONVERT(O243, "kg", L243)), CONVERT(P243 * recipe07DayScale, "l", L243), CONVERT(O243 * recipe07DayScale, "kg", L243))), roundTo)</f>
        <v>3.25</v>
      </c>
      <c r="R243" s="52">
        <f>recipe07TotScale * IF(L243 = "", Q243 * M243, IF(ISNA(CONVERT(Q243, L243, "kg")), CONVERT(Q243, L243, "l") * IF(N243 &lt;&gt; 0, M243 / N243, 0), CONVERT(Q243, L243, "kg")))</f>
        <v>0</v>
      </c>
      <c r="S243" s="52">
        <f>recipe07TotScale * IF(R243 = 0, IF(L243 = "", Q243 * N243, IF(ISNA(CONVERT(Q243, L243, "l")), CONVERT(Q243, L243, "kg") * IF(M243 &lt;&gt; 0, N243 / M243, 0), CONVERT(Q243, L243, "l"))), 0)</f>
        <v>4.8056985539062499E-2</v>
      </c>
      <c r="T243" s="51">
        <f>recipe07TotScale * IF(AND(R243 = 0, S243 = 0, J243 = "", L243 = ""), Q243, 0)</f>
        <v>0</v>
      </c>
      <c r="V243" s="48" t="b">
        <f>INDEX(itemPrepMethods, MATCH(K243, itemNames, 0))="chop"</f>
        <v>1</v>
      </c>
      <c r="W243" s="62">
        <f>IF(V243, Q243, "")</f>
        <v>3.25</v>
      </c>
      <c r="X243" s="63" t="str">
        <f>IF(V243, IF(L243 = "", "", L243), "")</f>
        <v>tbs</v>
      </c>
      <c r="Y243" s="63" t="str">
        <f>IF(V243, K243, "")</f>
        <v>minced fresh ginger</v>
      </c>
      <c r="Z243" s="64"/>
      <c r="AA243" s="48" t="b">
        <f>INDEX(itemPrepMethods, MATCH(K243, itemNames, 0))="soak"</f>
        <v>0</v>
      </c>
      <c r="AB243" s="63" t="str">
        <f>IF(AA243, Q243, "")</f>
        <v/>
      </c>
      <c r="AC243" s="63" t="str">
        <f>IF(AA243, IF(L243 = "", "", L243), "")</f>
        <v/>
      </c>
      <c r="AD243" s="63" t="str">
        <f>IF(AA243, K243, "")</f>
        <v/>
      </c>
    </row>
    <row r="244" spans="1:30" ht="15.75" thickBot="1" x14ac:dyDescent="0.3">
      <c r="A244" s="44" t="s">
        <v>21</v>
      </c>
      <c r="B244" s="57">
        <f t="shared" si="175"/>
        <v>6.75</v>
      </c>
      <c r="C244" s="43" t="str">
        <f t="shared" si="176"/>
        <v/>
      </c>
      <c r="D244" s="44" t="str">
        <f>_xlfn.CONCAT(K244, U244)</f>
        <v>thinly sliced carrots</v>
      </c>
      <c r="E244" s="72" t="s">
        <v>348</v>
      </c>
      <c r="F244" s="97">
        <f>tuDiCount</f>
        <v>10</v>
      </c>
      <c r="G244" s="73"/>
      <c r="I244" s="59">
        <v>10</v>
      </c>
      <c r="J244" s="60"/>
      <c r="K244" s="60" t="s">
        <v>64</v>
      </c>
      <c r="L244" s="61"/>
      <c r="M244" s="51">
        <f t="shared" si="177"/>
        <v>0</v>
      </c>
      <c r="N244" s="51">
        <f t="shared" si="178"/>
        <v>0</v>
      </c>
      <c r="O244" s="51">
        <f t="shared" si="179"/>
        <v>0</v>
      </c>
      <c r="P244" s="51">
        <f t="shared" si="180"/>
        <v>0</v>
      </c>
      <c r="Q244" s="51">
        <f>MROUND(IF(AND(J244 = "", L244 = ""), I244 * recipe07DayScale, IF(ISNA(CONVERT(O244, "kg", L244)), CONVERT(P244 * recipe07DayScale, "l", L244), CONVERT(O244 * recipe07DayScale, "kg", L244))), roundTo)</f>
        <v>6.75</v>
      </c>
      <c r="R244" s="52">
        <f>recipe07TotScale * IF(L244 = "", Q244 * M244, IF(ISNA(CONVERT(Q244, L244, "kg")), CONVERT(Q244, L244, "l") * IF(N244 &lt;&gt; 0, M244 / N244, 0), CONVERT(Q244, L244, "kg")))</f>
        <v>0</v>
      </c>
      <c r="S244" s="52">
        <f>recipe07TotScale * IF(R244 = 0, IF(L244 = "", Q244 * N244, IF(ISNA(CONVERT(Q244, L244, "l")), CONVERT(Q244, L244, "kg") * IF(M244 &lt;&gt; 0, N244 / M244, 0), CONVERT(Q244, L244, "l"))), 0)</f>
        <v>0</v>
      </c>
      <c r="T244" s="51">
        <f>recipe07TotScale * IF(AND(R244 = 0, S244 = 0, J244 = "", L244 = ""), Q244, 0)</f>
        <v>6.75</v>
      </c>
      <c r="V244" s="48" t="b">
        <f>INDEX(itemPrepMethods, MATCH(K244, itemNames, 0))="chop"</f>
        <v>1</v>
      </c>
      <c r="W244" s="62">
        <f>IF(V244, Q244, "")</f>
        <v>6.75</v>
      </c>
      <c r="X244" s="63" t="str">
        <f>IF(V244, IF(L244 = "", "", L244), "")</f>
        <v/>
      </c>
      <c r="Y244" s="63" t="str">
        <f>IF(V244, K244, "")</f>
        <v>thinly sliced carrots</v>
      </c>
      <c r="Z244" s="64"/>
      <c r="AA244" s="48" t="b">
        <f>INDEX(itemPrepMethods, MATCH(K244, itemNames, 0))="soak"</f>
        <v>0</v>
      </c>
      <c r="AB244" s="63" t="str">
        <f>IF(AA244, Q244, "")</f>
        <v/>
      </c>
      <c r="AC244" s="63" t="str">
        <f>IF(AA244, IF(L244 = "", "", L244), "")</f>
        <v/>
      </c>
      <c r="AD244" s="63" t="str">
        <f>IF(AA244, K244, "")</f>
        <v/>
      </c>
    </row>
    <row r="245" spans="1:30" ht="15.75" thickBot="1" x14ac:dyDescent="0.3">
      <c r="A245" s="44" t="s">
        <v>21</v>
      </c>
      <c r="B245" s="57">
        <f t="shared" si="175"/>
        <v>3.25</v>
      </c>
      <c r="C245" s="43" t="str">
        <f t="shared" si="176"/>
        <v/>
      </c>
      <c r="D245" s="44" t="str">
        <f>_xlfn.CONCAT(K245, U245)</f>
        <v>thinly sliced celery stalks</v>
      </c>
      <c r="E245" s="72" t="s">
        <v>373</v>
      </c>
      <c r="F245" s="55">
        <f>F244/F241</f>
        <v>1</v>
      </c>
      <c r="G245" s="56" t="s">
        <v>395</v>
      </c>
      <c r="I245" s="59">
        <v>5</v>
      </c>
      <c r="J245" s="60"/>
      <c r="K245" s="60" t="s">
        <v>65</v>
      </c>
      <c r="L245" s="61"/>
      <c r="M245" s="51">
        <f t="shared" si="177"/>
        <v>0</v>
      </c>
      <c r="N245" s="51">
        <f t="shared" si="178"/>
        <v>0</v>
      </c>
      <c r="O245" s="51">
        <f t="shared" si="179"/>
        <v>0</v>
      </c>
      <c r="P245" s="51">
        <f t="shared" si="180"/>
        <v>0</v>
      </c>
      <c r="Q245" s="51">
        <f>MROUND(IF(AND(J245 = "", L245 = ""), I245 * recipe07DayScale, IF(ISNA(CONVERT(O245, "kg", L245)), CONVERT(P245 * recipe07DayScale, "l", L245), CONVERT(O245 * recipe07DayScale, "kg", L245))), roundTo)</f>
        <v>3.25</v>
      </c>
      <c r="R245" s="52">
        <f>recipe07TotScale * IF(L245 = "", Q245 * M245, IF(ISNA(CONVERT(Q245, L245, "kg")), CONVERT(Q245, L245, "l") * IF(N245 &lt;&gt; 0, M245 / N245, 0), CONVERT(Q245, L245, "kg")))</f>
        <v>0</v>
      </c>
      <c r="S245" s="52">
        <f>recipe07TotScale * IF(R245 = 0, IF(L245 = "", Q245 * N245, IF(ISNA(CONVERT(Q245, L245, "l")), CONVERT(Q245, L245, "kg") * IF(M245 &lt;&gt; 0, N245 / M245, 0), CONVERT(Q245, L245, "l"))), 0)</f>
        <v>0</v>
      </c>
      <c r="T245" s="51">
        <f>recipe07TotScale * IF(AND(R245 = 0, S245 = 0, J245 = "", L245 = ""), Q245, 0)</f>
        <v>3.25</v>
      </c>
      <c r="V245" s="48" t="b">
        <f>INDEX(itemPrepMethods, MATCH(K245, itemNames, 0))="chop"</f>
        <v>1</v>
      </c>
      <c r="W245" s="62">
        <f>IF(V245, Q245, "")</f>
        <v>3.25</v>
      </c>
      <c r="X245" s="63" t="str">
        <f>IF(V245, IF(L245 = "", "", L245), "")</f>
        <v/>
      </c>
      <c r="Y245" s="63" t="str">
        <f>IF(V245, K245, "")</f>
        <v>thinly sliced celery stalks</v>
      </c>
      <c r="Z245" s="64"/>
      <c r="AA245" s="48" t="b">
        <f>INDEX(itemPrepMethods, MATCH(K245, itemNames, 0))="soak"</f>
        <v>0</v>
      </c>
      <c r="AB245" s="63" t="str">
        <f>IF(AA245, Q245, "")</f>
        <v/>
      </c>
      <c r="AC245" s="63" t="str">
        <f>IF(AA245, IF(L245 = "", "", L245), "")</f>
        <v/>
      </c>
      <c r="AD245" s="63" t="str">
        <f>IF(AA245, K245, "")</f>
        <v/>
      </c>
    </row>
    <row r="246" spans="1:30" x14ac:dyDescent="0.25">
      <c r="A246" s="44" t="s">
        <v>21</v>
      </c>
      <c r="B246" s="57">
        <f t="shared" si="175"/>
        <v>13.25</v>
      </c>
      <c r="C246" s="43" t="str">
        <f t="shared" si="176"/>
        <v/>
      </c>
      <c r="D246" s="44" t="str">
        <f>_xlfn.CONCAT(K246, U246)</f>
        <v>thinly sliced white cabbage leaves</v>
      </c>
      <c r="I246" s="59">
        <v>20</v>
      </c>
      <c r="J246" s="60"/>
      <c r="K246" s="60" t="s">
        <v>106</v>
      </c>
      <c r="L246" s="61"/>
      <c r="M246" s="51">
        <f t="shared" si="177"/>
        <v>0</v>
      </c>
      <c r="N246" s="51">
        <f t="shared" si="178"/>
        <v>0</v>
      </c>
      <c r="O246" s="51">
        <f t="shared" si="179"/>
        <v>0</v>
      </c>
      <c r="P246" s="51">
        <f t="shared" si="180"/>
        <v>0</v>
      </c>
      <c r="Q246" s="51">
        <f>MROUND(IF(AND(J246 = "", L246 = ""), I246 * recipe07DayScale, IF(ISNA(CONVERT(O246, "kg", L246)), CONVERT(P246 * recipe07DayScale, "l", L246), CONVERT(O246 * recipe07DayScale, "kg", L246))), roundTo)</f>
        <v>13.25</v>
      </c>
      <c r="R246" s="52">
        <f>recipe07TotScale * IF(L246 = "", Q246 * M246, IF(ISNA(CONVERT(Q246, L246, "kg")), CONVERT(Q246, L246, "l") * IF(N246 &lt;&gt; 0, M246 / N246, 0), CONVERT(Q246, L246, "kg")))</f>
        <v>0</v>
      </c>
      <c r="S246" s="52">
        <f>recipe07TotScale * IF(R246 = 0, IF(L246 = "", Q246 * N246, IF(ISNA(CONVERT(Q246, L246, "l")), CONVERT(Q246, L246, "kg") * IF(M246 &lt;&gt; 0, N246 / M246, 0), CONVERT(Q246, L246, "l"))), 0)</f>
        <v>0</v>
      </c>
      <c r="T246" s="51">
        <f>recipe07TotScale * IF(AND(R246 = 0, S246 = 0, J246 = "", L246 = ""), Q246, 0)</f>
        <v>13.25</v>
      </c>
      <c r="V246" s="48" t="b">
        <f>INDEX(itemPrepMethods, MATCH(K246, itemNames, 0))="chop"</f>
        <v>1</v>
      </c>
      <c r="W246" s="62">
        <f>IF(V246, Q246, "")</f>
        <v>13.25</v>
      </c>
      <c r="X246" s="63" t="str">
        <f>IF(V246, IF(L246 = "", "", L246), "")</f>
        <v/>
      </c>
      <c r="Y246" s="63" t="str">
        <f>IF(V246, K246, "")</f>
        <v>thinly sliced white cabbage leaves</v>
      </c>
      <c r="Z246" s="64"/>
      <c r="AA246" s="48" t="b">
        <f>INDEX(itemPrepMethods, MATCH(K246, itemNames, 0))="soak"</f>
        <v>0</v>
      </c>
      <c r="AB246" s="63" t="str">
        <f>IF(AA246, Q246, "")</f>
        <v/>
      </c>
      <c r="AC246" s="63" t="str">
        <f>IF(AA246, IF(L246 = "", "", L246), "")</f>
        <v/>
      </c>
      <c r="AD246" s="63" t="str">
        <f>IF(AA246, K246, "")</f>
        <v/>
      </c>
    </row>
    <row r="247" spans="1:30" x14ac:dyDescent="0.25">
      <c r="A247" s="110"/>
      <c r="B247" s="110"/>
      <c r="C247" s="110"/>
      <c r="D247" s="110"/>
      <c r="I247" s="51"/>
      <c r="W247" s="81"/>
      <c r="X247" s="81"/>
      <c r="Y247" s="81"/>
      <c r="Z247" s="81"/>
      <c r="AB247" s="81"/>
      <c r="AC247" s="81"/>
      <c r="AD247" s="81"/>
    </row>
    <row r="248" spans="1:30" x14ac:dyDescent="0.25">
      <c r="A248" s="110" t="s">
        <v>281</v>
      </c>
      <c r="B248" s="110"/>
      <c r="C248" s="110"/>
      <c r="D248" s="110"/>
      <c r="I248" s="51"/>
      <c r="W248" s="81"/>
      <c r="X248" s="81"/>
      <c r="Y248" s="81"/>
      <c r="Z248" s="81"/>
      <c r="AB248" s="81"/>
      <c r="AC248" s="81"/>
      <c r="AD248" s="81"/>
    </row>
    <row r="249" spans="1:30" x14ac:dyDescent="0.25">
      <c r="A249" s="44" t="s">
        <v>21</v>
      </c>
      <c r="B249" s="57">
        <f t="shared" si="175"/>
        <v>10</v>
      </c>
      <c r="C249" s="43" t="str">
        <f t="shared" si="176"/>
        <v>cup</v>
      </c>
      <c r="D249" s="44" t="str">
        <f>_xlfn.CONCAT(K249, U249)</f>
        <v>vegetable stock</v>
      </c>
      <c r="I249" s="59">
        <v>3.55</v>
      </c>
      <c r="J249" s="60" t="s">
        <v>60</v>
      </c>
      <c r="K249" s="60" t="s">
        <v>61</v>
      </c>
      <c r="L249" s="61" t="s">
        <v>16</v>
      </c>
      <c r="M249" s="51">
        <f t="shared" si="177"/>
        <v>0</v>
      </c>
      <c r="N249" s="51">
        <f t="shared" si="178"/>
        <v>0</v>
      </c>
      <c r="O249" s="51">
        <f t="shared" si="179"/>
        <v>0</v>
      </c>
      <c r="P249" s="51">
        <f t="shared" si="180"/>
        <v>3.55</v>
      </c>
      <c r="Q249" s="51">
        <f>MROUND(IF(AND(J249 = "", L249 = ""), I249 * recipe07DayScale, IF(ISNA(CONVERT(O249, "kg", L249)), CONVERT(P249 * recipe07DayScale, "l", L249), CONVERT(O249 * recipe07DayScale, "kg", L249))), roundTo)</f>
        <v>10</v>
      </c>
      <c r="R249" s="52">
        <f>recipe07TotScale * IF(L249 = "", Q249 * M249, IF(ISNA(CONVERT(Q249, L249, "kg")), CONVERT(Q249, L249, "l") * IF(N249 &lt;&gt; 0, M249 / N249, 0), CONVERT(Q249, L249, "kg")))</f>
        <v>0</v>
      </c>
      <c r="S249" s="52">
        <f>recipe07TotScale * IF(R249 = 0, IF(L249 = "", Q249 * N249, IF(ISNA(CONVERT(Q249, L249, "l")), CONVERT(Q249, L249, "kg") * IF(M249 &lt;&gt; 0, N249 / M249, 0), CONVERT(Q249, L249, "l"))), 0)</f>
        <v>2.365882365</v>
      </c>
      <c r="T249" s="51">
        <f>recipe07TotScale * IF(AND(R249 = 0, S249 = 0, J249 = "", L249 = ""), Q249, 0)</f>
        <v>0</v>
      </c>
      <c r="V249" s="48" t="b">
        <f>INDEX(itemPrepMethods, MATCH(K249, itemNames, 0))="chop"</f>
        <v>0</v>
      </c>
      <c r="W249" s="62" t="str">
        <f>IF(V249, Q249, "")</f>
        <v/>
      </c>
      <c r="X249" s="63" t="str">
        <f>IF(V249, IF(L249 = "", "", L249), "")</f>
        <v/>
      </c>
      <c r="Y249" s="63" t="str">
        <f>IF(V249, K249, "")</f>
        <v/>
      </c>
      <c r="Z249" s="64"/>
      <c r="AA249" s="48" t="b">
        <f>INDEX(itemPrepMethods, MATCH(K249, itemNames, 0))="soak"</f>
        <v>0</v>
      </c>
      <c r="AB249" s="63" t="str">
        <f>IF(AA249, Q249, "")</f>
        <v/>
      </c>
      <c r="AC249" s="63" t="str">
        <f>IF(AA249, IF(L249 = "", "", L249), "")</f>
        <v/>
      </c>
      <c r="AD249" s="63" t="str">
        <f>IF(AA249, K249, "")</f>
        <v/>
      </c>
    </row>
    <row r="250" spans="1:30" x14ac:dyDescent="0.25">
      <c r="A250" s="110"/>
      <c r="B250" s="110"/>
      <c r="C250" s="110"/>
      <c r="D250" s="110"/>
      <c r="I250" s="51"/>
      <c r="W250" s="81"/>
      <c r="X250" s="81"/>
      <c r="Y250" s="81"/>
      <c r="Z250" s="81"/>
      <c r="AB250" s="81"/>
      <c r="AC250" s="81"/>
      <c r="AD250" s="81"/>
    </row>
    <row r="251" spans="1:30" x14ac:dyDescent="0.25">
      <c r="A251" s="110" t="s">
        <v>282</v>
      </c>
      <c r="B251" s="110"/>
      <c r="C251" s="110"/>
      <c r="D251" s="110"/>
      <c r="I251" s="51"/>
      <c r="W251" s="81"/>
      <c r="X251" s="81"/>
      <c r="Y251" s="81"/>
      <c r="Z251" s="81"/>
      <c r="AB251" s="81"/>
      <c r="AC251" s="81"/>
      <c r="AD251" s="81"/>
    </row>
    <row r="252" spans="1:30" x14ac:dyDescent="0.25">
      <c r="A252" s="110"/>
      <c r="B252" s="110"/>
      <c r="C252" s="110"/>
      <c r="D252" s="110"/>
      <c r="I252" s="51"/>
      <c r="W252" s="81"/>
      <c r="X252" s="81"/>
      <c r="Y252" s="81"/>
      <c r="Z252" s="81"/>
      <c r="AB252" s="81"/>
      <c r="AC252" s="81"/>
      <c r="AD252" s="81"/>
    </row>
    <row r="253" spans="1:30" x14ac:dyDescent="0.25">
      <c r="A253" s="110" t="s">
        <v>283</v>
      </c>
      <c r="B253" s="110"/>
      <c r="C253" s="110"/>
      <c r="D253" s="110"/>
      <c r="I253" s="51"/>
      <c r="W253" s="81"/>
      <c r="X253" s="81"/>
      <c r="Y253" s="81"/>
      <c r="Z253" s="81"/>
      <c r="AB253" s="81"/>
      <c r="AC253" s="81"/>
      <c r="AD253" s="81"/>
    </row>
    <row r="254" spans="1:30" x14ac:dyDescent="0.25">
      <c r="A254" s="44" t="s">
        <v>21</v>
      </c>
      <c r="B254" s="57">
        <f t="shared" si="175"/>
        <v>0.75</v>
      </c>
      <c r="C254" s="43" t="str">
        <f t="shared" si="176"/>
        <v>kg</v>
      </c>
      <c r="D254" s="44" t="str">
        <f>_xlfn.CONCAT(K254, U254)</f>
        <v>blocks tofu, cut into small cubes</v>
      </c>
      <c r="I254" s="59">
        <v>1</v>
      </c>
      <c r="J254" s="60" t="s">
        <v>12</v>
      </c>
      <c r="K254" s="60" t="s">
        <v>277</v>
      </c>
      <c r="L254" s="61" t="s">
        <v>12</v>
      </c>
      <c r="M254" s="51">
        <f t="shared" si="177"/>
        <v>0</v>
      </c>
      <c r="N254" s="51">
        <f t="shared" si="178"/>
        <v>0</v>
      </c>
      <c r="O254" s="51">
        <f t="shared" si="179"/>
        <v>1</v>
      </c>
      <c r="P254" s="51">
        <f t="shared" si="180"/>
        <v>0</v>
      </c>
      <c r="Q254" s="51">
        <f>MROUND(IF(AND(J254 = "", L254 = ""), I254 * recipe07DayScale, IF(ISNA(CONVERT(O254, "kg", L254)), CONVERT(P254 * recipe07DayScale, "l", L254), CONVERT(O254 * recipe07DayScale, "kg", L254))), roundTo)</f>
        <v>0.75</v>
      </c>
      <c r="R254" s="52">
        <f>recipe07TotScale * IF(L254 = "", Q254 * M254, IF(ISNA(CONVERT(Q254, L254, "kg")), CONVERT(Q254, L254, "l") * IF(N254 &lt;&gt; 0, M254 / N254, 0), CONVERT(Q254, L254, "kg")))</f>
        <v>0.75</v>
      </c>
      <c r="S254" s="52">
        <f>recipe07TotScale * IF(R254 = 0, IF(L254 = "", Q254 * N254, IF(ISNA(CONVERT(Q254, L254, "l")), CONVERT(Q254, L254, "kg") * IF(M254 &lt;&gt; 0, N254 / M254, 0), CONVERT(Q254, L254, "l"))), 0)</f>
        <v>0</v>
      </c>
      <c r="T254" s="51">
        <f>recipe07TotScale * IF(AND(R254 = 0, S254 = 0, J254 = "", L254 = ""), Q254, 0)</f>
        <v>0</v>
      </c>
      <c r="V254" s="48" t="b">
        <f>INDEX(itemPrepMethods, MATCH(K254, itemNames, 0))="chop"</f>
        <v>1</v>
      </c>
      <c r="W254" s="62">
        <f>IF(V254, Q254, "")</f>
        <v>0.75</v>
      </c>
      <c r="X254" s="63" t="str">
        <f>IF(V254, IF(L254 = "", "", L254), "")</f>
        <v>kg</v>
      </c>
      <c r="Y254" s="63" t="str">
        <f>IF(V254, K254, "")</f>
        <v>blocks tofu, cut into small cubes</v>
      </c>
      <c r="Z254" s="64"/>
      <c r="AA254" s="48" t="b">
        <f>INDEX(itemPrepMethods, MATCH(K254, itemNames, 0))="soak"</f>
        <v>0</v>
      </c>
      <c r="AB254" s="63" t="str">
        <f>IF(AA254, Q254, "")</f>
        <v/>
      </c>
      <c r="AC254" s="63" t="str">
        <f>IF(AA254, IF(L254 = "", "", L254), "")</f>
        <v/>
      </c>
      <c r="AD254" s="63" t="str">
        <f>IF(AA254, K254, "")</f>
        <v/>
      </c>
    </row>
    <row r="255" spans="1:30" x14ac:dyDescent="0.25">
      <c r="B255" s="57"/>
      <c r="I255" s="59"/>
      <c r="J255" s="60"/>
      <c r="K255" s="60"/>
      <c r="L255" s="61"/>
      <c r="W255" s="81"/>
      <c r="X255" s="81"/>
      <c r="Y255" s="81"/>
      <c r="Z255" s="81"/>
      <c r="AB255" s="81"/>
      <c r="AC255" s="81"/>
      <c r="AD255" s="81"/>
    </row>
    <row r="256" spans="1:30" x14ac:dyDescent="0.25">
      <c r="A256" s="110" t="s">
        <v>284</v>
      </c>
      <c r="B256" s="110"/>
      <c r="C256" s="110"/>
      <c r="D256" s="110"/>
      <c r="I256" s="59"/>
      <c r="J256" s="60"/>
      <c r="K256" s="60"/>
      <c r="L256" s="61"/>
      <c r="W256" s="81"/>
      <c r="X256" s="81"/>
      <c r="Y256" s="81"/>
      <c r="Z256" s="81"/>
      <c r="AB256" s="81"/>
      <c r="AC256" s="81"/>
      <c r="AD256" s="81"/>
    </row>
    <row r="257" spans="1:30" x14ac:dyDescent="0.25">
      <c r="A257" s="44" t="s">
        <v>21</v>
      </c>
      <c r="B257" s="66">
        <f t="shared" si="175"/>
        <v>46.75</v>
      </c>
      <c r="C257" s="98" t="str">
        <f t="shared" si="176"/>
        <v>g</v>
      </c>
      <c r="D257" s="99" t="str">
        <f>_xlfn.CONCAT(K257, U257)</f>
        <v>wakame, then drain and set aside</v>
      </c>
      <c r="I257" s="59">
        <v>70</v>
      </c>
      <c r="J257" s="60" t="s">
        <v>0</v>
      </c>
      <c r="K257" s="60" t="s">
        <v>62</v>
      </c>
      <c r="L257" s="61" t="s">
        <v>0</v>
      </c>
      <c r="M257" s="51">
        <f t="shared" si="177"/>
        <v>0</v>
      </c>
      <c r="N257" s="51">
        <f t="shared" si="178"/>
        <v>0</v>
      </c>
      <c r="O257" s="51">
        <f t="shared" si="179"/>
        <v>7.0000000000000007E-2</v>
      </c>
      <c r="P257" s="51">
        <f t="shared" si="180"/>
        <v>0</v>
      </c>
      <c r="Q257" s="51">
        <f>MROUND(IF(AND(J257 = "", L257 = ""), I257 * recipe07DayScale, IF(ISNA(CONVERT(O257, "kg", L257)), CONVERT(P257 * recipe07DayScale, "l", L257), CONVERT(O257 * recipe07DayScale, "kg", L257))), roundTo)</f>
        <v>46.75</v>
      </c>
      <c r="R257" s="52">
        <f>recipe07TotScale * IF(L257 = "", Q257 * M257, IF(ISNA(CONVERT(Q257, L257, "kg")), CONVERT(Q257, L257, "l") * IF(N257 &lt;&gt; 0, M257 / N257, 0), CONVERT(Q257, L257, "kg")))</f>
        <v>4.675E-2</v>
      </c>
      <c r="S257" s="52">
        <f>recipe07TotScale * IF(R257 = 0, IF(L257 = "", Q257 * N257, IF(ISNA(CONVERT(Q257, L257, "l")), CONVERT(Q257, L257, "kg") * IF(M257 &lt;&gt; 0, N257 / M257, 0), CONVERT(Q257, L257, "l"))), 0)</f>
        <v>0</v>
      </c>
      <c r="T257" s="51">
        <f>recipe07TotScale * IF(AND(R257 = 0, S257 = 0, J257 = "", L257 = ""), Q257, 0)</f>
        <v>0</v>
      </c>
      <c r="U257" s="48" t="s">
        <v>285</v>
      </c>
      <c r="V257" s="48" t="b">
        <f>INDEX(itemPrepMethods, MATCH(K257, itemNames, 0))="chop"</f>
        <v>0</v>
      </c>
      <c r="W257" s="62" t="str">
        <f>IF(V257, Q257, "")</f>
        <v/>
      </c>
      <c r="X257" s="63" t="str">
        <f>IF(V257, IF(L257 = "", "", L257), "")</f>
        <v/>
      </c>
      <c r="Y257" s="63" t="str">
        <f>IF(V257, K257, "")</f>
        <v/>
      </c>
      <c r="Z257" s="64"/>
      <c r="AA257" s="48" t="b">
        <f>INDEX(itemPrepMethods, MATCH(K257, itemNames, 0))="soak"</f>
        <v>0</v>
      </c>
      <c r="AB257" s="63" t="str">
        <f>IF(AA257, Q257, "")</f>
        <v/>
      </c>
      <c r="AC257" s="63" t="str">
        <f>IF(AA257, IF(L257 = "", "", L257), "")</f>
        <v/>
      </c>
      <c r="AD257" s="63" t="str">
        <f>IF(AA257, K257, "")</f>
        <v/>
      </c>
    </row>
    <row r="258" spans="1:30" x14ac:dyDescent="0.25">
      <c r="A258" s="110"/>
      <c r="B258" s="110"/>
      <c r="C258" s="110"/>
      <c r="D258" s="110"/>
      <c r="I258" s="51"/>
      <c r="W258" s="81"/>
      <c r="X258" s="81"/>
      <c r="Y258" s="81"/>
      <c r="Z258" s="81"/>
      <c r="AB258" s="81"/>
      <c r="AC258" s="81"/>
      <c r="AD258" s="81"/>
    </row>
    <row r="259" spans="1:30" x14ac:dyDescent="0.25">
      <c r="A259" s="110" t="s">
        <v>286</v>
      </c>
      <c r="B259" s="110"/>
      <c r="C259" s="110"/>
      <c r="D259" s="110"/>
      <c r="I259" s="51"/>
      <c r="W259" s="81"/>
      <c r="X259" s="81"/>
      <c r="Y259" s="81"/>
      <c r="Z259" s="81"/>
      <c r="AB259" s="81"/>
      <c r="AC259" s="81"/>
      <c r="AD259" s="81"/>
    </row>
    <row r="260" spans="1:30" x14ac:dyDescent="0.25">
      <c r="A260" s="44" t="s">
        <v>21</v>
      </c>
      <c r="B260" s="57">
        <f t="shared" si="175"/>
        <v>3.25</v>
      </c>
      <c r="C260" s="43" t="str">
        <f t="shared" si="176"/>
        <v>tbs</v>
      </c>
      <c r="D260" s="44" t="str">
        <f>_xlfn.CONCAT(K260, U260)</f>
        <v>miso</v>
      </c>
      <c r="I260" s="59">
        <v>5</v>
      </c>
      <c r="J260" s="60" t="s">
        <v>15</v>
      </c>
      <c r="K260" s="60" t="s">
        <v>63</v>
      </c>
      <c r="L260" s="61" t="s">
        <v>15</v>
      </c>
      <c r="M260" s="51">
        <f t="shared" si="177"/>
        <v>0</v>
      </c>
      <c r="N260" s="51">
        <f t="shared" si="178"/>
        <v>0</v>
      </c>
      <c r="O260" s="51">
        <f t="shared" si="179"/>
        <v>0</v>
      </c>
      <c r="P260" s="51">
        <f t="shared" si="180"/>
        <v>7.3933823906250001E-2</v>
      </c>
      <c r="Q260" s="51">
        <f>MROUND(IF(AND(J260 = "", L260 = ""), I260 * recipe07DayScale, IF(ISNA(CONVERT(O260, "kg", L260)), CONVERT(P260 * recipe07DayScale, "l", L260), CONVERT(O260 * recipe07DayScale, "kg", L260))), roundTo)</f>
        <v>3.25</v>
      </c>
      <c r="R260" s="52">
        <f>recipe07TotScale * IF(L260 = "", Q260 * M260, IF(ISNA(CONVERT(Q260, L260, "kg")), CONVERT(Q260, L260, "l") * IF(N260 &lt;&gt; 0, M260 / N260, 0), CONVERT(Q260, L260, "kg")))</f>
        <v>0</v>
      </c>
      <c r="S260" s="52">
        <f>recipe07TotScale * IF(R260 = 0, IF(L260 = "", Q260 * N260, IF(ISNA(CONVERT(Q260, L260, "l")), CONVERT(Q260, L260, "kg") * IF(M260 &lt;&gt; 0, N260 / M260, 0), CONVERT(Q260, L260, "l"))), 0)</f>
        <v>4.8056985539062499E-2</v>
      </c>
      <c r="T260" s="51">
        <f>recipe07TotScale * IF(AND(R260 = 0, S260 = 0, J260 = "", L260 = ""), Q260, 0)</f>
        <v>0</v>
      </c>
      <c r="V260" s="48" t="b">
        <f>INDEX(itemPrepMethods, MATCH(K260, itemNames, 0))="chop"</f>
        <v>0</v>
      </c>
      <c r="W260" s="62" t="str">
        <f>IF(V260, Q260, "")</f>
        <v/>
      </c>
      <c r="X260" s="63" t="str">
        <f>IF(V260, IF(L260 = "", "", L260), "")</f>
        <v/>
      </c>
      <c r="Y260" s="63" t="str">
        <f>IF(V260, K260, "")</f>
        <v/>
      </c>
      <c r="Z260" s="64"/>
      <c r="AA260" s="48" t="b">
        <f>INDEX(itemPrepMethods, MATCH(K260, itemNames, 0))="soak"</f>
        <v>0</v>
      </c>
      <c r="AB260" s="63" t="str">
        <f>IF(AA260, Q260, "")</f>
        <v/>
      </c>
      <c r="AC260" s="63" t="str">
        <f>IF(AA260, IF(L260 = "", "", L260), "")</f>
        <v/>
      </c>
      <c r="AD260" s="63" t="str">
        <f>IF(AA260, K260, "")</f>
        <v/>
      </c>
    </row>
    <row r="261" spans="1:30" x14ac:dyDescent="0.25">
      <c r="A261" s="110"/>
      <c r="B261" s="110"/>
      <c r="C261" s="110"/>
      <c r="D261" s="110"/>
      <c r="I261" s="51"/>
      <c r="W261" s="73"/>
      <c r="X261" s="73"/>
      <c r="Y261" s="73"/>
      <c r="Z261" s="73"/>
      <c r="AA261" s="73"/>
      <c r="AB261" s="73"/>
      <c r="AC261" s="73"/>
      <c r="AD261" s="73"/>
    </row>
    <row r="262" spans="1:30" x14ac:dyDescent="0.25">
      <c r="A262" s="110" t="s">
        <v>289</v>
      </c>
      <c r="B262" s="110"/>
      <c r="C262" s="110"/>
      <c r="D262" s="110"/>
      <c r="I262" s="51"/>
      <c r="W262" s="73"/>
      <c r="X262" s="73"/>
      <c r="Y262" s="73"/>
      <c r="Z262" s="73"/>
      <c r="AA262" s="73"/>
      <c r="AB262" s="73"/>
      <c r="AC262" s="73"/>
      <c r="AD262" s="73"/>
    </row>
    <row r="263" spans="1:30" x14ac:dyDescent="0.25">
      <c r="A263" s="44" t="s">
        <v>21</v>
      </c>
      <c r="D263" s="44" t="str">
        <f>_xlfn.CONCAT(K263, U263)</f>
        <v>miso broth</v>
      </c>
      <c r="I263" s="51"/>
      <c r="U263" s="50" t="s">
        <v>287</v>
      </c>
      <c r="V263" s="73"/>
      <c r="W263" s="73"/>
      <c r="X263" s="73"/>
      <c r="Y263" s="73"/>
      <c r="Z263" s="73"/>
      <c r="AA263" s="73"/>
      <c r="AB263" s="73"/>
      <c r="AC263" s="73"/>
      <c r="AD263" s="73"/>
    </row>
    <row r="264" spans="1:30" x14ac:dyDescent="0.25">
      <c r="A264" s="44" t="s">
        <v>21</v>
      </c>
      <c r="D264" s="44" t="str">
        <f>_xlfn.CONCAT(K264, U264)</f>
        <v>soaked wakame</v>
      </c>
      <c r="I264" s="51"/>
      <c r="U264" s="50" t="s">
        <v>288</v>
      </c>
      <c r="V264" s="73"/>
      <c r="W264" s="73"/>
      <c r="X264" s="73"/>
      <c r="Y264" s="73"/>
      <c r="Z264" s="73"/>
      <c r="AA264" s="73"/>
      <c r="AB264" s="73"/>
      <c r="AC264" s="73"/>
      <c r="AD264" s="73"/>
    </row>
    <row r="265" spans="1:30" ht="15.75" x14ac:dyDescent="0.25">
      <c r="A265" s="111" t="s">
        <v>33</v>
      </c>
      <c r="B265" s="111"/>
      <c r="C265" s="111"/>
      <c r="D265" s="111"/>
      <c r="E265" s="46" t="s">
        <v>146</v>
      </c>
      <c r="F265" s="116"/>
      <c r="G265" s="116"/>
      <c r="H265" s="51"/>
    </row>
    <row r="266" spans="1:30" ht="24" x14ac:dyDescent="0.2">
      <c r="A266" s="111" t="s">
        <v>291</v>
      </c>
      <c r="B266" s="111"/>
      <c r="C266" s="111"/>
      <c r="D266" s="111"/>
      <c r="E266" s="46" t="s">
        <v>59</v>
      </c>
      <c r="F266" s="97">
        <v>10</v>
      </c>
      <c r="G266" s="51"/>
      <c r="H266" s="51"/>
      <c r="I266" s="76" t="s">
        <v>57</v>
      </c>
      <c r="J266" s="77" t="s">
        <v>58</v>
      </c>
      <c r="K266" s="77" t="s">
        <v>17</v>
      </c>
      <c r="L266" s="78" t="s">
        <v>56</v>
      </c>
      <c r="M266" s="76" t="s">
        <v>151</v>
      </c>
      <c r="N266" s="76" t="s">
        <v>152</v>
      </c>
      <c r="O266" s="76" t="s">
        <v>153</v>
      </c>
      <c r="P266" s="76" t="s">
        <v>154</v>
      </c>
      <c r="Q266" s="77" t="s">
        <v>374</v>
      </c>
      <c r="R266" s="79" t="s">
        <v>375</v>
      </c>
      <c r="S266" s="79" t="s">
        <v>376</v>
      </c>
      <c r="T266" s="76" t="s">
        <v>377</v>
      </c>
      <c r="U266" s="77" t="s">
        <v>22</v>
      </c>
      <c r="V266" s="77" t="s">
        <v>218</v>
      </c>
      <c r="W266" s="80" t="s">
        <v>374</v>
      </c>
      <c r="X266" s="77" t="s">
        <v>216</v>
      </c>
      <c r="Y266" s="77" t="s">
        <v>217</v>
      </c>
      <c r="Z266" s="77" t="s">
        <v>321</v>
      </c>
      <c r="AA266" s="77" t="s">
        <v>219</v>
      </c>
      <c r="AB266" s="80" t="s">
        <v>374</v>
      </c>
      <c r="AC266" s="77" t="s">
        <v>220</v>
      </c>
      <c r="AD266" s="77" t="s">
        <v>221</v>
      </c>
    </row>
    <row r="267" spans="1:30" ht="15.75" thickBot="1" x14ac:dyDescent="0.3">
      <c r="A267" s="110"/>
      <c r="B267" s="110"/>
      <c r="C267" s="110"/>
      <c r="D267" s="110"/>
      <c r="E267" s="72" t="s">
        <v>369</v>
      </c>
      <c r="F267" s="97">
        <f>weLuCount</f>
        <v>10</v>
      </c>
      <c r="G267" s="51"/>
      <c r="H267" s="51"/>
    </row>
    <row r="268" spans="1:30" ht="15.75" thickBot="1" x14ac:dyDescent="0.3">
      <c r="A268" s="115" t="s">
        <v>292</v>
      </c>
      <c r="B268" s="115"/>
      <c r="C268" s="115"/>
      <c r="D268" s="115"/>
      <c r="E268" s="72" t="s">
        <v>372</v>
      </c>
      <c r="F268" s="55">
        <f>F267/F266</f>
        <v>1</v>
      </c>
      <c r="G268" s="56" t="s">
        <v>396</v>
      </c>
      <c r="H268" s="51"/>
    </row>
    <row r="269" spans="1:30" x14ac:dyDescent="0.25">
      <c r="A269" s="110"/>
      <c r="B269" s="110"/>
      <c r="C269" s="110"/>
      <c r="D269" s="110"/>
      <c r="E269" s="73"/>
      <c r="F269" s="73"/>
      <c r="G269" s="73"/>
      <c r="I269" s="51"/>
      <c r="W269" s="73"/>
      <c r="X269" s="73"/>
      <c r="Y269" s="73"/>
      <c r="Z269" s="73"/>
      <c r="AA269" s="73"/>
      <c r="AB269" s="73"/>
      <c r="AC269" s="73"/>
      <c r="AD269" s="73"/>
    </row>
    <row r="270" spans="1:30" ht="15.75" thickBot="1" x14ac:dyDescent="0.3">
      <c r="A270" s="110" t="s">
        <v>311</v>
      </c>
      <c r="B270" s="110"/>
      <c r="C270" s="110"/>
      <c r="D270" s="110"/>
      <c r="E270" s="72" t="s">
        <v>348</v>
      </c>
      <c r="F270" s="97">
        <f>weLuCount</f>
        <v>10</v>
      </c>
      <c r="G270" s="73"/>
      <c r="H270" s="51"/>
      <c r="W270" s="73"/>
      <c r="X270" s="73"/>
      <c r="Y270" s="73"/>
      <c r="Z270" s="73"/>
      <c r="AA270" s="73"/>
      <c r="AB270" s="73"/>
      <c r="AC270" s="73"/>
      <c r="AD270" s="73"/>
    </row>
    <row r="271" spans="1:30" ht="15.75" thickBot="1" x14ac:dyDescent="0.3">
      <c r="A271" s="44" t="s">
        <v>21</v>
      </c>
      <c r="B271" s="57">
        <f t="shared" ref="B271" si="181">Q271</f>
        <v>2</v>
      </c>
      <c r="C271" s="43" t="str">
        <f t="shared" ref="C271" si="182">IF(L271="","",L271)</f>
        <v>cup</v>
      </c>
      <c r="D271" s="44" t="str">
        <f>_xlfn.CONCAT(K271, U271)</f>
        <v>dried brown lentils</v>
      </c>
      <c r="E271" s="72" t="s">
        <v>373</v>
      </c>
      <c r="F271" s="55">
        <f>F270/F267</f>
        <v>1</v>
      </c>
      <c r="G271" s="56" t="s">
        <v>397</v>
      </c>
      <c r="I271" s="59">
        <v>2</v>
      </c>
      <c r="J271" s="60" t="s">
        <v>16</v>
      </c>
      <c r="K271" s="60" t="s">
        <v>293</v>
      </c>
      <c r="L271" s="61" t="s">
        <v>16</v>
      </c>
      <c r="M271" s="51">
        <f t="shared" ref="M271" si="183">INDEX(itemGPerQty, MATCH(K271, itemNames, 0))</f>
        <v>0</v>
      </c>
      <c r="N271" s="51">
        <f t="shared" ref="N271" si="184">INDEX(itemMlPerQty, MATCH(K271, itemNames, 0))</f>
        <v>0</v>
      </c>
      <c r="O271" s="51">
        <f t="shared" ref="O271" si="185">IF(J271 = "", I271 * M271, IF(ISNA(CONVERT(I271, J271, "kg")), CONVERT(I271, J271, "l") * IF(N271 &lt;&gt; 0, M271 / N271, 0), CONVERT(I271, J271, "kg")))</f>
        <v>0</v>
      </c>
      <c r="P271" s="51">
        <f t="shared" ref="P271" si="186">IF(J271 = "", I271 * N271, IF(ISNA(CONVERT(I271, J271, "l")), CONVERT(I271, J271, "kg") * IF(M271 &lt;&gt; 0, N271 / M271, 0), CONVERT(I271, J271, "l")))</f>
        <v>0.47317647299999999</v>
      </c>
      <c r="Q271" s="51">
        <f>MROUND(IF(AND(J271 = "", L271 = ""), I271 * recipe12DayScale, IF(ISNA(CONVERT(O271, "kg", L271)), CONVERT(P271 * recipe12DayScale, "l", L271), CONVERT(O271 * recipe12DayScale, "kg", L271))), roundTo)</f>
        <v>2</v>
      </c>
      <c r="R271" s="52">
        <f>recipe12TotScale * IF(L271 = "", Q271 * M271, IF(ISNA(CONVERT(Q271, L271, "kg")), CONVERT(Q271, L271, "l") * IF(N271 &lt;&gt; 0, M271 / N271, 0), CONVERT(Q271, L271, "kg")))</f>
        <v>0</v>
      </c>
      <c r="S271" s="52">
        <f>recipe12TotScale * IF(R271 = 0, IF(L271 = "", Q271 * N271, IF(ISNA(CONVERT(Q271, L271, "l")), CONVERT(Q271, L271, "kg") * IF(M271 &lt;&gt; 0, N271 / M271, 0), CONVERT(Q271, L271, "l"))), 0)</f>
        <v>0.47317647299999999</v>
      </c>
      <c r="T271" s="51">
        <f>recipe12TotScale * IF(AND(R271 = 0, S271 = 0, J271 = "", L271 = ""), Q271, 0)</f>
        <v>0</v>
      </c>
      <c r="V271" s="48" t="b">
        <f>INDEX(itemPrepMethods, MATCH(K271, itemNames, 0))="chop"</f>
        <v>0</v>
      </c>
      <c r="W271" s="62" t="str">
        <f>IF(V271, Q271, "")</f>
        <v/>
      </c>
      <c r="X271" s="63" t="str">
        <f>IF(V271, IF(L271 = "", "", L271), "")</f>
        <v/>
      </c>
      <c r="Y271" s="63" t="str">
        <f>IF(V271, K271, "")</f>
        <v/>
      </c>
      <c r="Z271" s="64"/>
      <c r="AA271" s="48" t="b">
        <f>INDEX(itemPrepMethods, MATCH(K271, itemNames, 0))="soak"</f>
        <v>0</v>
      </c>
      <c r="AB271" s="63" t="str">
        <f>IF(AA271, Q271, "")</f>
        <v/>
      </c>
      <c r="AC271" s="63" t="str">
        <f>IF(AA271, IF(L271 = "", "", L271), "")</f>
        <v/>
      </c>
      <c r="AD271" s="63" t="str">
        <f>IF(AA271, K271, "")</f>
        <v/>
      </c>
    </row>
    <row r="272" spans="1:30" x14ac:dyDescent="0.25">
      <c r="A272" s="44" t="s">
        <v>21</v>
      </c>
      <c r="B272" s="57">
        <f t="shared" ref="B272" si="187">Q272</f>
        <v>8</v>
      </c>
      <c r="C272" s="43" t="str">
        <f t="shared" ref="C272" si="188">IF(L272="","",L272)</f>
        <v/>
      </c>
      <c r="D272" s="44" t="str">
        <f>_xlfn.CONCAT(K272, U272)</f>
        <v>chopped potatoes</v>
      </c>
      <c r="I272" s="59">
        <v>8</v>
      </c>
      <c r="J272" s="60"/>
      <c r="K272" s="60" t="s">
        <v>4</v>
      </c>
      <c r="L272" s="61"/>
      <c r="M272" s="51">
        <f t="shared" ref="M272" si="189">INDEX(itemGPerQty, MATCH(K272, itemNames, 0))</f>
        <v>0.22500000000000001</v>
      </c>
      <c r="N272" s="51">
        <f t="shared" ref="N272" si="190">INDEX(itemMlPerQty, MATCH(K272, itemNames, 0))</f>
        <v>0.33750000000000002</v>
      </c>
      <c r="O272" s="51">
        <f t="shared" ref="O272" si="191">IF(J272 = "", I272 * M272, IF(ISNA(CONVERT(I272, J272, "kg")), CONVERT(I272, J272, "l") * IF(N272 &lt;&gt; 0, M272 / N272, 0), CONVERT(I272, J272, "kg")))</f>
        <v>1.8</v>
      </c>
      <c r="P272" s="51">
        <f t="shared" ref="P272" si="192">IF(J272 = "", I272 * N272, IF(ISNA(CONVERT(I272, J272, "l")), CONVERT(I272, J272, "kg") * IF(M272 &lt;&gt; 0, N272 / M272, 0), CONVERT(I272, J272, "l")))</f>
        <v>2.7</v>
      </c>
      <c r="Q272" s="51">
        <f>MROUND(IF(AND(J272 = "", L272 = ""), I272 * recipe12DayScale, IF(ISNA(CONVERT(O272, "kg", L272)), CONVERT(P272 * recipe12DayScale, "l", L272), CONVERT(O272 * recipe12DayScale, "kg", L272))), roundTo)</f>
        <v>8</v>
      </c>
      <c r="R272" s="52">
        <f>recipe12TotScale * IF(L272 = "", Q272 * M272, IF(ISNA(CONVERT(Q272, L272, "kg")), CONVERT(Q272, L272, "l") * IF(N272 &lt;&gt; 0, M272 / N272, 0), CONVERT(Q272, L272, "kg")))</f>
        <v>1.8</v>
      </c>
      <c r="S272" s="52">
        <f>recipe12TotScale * IF(R272 = 0, IF(L272 = "", Q272 * N272, IF(ISNA(CONVERT(Q272, L272, "l")), CONVERT(Q272, L272, "kg") * IF(M272 &lt;&gt; 0, N272 / M272, 0), CONVERT(Q272, L272, "l"))), 0)</f>
        <v>0</v>
      </c>
      <c r="T272" s="51">
        <f>recipe12TotScale * IF(AND(R272 = 0, S272 = 0, J272 = "", L272 = ""), Q272, 0)</f>
        <v>0</v>
      </c>
      <c r="V272" s="48" t="b">
        <f>INDEX(itemPrepMethods, MATCH(K272, itemNames, 0))="chop"</f>
        <v>1</v>
      </c>
      <c r="W272" s="62">
        <f>IF(V272, Q272, "")</f>
        <v>8</v>
      </c>
      <c r="X272" s="63" t="str">
        <f>IF(V272, IF(L272 = "", "", L272), "")</f>
        <v/>
      </c>
      <c r="Y272" s="63" t="str">
        <f>IF(V272, K272, "")</f>
        <v>chopped potatoes</v>
      </c>
      <c r="Z272" s="64"/>
      <c r="AA272" s="48" t="b">
        <f>INDEX(itemPrepMethods, MATCH(K272, itemNames, 0))="soak"</f>
        <v>0</v>
      </c>
      <c r="AB272" s="63" t="str">
        <f>IF(AA272, Q272, "")</f>
        <v/>
      </c>
      <c r="AC272" s="63" t="str">
        <f>IF(AA272, IF(L272 = "", "", L272), "")</f>
        <v/>
      </c>
      <c r="AD272" s="63" t="str">
        <f>IF(AA272, K272, "")</f>
        <v/>
      </c>
    </row>
    <row r="273" spans="1:30" x14ac:dyDescent="0.25">
      <c r="A273" s="110"/>
      <c r="B273" s="110"/>
      <c r="C273" s="110"/>
      <c r="D273" s="110"/>
      <c r="I273" s="51"/>
      <c r="W273" s="81"/>
      <c r="X273" s="82"/>
      <c r="Y273" s="82"/>
      <c r="Z273" s="83"/>
      <c r="AA273" s="73"/>
      <c r="AB273" s="81"/>
      <c r="AC273" s="81"/>
      <c r="AD273" s="81"/>
    </row>
    <row r="274" spans="1:30" x14ac:dyDescent="0.25">
      <c r="A274" s="110" t="s">
        <v>294</v>
      </c>
      <c r="B274" s="110"/>
      <c r="C274" s="110"/>
      <c r="D274" s="110"/>
      <c r="E274" s="47"/>
      <c r="F274" s="65"/>
      <c r="G274" s="65"/>
      <c r="H274" s="51"/>
      <c r="W274" s="81"/>
      <c r="X274" s="82"/>
      <c r="Y274" s="82"/>
      <c r="Z274" s="83"/>
      <c r="AA274" s="73"/>
      <c r="AB274" s="81"/>
      <c r="AC274" s="81"/>
      <c r="AD274" s="81"/>
    </row>
    <row r="275" spans="1:30" x14ac:dyDescent="0.25">
      <c r="A275" s="44" t="s">
        <v>21</v>
      </c>
      <c r="B275" s="57">
        <f t="shared" ref="B275:B276" si="193">Q275</f>
        <v>4</v>
      </c>
      <c r="C275" s="43" t="str">
        <f t="shared" ref="C275:C276" si="194">IF(L275="","",L275)</f>
        <v/>
      </c>
      <c r="D275" s="44" t="str">
        <f>_xlfn.CONCAT(K275, U275)</f>
        <v>diced carrots</v>
      </c>
      <c r="I275" s="59">
        <v>4</v>
      </c>
      <c r="J275" s="60"/>
      <c r="K275" s="60" t="s">
        <v>104</v>
      </c>
      <c r="L275" s="61"/>
      <c r="M275" s="51">
        <f t="shared" ref="M275:M276" si="195">INDEX(itemGPerQty, MATCH(K275, itemNames, 0))</f>
        <v>0</v>
      </c>
      <c r="N275" s="51">
        <f t="shared" ref="N275:N276" si="196">INDEX(itemMlPerQty, MATCH(K275, itemNames, 0))</f>
        <v>0</v>
      </c>
      <c r="O275" s="51">
        <f t="shared" ref="O275:O276" si="197">IF(J275 = "", I275 * M275, IF(ISNA(CONVERT(I275, J275, "kg")), CONVERT(I275, J275, "l") * IF(N275 &lt;&gt; 0, M275 / N275, 0), CONVERT(I275, J275, "kg")))</f>
        <v>0</v>
      </c>
      <c r="P275" s="51">
        <f t="shared" ref="P275:P276" si="198">IF(J275 = "", I275 * N275, IF(ISNA(CONVERT(I275, J275, "l")), CONVERT(I275, J275, "kg") * IF(M275 &lt;&gt; 0, N275 / M275, 0), CONVERT(I275, J275, "l")))</f>
        <v>0</v>
      </c>
      <c r="Q275" s="51">
        <f>MROUND(IF(AND(J275 = "", L275 = ""), I275 * recipe12DayScale, IF(ISNA(CONVERT(O275, "kg", L275)), CONVERT(P275 * recipe12DayScale, "l", L275), CONVERT(O275 * recipe12DayScale, "kg", L275))), roundTo)</f>
        <v>4</v>
      </c>
      <c r="R275" s="52">
        <f>recipe12TotScale * IF(L275 = "", Q275 * M275, IF(ISNA(CONVERT(Q275, L275, "kg")), CONVERT(Q275, L275, "l") * IF(N275 &lt;&gt; 0, M275 / N275, 0), CONVERT(Q275, L275, "kg")))</f>
        <v>0</v>
      </c>
      <c r="S275" s="52">
        <f>recipe12TotScale * IF(R275 = 0, IF(L275 = "", Q275 * N275, IF(ISNA(CONVERT(Q275, L275, "l")), CONVERT(Q275, L275, "kg") * IF(M275 &lt;&gt; 0, N275 / M275, 0), CONVERT(Q275, L275, "l"))), 0)</f>
        <v>0</v>
      </c>
      <c r="T275" s="51">
        <f>recipe12TotScale * IF(AND(R275 = 0, S275 = 0, J275 = "", L275 = ""), Q275, 0)</f>
        <v>4</v>
      </c>
      <c r="V275" s="48" t="b">
        <f>INDEX(itemPrepMethods, MATCH(K275, itemNames, 0))="chop"</f>
        <v>1</v>
      </c>
      <c r="W275" s="62">
        <f>IF(V275, Q275, "")</f>
        <v>4</v>
      </c>
      <c r="X275" s="63" t="str">
        <f>IF(V275, IF(L275 = "", "", L275), "")</f>
        <v/>
      </c>
      <c r="Y275" s="63" t="str">
        <f>IF(V275, K275, "")</f>
        <v>diced carrots</v>
      </c>
      <c r="Z275" s="64"/>
      <c r="AA275" s="48" t="b">
        <f>INDEX(itemPrepMethods, MATCH(K275, itemNames, 0))="soak"</f>
        <v>0</v>
      </c>
      <c r="AB275" s="63" t="str">
        <f>IF(AA275, Q275, "")</f>
        <v/>
      </c>
      <c r="AC275" s="63" t="str">
        <f>IF(AA275, IF(L275 = "", "", L275), "")</f>
        <v/>
      </c>
      <c r="AD275" s="63" t="str">
        <f>IF(AA275, K275, "")</f>
        <v/>
      </c>
    </row>
    <row r="276" spans="1:30" x14ac:dyDescent="0.25">
      <c r="A276" s="44" t="s">
        <v>21</v>
      </c>
      <c r="B276" s="57">
        <f t="shared" si="193"/>
        <v>4</v>
      </c>
      <c r="C276" s="43" t="str">
        <f t="shared" si="194"/>
        <v/>
      </c>
      <c r="D276" s="44" t="str">
        <f>_xlfn.CONCAT(K276, U276)</f>
        <v>diced celery stalks</v>
      </c>
      <c r="I276" s="59">
        <v>4</v>
      </c>
      <c r="J276" s="60"/>
      <c r="K276" s="60" t="s">
        <v>105</v>
      </c>
      <c r="L276" s="61"/>
      <c r="M276" s="51">
        <f t="shared" si="195"/>
        <v>0</v>
      </c>
      <c r="N276" s="51">
        <f t="shared" si="196"/>
        <v>0</v>
      </c>
      <c r="O276" s="51">
        <f t="shared" si="197"/>
        <v>0</v>
      </c>
      <c r="P276" s="51">
        <f t="shared" si="198"/>
        <v>0</v>
      </c>
      <c r="Q276" s="51">
        <f>MROUND(IF(AND(J276 = "", L276 = ""), I276 * recipe12DayScale, IF(ISNA(CONVERT(O276, "kg", L276)), CONVERT(P276 * recipe12DayScale, "l", L276), CONVERT(O276 * recipe12DayScale, "kg", L276))), roundTo)</f>
        <v>4</v>
      </c>
      <c r="R276" s="52">
        <f>recipe12TotScale * IF(L276 = "", Q276 * M276, IF(ISNA(CONVERT(Q276, L276, "kg")), CONVERT(Q276, L276, "l") * IF(N276 &lt;&gt; 0, M276 / N276, 0), CONVERT(Q276, L276, "kg")))</f>
        <v>0</v>
      </c>
      <c r="S276" s="52">
        <f>recipe12TotScale * IF(R276 = 0, IF(L276 = "", Q276 * N276, IF(ISNA(CONVERT(Q276, L276, "l")), CONVERT(Q276, L276, "kg") * IF(M276 &lt;&gt; 0, N276 / M276, 0), CONVERT(Q276, L276, "l"))), 0)</f>
        <v>0</v>
      </c>
      <c r="T276" s="51">
        <f>recipe12TotScale * IF(AND(R276 = 0, S276 = 0, J276 = "", L276 = ""), Q276, 0)</f>
        <v>4</v>
      </c>
      <c r="V276" s="48" t="b">
        <f>INDEX(itemPrepMethods, MATCH(K276, itemNames, 0))="chop"</f>
        <v>1</v>
      </c>
      <c r="W276" s="62">
        <f>IF(V276, Q276, "")</f>
        <v>4</v>
      </c>
      <c r="X276" s="63" t="str">
        <f>IF(V276, IF(L276 = "", "", L276), "")</f>
        <v/>
      </c>
      <c r="Y276" s="63" t="str">
        <f>IF(V276, K276, "")</f>
        <v>diced celery stalks</v>
      </c>
      <c r="Z276" s="64"/>
      <c r="AA276" s="48" t="b">
        <f>INDEX(itemPrepMethods, MATCH(K276, itemNames, 0))="soak"</f>
        <v>0</v>
      </c>
      <c r="AB276" s="63" t="str">
        <f>IF(AA276, Q276, "")</f>
        <v/>
      </c>
      <c r="AC276" s="63" t="str">
        <f>IF(AA276, IF(L276 = "", "", L276), "")</f>
        <v/>
      </c>
      <c r="AD276" s="63" t="str">
        <f>IF(AA276, K276, "")</f>
        <v/>
      </c>
    </row>
    <row r="277" spans="1:30" x14ac:dyDescent="0.25">
      <c r="A277" s="44" t="s">
        <v>21</v>
      </c>
      <c r="B277" s="57">
        <f t="shared" ref="B277" si="199">Q277</f>
        <v>1</v>
      </c>
      <c r="C277" s="43" t="str">
        <f t="shared" ref="C277" si="200">IF(L277="","",L277)</f>
        <v>tbs</v>
      </c>
      <c r="D277" s="44" t="str">
        <f>_xlfn.CONCAT(K277, U277)</f>
        <v>dried sage</v>
      </c>
      <c r="I277" s="59">
        <v>1</v>
      </c>
      <c r="J277" s="60" t="s">
        <v>15</v>
      </c>
      <c r="K277" s="60" t="s">
        <v>295</v>
      </c>
      <c r="L277" s="61" t="s">
        <v>15</v>
      </c>
      <c r="M277" s="51">
        <f t="shared" ref="M277" si="201">INDEX(itemGPerQty, MATCH(K277, itemNames, 0))</f>
        <v>0</v>
      </c>
      <c r="N277" s="51">
        <f t="shared" ref="N277" si="202">INDEX(itemMlPerQty, MATCH(K277, itemNames, 0))</f>
        <v>0</v>
      </c>
      <c r="O277" s="51">
        <f t="shared" ref="O277" si="203">IF(J277 = "", I277 * M277, IF(ISNA(CONVERT(I277, J277, "kg")), CONVERT(I277, J277, "l") * IF(N277 &lt;&gt; 0, M277 / N277, 0), CONVERT(I277, J277, "kg")))</f>
        <v>0</v>
      </c>
      <c r="P277" s="51">
        <f t="shared" ref="P277" si="204">IF(J277 = "", I277 * N277, IF(ISNA(CONVERT(I277, J277, "l")), CONVERT(I277, J277, "kg") * IF(M277 &lt;&gt; 0, N277 / M277, 0), CONVERT(I277, J277, "l")))</f>
        <v>1.478676478125E-2</v>
      </c>
      <c r="Q277" s="51">
        <f>MROUND(IF(AND(J277 = "", L277 = ""), I277 * recipe12DayScale, IF(ISNA(CONVERT(O277, "kg", L277)), CONVERT(P277 * recipe12DayScale, "l", L277), CONVERT(O277 * recipe12DayScale, "kg", L277))), roundTo)</f>
        <v>1</v>
      </c>
      <c r="R277" s="52">
        <f>recipe12TotScale * IF(L277 = "", Q277 * M277, IF(ISNA(CONVERT(Q277, L277, "kg")), CONVERT(Q277, L277, "l") * IF(N277 &lt;&gt; 0, M277 / N277, 0), CONVERT(Q277, L277, "kg")))</f>
        <v>0</v>
      </c>
      <c r="S277" s="52">
        <f>recipe12TotScale * IF(R277 = 0, IF(L277 = "", Q277 * N277, IF(ISNA(CONVERT(Q277, L277, "l")), CONVERT(Q277, L277, "kg") * IF(M277 &lt;&gt; 0, N277 / M277, 0), CONVERT(Q277, L277, "l"))), 0)</f>
        <v>1.478676478125E-2</v>
      </c>
      <c r="T277" s="51">
        <f>recipe12TotScale * IF(AND(R277 = 0, S277 = 0, J277 = "", L277 = ""), Q277, 0)</f>
        <v>0</v>
      </c>
      <c r="V277" s="48" t="b">
        <f>INDEX(itemPrepMethods, MATCH(K277, itemNames, 0))="chop"</f>
        <v>0</v>
      </c>
      <c r="W277" s="62" t="str">
        <f>IF(V277, Q277, "")</f>
        <v/>
      </c>
      <c r="X277" s="63" t="str">
        <f>IF(V277, IF(L277 = "", "", L277), "")</f>
        <v/>
      </c>
      <c r="Y277" s="63" t="str">
        <f>IF(V277, K277, "")</f>
        <v/>
      </c>
      <c r="Z277" s="64"/>
      <c r="AA277" s="48" t="b">
        <f>INDEX(itemPrepMethods, MATCH(K277, itemNames, 0))="soak"</f>
        <v>0</v>
      </c>
      <c r="AB277" s="63" t="str">
        <f>IF(AA277, Q277, "")</f>
        <v/>
      </c>
      <c r="AC277" s="63" t="str">
        <f>IF(AA277, IF(L277 = "", "", L277), "")</f>
        <v/>
      </c>
      <c r="AD277" s="63" t="str">
        <f>IF(AA277, K277, "")</f>
        <v/>
      </c>
    </row>
    <row r="278" spans="1:30" x14ac:dyDescent="0.25">
      <c r="A278" s="110"/>
      <c r="B278" s="110"/>
      <c r="C278" s="110"/>
      <c r="D278" s="110"/>
      <c r="I278" s="51"/>
      <c r="W278" s="81"/>
      <c r="X278" s="82"/>
      <c r="Y278" s="82"/>
      <c r="Z278" s="83"/>
      <c r="AA278" s="73"/>
      <c r="AB278" s="81"/>
      <c r="AC278" s="81"/>
      <c r="AD278" s="81"/>
    </row>
    <row r="279" spans="1:30" x14ac:dyDescent="0.25">
      <c r="A279" s="110" t="s">
        <v>300</v>
      </c>
      <c r="B279" s="110"/>
      <c r="C279" s="110"/>
      <c r="D279" s="110"/>
      <c r="E279" s="47"/>
      <c r="F279" s="65"/>
      <c r="G279" s="65"/>
      <c r="H279" s="51"/>
      <c r="W279" s="81"/>
      <c r="X279" s="82"/>
      <c r="Y279" s="82"/>
      <c r="Z279" s="83"/>
      <c r="AA279" s="73"/>
      <c r="AB279" s="81"/>
      <c r="AC279" s="81"/>
      <c r="AD279" s="81"/>
    </row>
    <row r="280" spans="1:30" x14ac:dyDescent="0.25">
      <c r="A280" s="44" t="s">
        <v>21</v>
      </c>
      <c r="B280" s="57">
        <f t="shared" ref="B280" si="205">Q280</f>
        <v>4</v>
      </c>
      <c r="C280" s="43" t="str">
        <f t="shared" ref="C280" si="206">IF(L280="","",L280)</f>
        <v>cup</v>
      </c>
      <c r="D280" s="71" t="str">
        <f>_xlfn.CONCAT(K280, U280)</f>
        <v>tins pasta sauce</v>
      </c>
      <c r="I280" s="59">
        <v>4</v>
      </c>
      <c r="J280" s="60" t="s">
        <v>16</v>
      </c>
      <c r="K280" s="60" t="s">
        <v>296</v>
      </c>
      <c r="L280" s="61" t="s">
        <v>16</v>
      </c>
      <c r="M280" s="51">
        <f t="shared" ref="M280" si="207">INDEX(itemGPerQty, MATCH(K280, itemNames, 0))</f>
        <v>0</v>
      </c>
      <c r="N280" s="51">
        <f t="shared" ref="N280" si="208">INDEX(itemMlPerQty, MATCH(K280, itemNames, 0))</f>
        <v>0</v>
      </c>
      <c r="O280" s="51">
        <f t="shared" ref="O280" si="209">IF(J280 = "", I280 * M280, IF(ISNA(CONVERT(I280, J280, "kg")), CONVERT(I280, J280, "l") * IF(N280 &lt;&gt; 0, M280 / N280, 0), CONVERT(I280, J280, "kg")))</f>
        <v>0</v>
      </c>
      <c r="P280" s="51">
        <f t="shared" ref="P280" si="210">IF(J280 = "", I280 * N280, IF(ISNA(CONVERT(I280, J280, "l")), CONVERT(I280, J280, "kg") * IF(M280 &lt;&gt; 0, N280 / M280, 0), CONVERT(I280, J280, "l")))</f>
        <v>0.94635294599999997</v>
      </c>
      <c r="Q280" s="51">
        <f>MROUND(IF(AND(J280 = "", L280 = ""), I280 * recipe12DayScale, IF(ISNA(CONVERT(O280, "kg", L280)), CONVERT(P280 * recipe12DayScale, "l", L280), CONVERT(O280 * recipe12DayScale, "kg", L280))), roundTo)</f>
        <v>4</v>
      </c>
      <c r="R280" s="52">
        <f>recipe12TotScale * IF(L280 = "", Q280 * M280, IF(ISNA(CONVERT(Q280, L280, "kg")), CONVERT(Q280, L280, "l") * IF(N280 &lt;&gt; 0, M280 / N280, 0), CONVERT(Q280, L280, "kg")))</f>
        <v>0</v>
      </c>
      <c r="S280" s="52">
        <f>recipe12TotScale * IF(R280 = 0, IF(L280 = "", Q280 * N280, IF(ISNA(CONVERT(Q280, L280, "l")), CONVERT(Q280, L280, "kg") * IF(M280 &lt;&gt; 0, N280 / M280, 0), CONVERT(Q280, L280, "l"))), 0)</f>
        <v>0.94635294599999997</v>
      </c>
      <c r="T280" s="51">
        <f>recipe12TotScale * IF(AND(R280 = 0, S280 = 0, J280 = "", L280 = ""), Q280, 0)</f>
        <v>0</v>
      </c>
      <c r="V280" s="48" t="b">
        <f>INDEX(itemPrepMethods, MATCH(K280, itemNames, 0))="chop"</f>
        <v>0</v>
      </c>
      <c r="W280" s="62" t="str">
        <f>IF(V280, Q280, "")</f>
        <v/>
      </c>
      <c r="X280" s="63" t="str">
        <f>IF(V280, IF(L280 = "", "", L280), "")</f>
        <v/>
      </c>
      <c r="Y280" s="63" t="str">
        <f>IF(V280, K280, "")</f>
        <v/>
      </c>
      <c r="Z280" s="64"/>
      <c r="AA280" s="48" t="b">
        <f>INDEX(itemPrepMethods, MATCH(K280, itemNames, 0))="soak"</f>
        <v>0</v>
      </c>
      <c r="AB280" s="63" t="str">
        <f>IF(AA280, Q280, "")</f>
        <v/>
      </c>
      <c r="AC280" s="63" t="str">
        <f>IF(AA280, IF(L280 = "", "", L280), "")</f>
        <v/>
      </c>
      <c r="AD280" s="63" t="str">
        <f>IF(AA280, K280, "")</f>
        <v/>
      </c>
    </row>
    <row r="281" spans="1:30" x14ac:dyDescent="0.25">
      <c r="A281" s="110"/>
      <c r="B281" s="110"/>
      <c r="C281" s="110"/>
      <c r="D281" s="110"/>
      <c r="I281" s="51"/>
      <c r="W281" s="81"/>
      <c r="X281" s="82"/>
      <c r="Y281" s="82"/>
      <c r="Z281" s="83"/>
      <c r="AA281" s="73"/>
      <c r="AB281" s="81"/>
      <c r="AC281" s="81"/>
      <c r="AD281" s="81"/>
    </row>
    <row r="282" spans="1:30" x14ac:dyDescent="0.25">
      <c r="A282" s="110" t="s">
        <v>297</v>
      </c>
      <c r="B282" s="110"/>
      <c r="C282" s="110"/>
      <c r="D282" s="110"/>
      <c r="E282" s="47"/>
      <c r="F282" s="65"/>
      <c r="G282" s="65"/>
      <c r="H282" s="51"/>
      <c r="W282" s="81"/>
      <c r="X282" s="82"/>
      <c r="Y282" s="82"/>
      <c r="Z282" s="83"/>
      <c r="AA282" s="73"/>
      <c r="AB282" s="81"/>
      <c r="AC282" s="81"/>
      <c r="AD282" s="81"/>
    </row>
    <row r="283" spans="1:30" x14ac:dyDescent="0.25">
      <c r="A283" s="110"/>
      <c r="B283" s="110"/>
      <c r="C283" s="110"/>
      <c r="D283" s="110"/>
      <c r="I283" s="51"/>
      <c r="W283" s="81"/>
      <c r="X283" s="82"/>
      <c r="Y283" s="82"/>
      <c r="Z283" s="83"/>
      <c r="AA283" s="73"/>
      <c r="AB283" s="81"/>
      <c r="AC283" s="81"/>
      <c r="AD283" s="81"/>
    </row>
    <row r="284" spans="1:30" x14ac:dyDescent="0.25">
      <c r="A284" s="115" t="s">
        <v>298</v>
      </c>
      <c r="B284" s="115"/>
      <c r="C284" s="115"/>
      <c r="D284" s="115"/>
      <c r="E284" s="47"/>
      <c r="F284" s="65"/>
      <c r="G284" s="65"/>
      <c r="H284" s="51"/>
      <c r="W284" s="81"/>
      <c r="X284" s="82"/>
      <c r="Y284" s="82"/>
      <c r="Z284" s="83"/>
      <c r="AA284" s="73"/>
      <c r="AB284" s="81"/>
      <c r="AC284" s="81"/>
      <c r="AD284" s="81"/>
    </row>
    <row r="285" spans="1:30" x14ac:dyDescent="0.25">
      <c r="A285" s="110"/>
      <c r="B285" s="110"/>
      <c r="C285" s="110"/>
      <c r="D285" s="110"/>
      <c r="I285" s="51"/>
      <c r="W285" s="81"/>
      <c r="X285" s="82"/>
      <c r="Y285" s="82"/>
      <c r="Z285" s="83"/>
      <c r="AA285" s="73"/>
      <c r="AB285" s="81"/>
      <c r="AC285" s="81"/>
      <c r="AD285" s="81"/>
    </row>
    <row r="286" spans="1:30" x14ac:dyDescent="0.25">
      <c r="A286" s="110" t="s">
        <v>299</v>
      </c>
      <c r="B286" s="110"/>
      <c r="C286" s="110"/>
      <c r="D286" s="110"/>
      <c r="E286" s="47"/>
      <c r="F286" s="65"/>
      <c r="G286" s="65"/>
      <c r="H286" s="51"/>
      <c r="W286" s="81"/>
      <c r="X286" s="82"/>
      <c r="Y286" s="82"/>
      <c r="Z286" s="83"/>
      <c r="AA286" s="73"/>
      <c r="AB286" s="81"/>
      <c r="AC286" s="81"/>
      <c r="AD286" s="81"/>
    </row>
    <row r="287" spans="1:30" x14ac:dyDescent="0.25">
      <c r="A287" s="110"/>
      <c r="B287" s="110"/>
      <c r="C287" s="110"/>
      <c r="D287" s="110"/>
      <c r="I287" s="51"/>
      <c r="W287" s="81"/>
      <c r="X287" s="82"/>
      <c r="Y287" s="82"/>
      <c r="Z287" s="83"/>
      <c r="AA287" s="73"/>
      <c r="AB287" s="81"/>
      <c r="AC287" s="81"/>
      <c r="AD287" s="81"/>
    </row>
    <row r="288" spans="1:30" x14ac:dyDescent="0.25">
      <c r="A288" s="110" t="s">
        <v>110</v>
      </c>
      <c r="B288" s="110"/>
      <c r="C288" s="110"/>
      <c r="D288" s="110"/>
      <c r="E288" s="47"/>
      <c r="F288" s="65"/>
      <c r="G288" s="65"/>
      <c r="H288" s="51"/>
      <c r="W288" s="81"/>
      <c r="X288" s="82"/>
      <c r="Y288" s="82"/>
      <c r="Z288" s="83"/>
      <c r="AA288" s="73"/>
      <c r="AB288" s="81"/>
      <c r="AC288" s="81"/>
      <c r="AD288" s="81"/>
    </row>
    <row r="289" spans="1:30" x14ac:dyDescent="0.25">
      <c r="A289" s="44" t="s">
        <v>21</v>
      </c>
      <c r="B289" s="57">
        <f t="shared" ref="B289" si="211">Q289</f>
        <v>2</v>
      </c>
      <c r="C289" s="43" t="str">
        <f t="shared" ref="C289" si="212">IF(L289="","",L289)</f>
        <v>tbs</v>
      </c>
      <c r="D289" s="71" t="str">
        <f>_xlfn.CONCAT(K289, U289)</f>
        <v>sweet chili sauce</v>
      </c>
      <c r="I289" s="59">
        <v>2</v>
      </c>
      <c r="J289" s="60" t="s">
        <v>15</v>
      </c>
      <c r="K289" s="60" t="s">
        <v>301</v>
      </c>
      <c r="L289" s="61" t="s">
        <v>15</v>
      </c>
      <c r="M289" s="51">
        <f t="shared" ref="M289" si="213">INDEX(itemGPerQty, MATCH(K289, itemNames, 0))</f>
        <v>0</v>
      </c>
      <c r="N289" s="51">
        <f t="shared" ref="N289" si="214">INDEX(itemMlPerQty, MATCH(K289, itemNames, 0))</f>
        <v>0</v>
      </c>
      <c r="O289" s="51">
        <f t="shared" ref="O289" si="215">IF(J289 = "", I289 * M289, IF(ISNA(CONVERT(I289, J289, "kg")), CONVERT(I289, J289, "l") * IF(N289 &lt;&gt; 0, M289 / N289, 0), CONVERT(I289, J289, "kg")))</f>
        <v>0</v>
      </c>
      <c r="P289" s="51">
        <f t="shared" ref="P289" si="216">IF(J289 = "", I289 * N289, IF(ISNA(CONVERT(I289, J289, "l")), CONVERT(I289, J289, "kg") * IF(M289 &lt;&gt; 0, N289 / M289, 0), CONVERT(I289, J289, "l")))</f>
        <v>2.9573529562499999E-2</v>
      </c>
      <c r="Q289" s="51">
        <f>MROUND(IF(AND(J289 = "", L289 = ""), I289 * recipe12DayScale, IF(ISNA(CONVERT(O289, "kg", L289)), CONVERT(P289 * recipe12DayScale, "l", L289), CONVERT(O289 * recipe12DayScale, "kg", L289))), roundTo)</f>
        <v>2</v>
      </c>
      <c r="R289" s="52">
        <f>recipe12TotScale * IF(L289 = "", Q289 * M289, IF(ISNA(CONVERT(Q289, L289, "kg")), CONVERT(Q289, L289, "l") * IF(N289 &lt;&gt; 0, M289 / N289, 0), CONVERT(Q289, L289, "kg")))</f>
        <v>0</v>
      </c>
      <c r="S289" s="52">
        <f>recipe12TotScale * IF(R289 = 0, IF(L289 = "", Q289 * N289, IF(ISNA(CONVERT(Q289, L289, "l")), CONVERT(Q289, L289, "kg") * IF(M289 &lt;&gt; 0, N289 / M289, 0), CONVERT(Q289, L289, "l"))), 0)</f>
        <v>2.9573529562499999E-2</v>
      </c>
      <c r="T289" s="51">
        <f>recipe12TotScale * IF(AND(R289 = 0, S289 = 0, J289 = "", L289 = ""), Q289, 0)</f>
        <v>0</v>
      </c>
      <c r="V289" s="48" t="b">
        <f>INDEX(itemPrepMethods, MATCH(K289, itemNames, 0))="chop"</f>
        <v>0</v>
      </c>
      <c r="W289" s="62" t="str">
        <f>IF(V289, Q289, "")</f>
        <v/>
      </c>
      <c r="X289" s="63" t="str">
        <f>IF(V289, IF(L289 = "", "", L289), "")</f>
        <v/>
      </c>
      <c r="Y289" s="63" t="str">
        <f>IF(V289, K289, "")</f>
        <v/>
      </c>
      <c r="Z289" s="64"/>
      <c r="AA289" s="48" t="b">
        <f>INDEX(itemPrepMethods, MATCH(K289, itemNames, 0))="soak"</f>
        <v>0</v>
      </c>
      <c r="AB289" s="63" t="str">
        <f>IF(AA289, Q289, "")</f>
        <v/>
      </c>
      <c r="AC289" s="63" t="str">
        <f>IF(AA289, IF(L289 = "", "", L289), "")</f>
        <v/>
      </c>
      <c r="AD289" s="63" t="str">
        <f>IF(AA289, K289, "")</f>
        <v/>
      </c>
    </row>
    <row r="290" spans="1:30" x14ac:dyDescent="0.25">
      <c r="A290" s="44" t="s">
        <v>21</v>
      </c>
      <c r="B290" s="57">
        <f t="shared" ref="B290:B291" si="217">Q290</f>
        <v>2</v>
      </c>
      <c r="C290" s="43" t="str">
        <f t="shared" ref="C290:C291" si="218">IF(L290="","",L290)</f>
        <v>tsp</v>
      </c>
      <c r="D290" s="44" t="str">
        <f>_xlfn.CONCAT(K290, U290)</f>
        <v>dijon mustard</v>
      </c>
      <c r="I290" s="59">
        <v>2</v>
      </c>
      <c r="J290" s="60" t="s">
        <v>13</v>
      </c>
      <c r="K290" s="60" t="s">
        <v>78</v>
      </c>
      <c r="L290" s="61" t="s">
        <v>13</v>
      </c>
      <c r="M290" s="51">
        <f t="shared" ref="M290:M291" si="219">INDEX(itemGPerQty, MATCH(K290, itemNames, 0))</f>
        <v>0</v>
      </c>
      <c r="N290" s="51">
        <f t="shared" ref="N290:N291" si="220">INDEX(itemMlPerQty, MATCH(K290, itemNames, 0))</f>
        <v>0</v>
      </c>
      <c r="O290" s="51">
        <f t="shared" ref="O290:O291" si="221">IF(J290 = "", I290 * M290, IF(ISNA(CONVERT(I290, J290, "kg")), CONVERT(I290, J290, "l") * IF(N290 &lt;&gt; 0, M290 / N290, 0), CONVERT(I290, J290, "kg")))</f>
        <v>0</v>
      </c>
      <c r="P290" s="51">
        <f t="shared" ref="P290:P291" si="222">IF(J290 = "", I290 * N290, IF(ISNA(CONVERT(I290, J290, "l")), CONVERT(I290, J290, "kg") * IF(M290 &lt;&gt; 0, N290 / M290, 0), CONVERT(I290, J290, "l")))</f>
        <v>9.8578431874999997E-3</v>
      </c>
      <c r="Q290" s="51">
        <f>MROUND(IF(AND(J290 = "", L290 = ""), I290 * recipe12DayScale, IF(ISNA(CONVERT(O290, "kg", L290)), CONVERT(P290 * recipe12DayScale, "l", L290), CONVERT(O290 * recipe12DayScale, "kg", L290))), roundTo)</f>
        <v>2</v>
      </c>
      <c r="R290" s="52">
        <f>recipe12TotScale * IF(L290 = "", Q290 * M290, IF(ISNA(CONVERT(Q290, L290, "kg")), CONVERT(Q290, L290, "l") * IF(N290 &lt;&gt; 0, M290 / N290, 0), CONVERT(Q290, L290, "kg")))</f>
        <v>0</v>
      </c>
      <c r="S290" s="52">
        <f>recipe12TotScale * IF(R290 = 0, IF(L290 = "", Q290 * N290, IF(ISNA(CONVERT(Q290, L290, "l")), CONVERT(Q290, L290, "kg") * IF(M290 &lt;&gt; 0, N290 / M290, 0), CONVERT(Q290, L290, "l"))), 0)</f>
        <v>9.8578431874999997E-3</v>
      </c>
      <c r="T290" s="51">
        <f>recipe12TotScale * IF(AND(R290 = 0, S290 = 0, J290 = "", L290 = ""), Q290, 0)</f>
        <v>0</v>
      </c>
      <c r="V290" s="48" t="b">
        <f>INDEX(itemPrepMethods, MATCH(K290, itemNames, 0))="chop"</f>
        <v>0</v>
      </c>
      <c r="W290" s="62" t="str">
        <f>IF(V290, Q290, "")</f>
        <v/>
      </c>
      <c r="X290" s="63" t="str">
        <f>IF(V290, IF(L290 = "", "", L290), "")</f>
        <v/>
      </c>
      <c r="Y290" s="63" t="str">
        <f>IF(V290, K290, "")</f>
        <v/>
      </c>
      <c r="Z290" s="64"/>
      <c r="AA290" s="48" t="b">
        <f>INDEX(itemPrepMethods, MATCH(K290, itemNames, 0))="soak"</f>
        <v>0</v>
      </c>
      <c r="AB290" s="63" t="str">
        <f>IF(AA290, Q290, "")</f>
        <v/>
      </c>
      <c r="AC290" s="63" t="str">
        <f>IF(AA290, IF(L290 = "", "", L290), "")</f>
        <v/>
      </c>
      <c r="AD290" s="63" t="str">
        <f>IF(AA290, K290, "")</f>
        <v/>
      </c>
    </row>
    <row r="291" spans="1:30" x14ac:dyDescent="0.25">
      <c r="A291" s="44" t="s">
        <v>21</v>
      </c>
      <c r="B291" s="57">
        <f t="shared" si="217"/>
        <v>2</v>
      </c>
      <c r="C291" s="43" t="str">
        <f t="shared" si="218"/>
        <v>tsp</v>
      </c>
      <c r="D291" s="44" t="str">
        <f>_xlfn.CONCAT(K291, U291)</f>
        <v>ground turmeric</v>
      </c>
      <c r="I291" s="59">
        <v>2</v>
      </c>
      <c r="J291" s="60" t="s">
        <v>13</v>
      </c>
      <c r="K291" s="60" t="s">
        <v>326</v>
      </c>
      <c r="L291" s="61" t="s">
        <v>13</v>
      </c>
      <c r="M291" s="51">
        <f t="shared" si="219"/>
        <v>1.4E-2</v>
      </c>
      <c r="N291" s="51">
        <f t="shared" si="220"/>
        <v>2.2180100000000001E-2</v>
      </c>
      <c r="O291" s="51">
        <f t="shared" si="221"/>
        <v>6.2222354554307691E-3</v>
      </c>
      <c r="P291" s="51">
        <f t="shared" si="222"/>
        <v>9.8578431874999997E-3</v>
      </c>
      <c r="Q291" s="51">
        <f>MROUND(IF(AND(J291 = "", L291 = ""), I291 * recipe12DayScale, IF(ISNA(CONVERT(O291, "kg", L291)), CONVERT(P291 * recipe12DayScale, "l", L291), CONVERT(O291 * recipe12DayScale, "kg", L291))), roundTo)</f>
        <v>2</v>
      </c>
      <c r="R291" s="52">
        <f>recipe12TotScale * IF(L291 = "", Q291 * M291, IF(ISNA(CONVERT(Q291, L291, "kg")), CONVERT(Q291, L291, "l") * IF(N291 &lt;&gt; 0, M291 / N291, 0), CONVERT(Q291, L291, "kg")))</f>
        <v>6.2222354554307691E-3</v>
      </c>
      <c r="S291" s="52">
        <f>recipe12TotScale * IF(R291 = 0, IF(L291 = "", Q291 * N291, IF(ISNA(CONVERT(Q291, L291, "l")), CONVERT(Q291, L291, "kg") * IF(M291 &lt;&gt; 0, N291 / M291, 0), CONVERT(Q291, L291, "l"))), 0)</f>
        <v>0</v>
      </c>
      <c r="T291" s="51">
        <f>recipe12TotScale * IF(AND(R291 = 0, S291 = 0, J291 = "", L291 = ""), Q291, 0)</f>
        <v>0</v>
      </c>
      <c r="V291" s="48" t="b">
        <f>INDEX(itemPrepMethods, MATCH(K291, itemNames, 0))="chop"</f>
        <v>0</v>
      </c>
      <c r="W291" s="62" t="str">
        <f>IF(V291, Q291, "")</f>
        <v/>
      </c>
      <c r="X291" s="63" t="str">
        <f>IF(V291, IF(L291 = "", "", L291), "")</f>
        <v/>
      </c>
      <c r="Y291" s="63" t="str">
        <f>IF(V291, K291, "")</f>
        <v/>
      </c>
      <c r="Z291" s="64"/>
      <c r="AA291" s="48" t="b">
        <f>INDEX(itemPrepMethods, MATCH(K291, itemNames, 0))="soak"</f>
        <v>0</v>
      </c>
      <c r="AB291" s="63" t="str">
        <f>IF(AA291, Q291, "")</f>
        <v/>
      </c>
      <c r="AC291" s="63" t="str">
        <f>IF(AA291, IF(L291 = "", "", L291), "")</f>
        <v/>
      </c>
      <c r="AD291" s="63" t="str">
        <f>IF(AA291, K291, "")</f>
        <v/>
      </c>
    </row>
    <row r="292" spans="1:30" x14ac:dyDescent="0.25">
      <c r="A292" s="44" t="s">
        <v>21</v>
      </c>
      <c r="B292" s="57">
        <f t="shared" ref="B292" si="223">Q292</f>
        <v>2</v>
      </c>
      <c r="C292" s="43" t="str">
        <f t="shared" ref="C292" si="224">IF(L292="","",L292)</f>
        <v>tsp</v>
      </c>
      <c r="D292" s="44" t="str">
        <f>_xlfn.CONCAT(K292, U292)</f>
        <v>salt</v>
      </c>
      <c r="I292" s="59">
        <v>2</v>
      </c>
      <c r="J292" s="60" t="s">
        <v>13</v>
      </c>
      <c r="K292" s="60" t="s">
        <v>11</v>
      </c>
      <c r="L292" s="61" t="s">
        <v>13</v>
      </c>
      <c r="M292" s="51">
        <f t="shared" ref="M292" si="225">INDEX(itemGPerQty, MATCH(K292, itemNames, 0))</f>
        <v>2.5000000000000001E-2</v>
      </c>
      <c r="N292" s="51">
        <f t="shared" ref="N292" si="226">INDEX(itemMlPerQty, MATCH(K292, itemNames, 0))</f>
        <v>2.2180100000000001E-2</v>
      </c>
      <c r="O292" s="51">
        <f t="shared" ref="O292" si="227">IF(J292 = "", I292 * M292, IF(ISNA(CONVERT(I292, J292, "kg")), CONVERT(I292, J292, "l") * IF(N292 &lt;&gt; 0, M292 / N292, 0), CONVERT(I292, J292, "kg")))</f>
        <v>1.111113474184066E-2</v>
      </c>
      <c r="P292" s="51">
        <f t="shared" ref="P292" si="228">IF(J292 = "", I292 * N292, IF(ISNA(CONVERT(I292, J292, "l")), CONVERT(I292, J292, "kg") * IF(M292 &lt;&gt; 0, N292 / M292, 0), CONVERT(I292, J292, "l")))</f>
        <v>9.8578431874999997E-3</v>
      </c>
      <c r="Q292" s="51">
        <f>MROUND(IF(AND(J292 = "", L292 = ""), I292 * recipe12DayScale, IF(ISNA(CONVERT(O292, "kg", L292)), CONVERT(P292 * recipe12DayScale, "l", L292), CONVERT(O292 * recipe12DayScale, "kg", L292))), roundTo)</f>
        <v>2</v>
      </c>
      <c r="R292" s="52">
        <f>recipe12TotScale * IF(L292 = "", Q292 * M292, IF(ISNA(CONVERT(Q292, L292, "kg")), CONVERT(Q292, L292, "l") * IF(N292 &lt;&gt; 0, M292 / N292, 0), CONVERT(Q292, L292, "kg")))</f>
        <v>1.111113474184066E-2</v>
      </c>
      <c r="S292" s="52">
        <f>recipe12TotScale * IF(R292 = 0, IF(L292 = "", Q292 * N292, IF(ISNA(CONVERT(Q292, L292, "l")), CONVERT(Q292, L292, "kg") * IF(M292 &lt;&gt; 0, N292 / M292, 0), CONVERT(Q292, L292, "l"))), 0)</f>
        <v>0</v>
      </c>
      <c r="T292" s="51">
        <f>recipe12TotScale * IF(AND(R292 = 0, S292 = 0, J292 = "", L292 = ""), Q292, 0)</f>
        <v>0</v>
      </c>
      <c r="V292" s="48" t="b">
        <f>INDEX(itemPrepMethods, MATCH(K292, itemNames, 0))="chop"</f>
        <v>0</v>
      </c>
      <c r="W292" s="62" t="str">
        <f>IF(V292, Q292, "")</f>
        <v/>
      </c>
      <c r="X292" s="63" t="str">
        <f>IF(V292, IF(L292 = "", "", L292), "")</f>
        <v/>
      </c>
      <c r="Y292" s="63" t="str">
        <f>IF(V292, K292, "")</f>
        <v/>
      </c>
      <c r="Z292" s="64"/>
      <c r="AA292" s="48" t="b">
        <f>INDEX(itemPrepMethods, MATCH(K292, itemNames, 0))="soak"</f>
        <v>0</v>
      </c>
      <c r="AB292" s="63" t="str">
        <f>IF(AA292, Q292, "")</f>
        <v/>
      </c>
      <c r="AC292" s="63" t="str">
        <f>IF(AA292, IF(L292 = "", "", L292), "")</f>
        <v/>
      </c>
      <c r="AD292" s="63" t="str">
        <f>IF(AA292, K292, "")</f>
        <v/>
      </c>
    </row>
    <row r="293" spans="1:30" x14ac:dyDescent="0.25">
      <c r="A293" s="44" t="s">
        <v>21</v>
      </c>
      <c r="B293" s="57">
        <f t="shared" ref="B293" si="229">Q293</f>
        <v>2</v>
      </c>
      <c r="C293" s="43" t="str">
        <f t="shared" ref="C293" si="230">IF(L293="","",L293)</f>
        <v>cup</v>
      </c>
      <c r="D293" s="44" t="str">
        <f>_xlfn.CONCAT(K293, U293)</f>
        <v>soymilk</v>
      </c>
      <c r="I293" s="59">
        <v>2</v>
      </c>
      <c r="J293" s="60" t="s">
        <v>16</v>
      </c>
      <c r="K293" s="60" t="s">
        <v>302</v>
      </c>
      <c r="L293" s="61" t="s">
        <v>16</v>
      </c>
      <c r="M293" s="51">
        <f t="shared" ref="M293" si="231">INDEX(itemGPerQty, MATCH(K293, itemNames, 0))</f>
        <v>0</v>
      </c>
      <c r="N293" s="51">
        <f t="shared" ref="N293" si="232">INDEX(itemMlPerQty, MATCH(K293, itemNames, 0))</f>
        <v>0</v>
      </c>
      <c r="O293" s="51">
        <f t="shared" ref="O293" si="233">IF(J293 = "", I293 * M293, IF(ISNA(CONVERT(I293, J293, "kg")), CONVERT(I293, J293, "l") * IF(N293 &lt;&gt; 0, M293 / N293, 0), CONVERT(I293, J293, "kg")))</f>
        <v>0</v>
      </c>
      <c r="P293" s="51">
        <f t="shared" ref="P293" si="234">IF(J293 = "", I293 * N293, IF(ISNA(CONVERT(I293, J293, "l")), CONVERT(I293, J293, "kg") * IF(M293 &lt;&gt; 0, N293 / M293, 0), CONVERT(I293, J293, "l")))</f>
        <v>0.47317647299999999</v>
      </c>
      <c r="Q293" s="51">
        <f>MROUND(IF(AND(J293 = "", L293 = ""), I293 * recipe12DayScale, IF(ISNA(CONVERT(O293, "kg", L293)), CONVERT(P293 * recipe12DayScale, "l", L293), CONVERT(O293 * recipe12DayScale, "kg", L293))), roundTo)</f>
        <v>2</v>
      </c>
      <c r="R293" s="52">
        <f>recipe12TotScale * IF(L293 = "", Q293 * M293, IF(ISNA(CONVERT(Q293, L293, "kg")), CONVERT(Q293, L293, "l") * IF(N293 &lt;&gt; 0, M293 / N293, 0), CONVERT(Q293, L293, "kg")))</f>
        <v>0</v>
      </c>
      <c r="S293" s="52">
        <f>recipe12TotScale * IF(R293 = 0, IF(L293 = "", Q293 * N293, IF(ISNA(CONVERT(Q293, L293, "l")), CONVERT(Q293, L293, "kg") * IF(M293 &lt;&gt; 0, N293 / M293, 0), CONVERT(Q293, L293, "l"))), 0)</f>
        <v>0.47317647299999999</v>
      </c>
      <c r="T293" s="51">
        <f>recipe12TotScale * IF(AND(R293 = 0, S293 = 0, J293 = "", L293 = ""), Q293, 0)</f>
        <v>0</v>
      </c>
      <c r="V293" s="48" t="b">
        <f>INDEX(itemPrepMethods, MATCH(K293, itemNames, 0))="chop"</f>
        <v>0</v>
      </c>
      <c r="W293" s="62" t="str">
        <f>IF(V293, Q293, "")</f>
        <v/>
      </c>
      <c r="X293" s="63" t="str">
        <f>IF(V293, IF(L293 = "", "", L293), "")</f>
        <v/>
      </c>
      <c r="Y293" s="63" t="str">
        <f>IF(V293, K293, "")</f>
        <v/>
      </c>
      <c r="Z293" s="64"/>
      <c r="AA293" s="48" t="b">
        <f>INDEX(itemPrepMethods, MATCH(K293, itemNames, 0))="soak"</f>
        <v>0</v>
      </c>
      <c r="AB293" s="63" t="str">
        <f>IF(AA293, Q293, "")</f>
        <v/>
      </c>
      <c r="AC293" s="63" t="str">
        <f>IF(AA293, IF(L293 = "", "", L293), "")</f>
        <v/>
      </c>
      <c r="AD293" s="63" t="str">
        <f>IF(AA293, K293, "")</f>
        <v/>
      </c>
    </row>
    <row r="294" spans="1:30" x14ac:dyDescent="0.25">
      <c r="A294" s="110"/>
      <c r="B294" s="110"/>
      <c r="C294" s="110"/>
      <c r="D294" s="110"/>
      <c r="I294" s="51"/>
      <c r="W294" s="73"/>
      <c r="X294" s="73"/>
      <c r="Y294" s="73"/>
      <c r="Z294" s="73"/>
      <c r="AA294" s="73"/>
      <c r="AB294" s="73"/>
      <c r="AC294" s="73"/>
      <c r="AD294" s="73"/>
    </row>
    <row r="295" spans="1:30" x14ac:dyDescent="0.25">
      <c r="A295" s="110" t="s">
        <v>303</v>
      </c>
      <c r="B295" s="110"/>
      <c r="C295" s="110"/>
      <c r="D295" s="110"/>
      <c r="E295" s="47"/>
      <c r="F295" s="65"/>
      <c r="G295" s="65"/>
      <c r="H295" s="51"/>
      <c r="W295" s="73"/>
      <c r="X295" s="73"/>
      <c r="Y295" s="73"/>
      <c r="Z295" s="73"/>
      <c r="AA295" s="73"/>
      <c r="AB295" s="73"/>
      <c r="AC295" s="73"/>
      <c r="AD295" s="73"/>
    </row>
    <row r="296" spans="1:30" x14ac:dyDescent="0.25">
      <c r="A296" s="110"/>
      <c r="B296" s="110"/>
      <c r="C296" s="110"/>
      <c r="D296" s="110"/>
      <c r="I296" s="51"/>
      <c r="W296" s="73"/>
      <c r="X296" s="73"/>
      <c r="Y296" s="73"/>
      <c r="Z296" s="73"/>
      <c r="AA296" s="73"/>
      <c r="AB296" s="73"/>
      <c r="AC296" s="73"/>
      <c r="AD296" s="73"/>
    </row>
    <row r="297" spans="1:30" x14ac:dyDescent="0.25">
      <c r="A297" s="110" t="s">
        <v>304</v>
      </c>
      <c r="B297" s="110"/>
      <c r="C297" s="110"/>
      <c r="D297" s="110"/>
      <c r="E297" s="47"/>
      <c r="F297" s="65"/>
      <c r="G297" s="65"/>
      <c r="H297" s="51"/>
    </row>
    <row r="298" spans="1:30" ht="15.75" x14ac:dyDescent="0.25">
      <c r="A298" s="111" t="s">
        <v>34</v>
      </c>
      <c r="B298" s="111"/>
      <c r="C298" s="111"/>
      <c r="D298" s="111"/>
      <c r="E298" s="47" t="s">
        <v>143</v>
      </c>
      <c r="F298" s="112" t="s">
        <v>158</v>
      </c>
      <c r="G298" s="112"/>
    </row>
    <row r="299" spans="1:30" ht="24" x14ac:dyDescent="0.2">
      <c r="A299" s="111" t="s">
        <v>41</v>
      </c>
      <c r="B299" s="111"/>
      <c r="C299" s="111"/>
      <c r="D299" s="111"/>
      <c r="E299" s="46" t="s">
        <v>59</v>
      </c>
      <c r="F299" s="97">
        <v>15</v>
      </c>
      <c r="G299" s="51"/>
      <c r="I299" s="76" t="s">
        <v>57</v>
      </c>
      <c r="J299" s="77" t="s">
        <v>58</v>
      </c>
      <c r="K299" s="77" t="s">
        <v>17</v>
      </c>
      <c r="L299" s="78" t="s">
        <v>56</v>
      </c>
      <c r="M299" s="76" t="s">
        <v>151</v>
      </c>
      <c r="N299" s="76" t="s">
        <v>152</v>
      </c>
      <c r="O299" s="76" t="s">
        <v>153</v>
      </c>
      <c r="P299" s="76" t="s">
        <v>154</v>
      </c>
      <c r="Q299" s="77" t="s">
        <v>374</v>
      </c>
      <c r="R299" s="79" t="s">
        <v>375</v>
      </c>
      <c r="S299" s="79" t="s">
        <v>376</v>
      </c>
      <c r="T299" s="76" t="s">
        <v>377</v>
      </c>
      <c r="U299" s="77" t="s">
        <v>22</v>
      </c>
      <c r="V299" s="77" t="s">
        <v>218</v>
      </c>
      <c r="W299" s="80" t="s">
        <v>374</v>
      </c>
      <c r="X299" s="77" t="s">
        <v>216</v>
      </c>
      <c r="Y299" s="77" t="s">
        <v>217</v>
      </c>
      <c r="Z299" s="77" t="s">
        <v>321</v>
      </c>
      <c r="AA299" s="77" t="s">
        <v>219</v>
      </c>
      <c r="AB299" s="80" t="s">
        <v>374</v>
      </c>
      <c r="AC299" s="77" t="s">
        <v>220</v>
      </c>
      <c r="AD299" s="77" t="s">
        <v>221</v>
      </c>
    </row>
    <row r="300" spans="1:30" ht="16.5" thickBot="1" x14ac:dyDescent="0.3">
      <c r="A300" s="113"/>
      <c r="B300" s="113"/>
      <c r="C300" s="113"/>
      <c r="D300" s="113"/>
      <c r="E300" s="72" t="s">
        <v>369</v>
      </c>
      <c r="F300" s="97">
        <f>weDiCount</f>
        <v>10</v>
      </c>
      <c r="G300" s="51"/>
      <c r="I300" s="68"/>
      <c r="J300" s="46"/>
      <c r="K300" s="46"/>
      <c r="L300" s="69"/>
      <c r="M300" s="68"/>
      <c r="N300" s="68"/>
      <c r="O300" s="68"/>
      <c r="P300" s="68"/>
      <c r="Q300" s="46"/>
      <c r="R300" s="70"/>
      <c r="S300" s="70"/>
      <c r="T300" s="68"/>
      <c r="U300" s="46"/>
    </row>
    <row r="301" spans="1:30" ht="15.75" thickBot="1" x14ac:dyDescent="0.3">
      <c r="A301" s="110" t="s">
        <v>173</v>
      </c>
      <c r="B301" s="110"/>
      <c r="C301" s="110"/>
      <c r="D301" s="110"/>
      <c r="E301" s="72" t="s">
        <v>372</v>
      </c>
      <c r="F301" s="55">
        <f>F300/F299</f>
        <v>0.66666666666666663</v>
      </c>
      <c r="G301" s="56" t="s">
        <v>398</v>
      </c>
      <c r="I301" s="51"/>
    </row>
    <row r="302" spans="1:30" x14ac:dyDescent="0.25">
      <c r="A302" s="110"/>
      <c r="B302" s="110"/>
      <c r="C302" s="110"/>
      <c r="D302" s="110"/>
      <c r="E302" s="73"/>
      <c r="F302" s="73"/>
      <c r="G302" s="73"/>
      <c r="I302" s="51"/>
    </row>
    <row r="303" spans="1:30" ht="15.75" thickBot="1" x14ac:dyDescent="0.3">
      <c r="A303" s="110" t="s">
        <v>305</v>
      </c>
      <c r="B303" s="110"/>
      <c r="C303" s="110"/>
      <c r="D303" s="110"/>
      <c r="E303" s="72" t="s">
        <v>348</v>
      </c>
      <c r="F303" s="97">
        <f>weDiCount</f>
        <v>10</v>
      </c>
      <c r="G303" s="73"/>
      <c r="I303" s="51"/>
    </row>
    <row r="304" spans="1:30" ht="15.75" thickBot="1" x14ac:dyDescent="0.3">
      <c r="A304" s="44" t="s">
        <v>21</v>
      </c>
      <c r="B304" s="57">
        <f>Q304</f>
        <v>6</v>
      </c>
      <c r="C304" s="43" t="str">
        <f>IF(L304="","",L304)</f>
        <v/>
      </c>
      <c r="D304" s="44" t="str">
        <f>_xlfn.CONCAT(K304, U304)</f>
        <v>garlic cloves. Remove from oil once cooked</v>
      </c>
      <c r="E304" s="72" t="s">
        <v>373</v>
      </c>
      <c r="F304" s="55">
        <f>F303/F300</f>
        <v>1</v>
      </c>
      <c r="G304" s="56" t="s">
        <v>399</v>
      </c>
      <c r="I304" s="67">
        <v>9</v>
      </c>
      <c r="J304" s="60"/>
      <c r="K304" s="60" t="s">
        <v>8</v>
      </c>
      <c r="L304" s="61"/>
      <c r="M304" s="51">
        <f>INDEX(itemGPerQty, MATCH(K304, itemNames, 0))</f>
        <v>0</v>
      </c>
      <c r="N304" s="51">
        <f>INDEX(itemMlPerQty, MATCH(K304, itemNames, 0))</f>
        <v>0</v>
      </c>
      <c r="O304" s="51">
        <f>IF(J304 = "", I304 * M304, IF(ISNA(CONVERT(I304, J304, "kg")), CONVERT(I304, J304, "l") * IF(N304 &lt;&gt; 0, M304 / N304, 0), CONVERT(I304, J304, "kg")))</f>
        <v>0</v>
      </c>
      <c r="P304" s="51">
        <f>IF(J304 = "", I304 * N304, IF(ISNA(CONVERT(I304, J304, "l")), CONVERT(I304, J304, "kg") * IF(M304 &lt;&gt; 0, N304 / M304, 0), CONVERT(I304, J304, "l")))</f>
        <v>0</v>
      </c>
      <c r="Q304" s="51">
        <f>MROUND(IF(AND(J304 = "", L304 = ""), I304 * recipe09DayScale, IF(ISNA(CONVERT(O304, "kg", L304)), CONVERT(P304 * recipe09DayScale, "l", L304), CONVERT(O304 * recipe09DayScale, "kg", L304))), roundTo)</f>
        <v>6</v>
      </c>
      <c r="R304" s="52">
        <f>recipe09TotScale * IF(L304 = "", Q304 * M304, IF(ISNA(CONVERT(Q304, L304, "kg")), CONVERT(Q304, L304, "l") * IF(N304 &lt;&gt; 0, M304 / N304, 0), CONVERT(Q304, L304, "kg")))</f>
        <v>0</v>
      </c>
      <c r="S304" s="52">
        <f>recipe09TotScale * IF(R304 = 0, IF(L304 = "", Q304 * N304, IF(ISNA(CONVERT(Q304, L304, "l")), CONVERT(Q304, L304, "kg") * IF(M304 &lt;&gt; 0, N304 / M304, 0), CONVERT(Q304, L304, "l"))), 0)</f>
        <v>0</v>
      </c>
      <c r="T304" s="51">
        <f>recipe09TotScale * IF(AND(R304 = 0, S304 = 0, J304 = "", L304 = ""), Q304, 0)</f>
        <v>6</v>
      </c>
      <c r="U304" s="48" t="s">
        <v>249</v>
      </c>
      <c r="V304" s="48" t="b">
        <f>INDEX(itemPrepMethods, MATCH(K304, itemNames, 0))="chop"</f>
        <v>0</v>
      </c>
      <c r="W304" s="62" t="str">
        <f>IF(V304, Q304, "")</f>
        <v/>
      </c>
      <c r="X304" s="63" t="str">
        <f>IF(V304, IF(L304 = "", "", L304), "")</f>
        <v/>
      </c>
      <c r="Y304" s="63" t="str">
        <f>IF(V304, K304, "")</f>
        <v/>
      </c>
      <c r="Z304" s="64"/>
      <c r="AA304" s="48" t="b">
        <f>INDEX(itemPrepMethods, MATCH(K304, itemNames, 0))="soak"</f>
        <v>0</v>
      </c>
      <c r="AB304" s="63" t="str">
        <f>IF(AA304, Q304, "")</f>
        <v/>
      </c>
      <c r="AC304" s="63" t="str">
        <f>IF(AA304, IF(L304 = "", "", L304), "")</f>
        <v/>
      </c>
      <c r="AD304" s="63" t="str">
        <f>IF(AA304, K304, "")</f>
        <v/>
      </c>
    </row>
    <row r="305" spans="1:30" x14ac:dyDescent="0.25">
      <c r="A305" s="110"/>
      <c r="B305" s="110"/>
      <c r="C305" s="110"/>
      <c r="D305" s="110"/>
      <c r="E305" s="46"/>
      <c r="F305" s="51"/>
      <c r="G305" s="51"/>
      <c r="I305" s="51"/>
      <c r="W305" s="81"/>
      <c r="X305" s="82"/>
      <c r="Y305" s="82"/>
      <c r="Z305" s="83"/>
      <c r="AA305" s="73"/>
      <c r="AB305" s="81"/>
      <c r="AC305" s="81"/>
      <c r="AD305" s="81"/>
    </row>
    <row r="306" spans="1:30" x14ac:dyDescent="0.25">
      <c r="A306" s="110" t="s">
        <v>306</v>
      </c>
      <c r="B306" s="110"/>
      <c r="C306" s="110"/>
      <c r="D306" s="110"/>
      <c r="I306" s="51"/>
      <c r="W306" s="81"/>
      <c r="X306" s="82"/>
      <c r="Y306" s="82"/>
      <c r="Z306" s="83"/>
      <c r="AA306" s="73"/>
      <c r="AB306" s="81"/>
      <c r="AC306" s="81"/>
      <c r="AD306" s="81"/>
    </row>
    <row r="307" spans="1:30" x14ac:dyDescent="0.25">
      <c r="A307" s="44" t="s">
        <v>21</v>
      </c>
      <c r="B307" s="57">
        <f t="shared" ref="B307:B311" si="235">Q307</f>
        <v>5.25</v>
      </c>
      <c r="C307" s="43" t="str">
        <f t="shared" ref="C307:C314" si="236">IF(L307="","",L307)</f>
        <v>tbs</v>
      </c>
      <c r="D307" s="44" t="str">
        <f t="shared" ref="D307:D314" si="237">_xlfn.CONCAT(K307, U307)</f>
        <v>oil</v>
      </c>
      <c r="I307" s="67">
        <v>8</v>
      </c>
      <c r="J307" s="60" t="s">
        <v>15</v>
      </c>
      <c r="K307" s="60" t="s">
        <v>46</v>
      </c>
      <c r="L307" s="61" t="s">
        <v>15</v>
      </c>
      <c r="M307" s="51">
        <f t="shared" ref="M307:M314" si="238">INDEX(itemGPerQty, MATCH(K307, itemNames, 0))</f>
        <v>0</v>
      </c>
      <c r="N307" s="51">
        <f t="shared" ref="N307:N314" si="239">INDEX(itemMlPerQty, MATCH(K307, itemNames, 0))</f>
        <v>0</v>
      </c>
      <c r="O307" s="51">
        <f t="shared" ref="O307:O314" si="240">IF(J307 = "", I307 * M307, IF(ISNA(CONVERT(I307, J307, "kg")), CONVERT(I307, J307, "l") * IF(N307 &lt;&gt; 0, M307 / N307, 0), CONVERT(I307, J307, "kg")))</f>
        <v>0</v>
      </c>
      <c r="P307" s="51">
        <f t="shared" ref="P307:P314" si="241">IF(J307 = "", I307 * N307, IF(ISNA(CONVERT(I307, J307, "l")), CONVERT(I307, J307, "kg") * IF(M307 &lt;&gt; 0, N307 / M307, 0), CONVERT(I307, J307, "l")))</f>
        <v>0.11829411825</v>
      </c>
      <c r="Q307" s="51">
        <f t="shared" ref="Q307:Q314" si="242">MROUND(IF(AND(J307 = "", L307 = ""), I307 * recipe09DayScale, IF(ISNA(CONVERT(O307, "kg", L307)), CONVERT(P307 * recipe09DayScale, "l", L307), CONVERT(O307 * recipe09DayScale, "kg", L307))), roundTo)</f>
        <v>5.25</v>
      </c>
      <c r="R307" s="52">
        <f t="shared" ref="R307:R314" si="243">recipe09TotScale * IF(L307 = "", Q307 * M307, IF(ISNA(CONVERT(Q307, L307, "kg")), CONVERT(Q307, L307, "l") * IF(N307 &lt;&gt; 0, M307 / N307, 0), CONVERT(Q307, L307, "kg")))</f>
        <v>0</v>
      </c>
      <c r="S307" s="52">
        <f t="shared" ref="S307:S314" si="244">recipe09TotScale * IF(R307 = 0, IF(L307 = "", Q307 * N307, IF(ISNA(CONVERT(Q307, L307, "l")), CONVERT(Q307, L307, "kg") * IF(M307 &lt;&gt; 0, N307 / M307, 0), CONVERT(Q307, L307, "l"))), 0)</f>
        <v>7.7630515101562492E-2</v>
      </c>
      <c r="T307" s="51">
        <f t="shared" ref="T307:T314" si="245">recipe09TotScale * IF(AND(R307 = 0, S307 = 0, J307 = "", L307 = ""), Q307, 0)</f>
        <v>0</v>
      </c>
      <c r="V307" s="48" t="b">
        <f t="shared" ref="V307:V314" si="246">INDEX(itemPrepMethods, MATCH(K307, itemNames, 0))="chop"</f>
        <v>0</v>
      </c>
      <c r="W307" s="62" t="str">
        <f t="shared" ref="W307:W314" si="247">IF(V307, Q307, "")</f>
        <v/>
      </c>
      <c r="X307" s="63" t="str">
        <f t="shared" ref="X307:X314" si="248">IF(V307, IF(L307 = "", "", L307), "")</f>
        <v/>
      </c>
      <c r="Y307" s="63" t="str">
        <f t="shared" ref="Y307:Y314" si="249">IF(V307, K307, "")</f>
        <v/>
      </c>
      <c r="Z307" s="64"/>
      <c r="AA307" s="48" t="b">
        <f t="shared" ref="AA307:AA314" si="250">INDEX(itemPrepMethods, MATCH(K307, itemNames, 0))="soak"</f>
        <v>0</v>
      </c>
      <c r="AB307" s="63" t="str">
        <f t="shared" ref="AB307:AB314" si="251">IF(AA307, Q307, "")</f>
        <v/>
      </c>
      <c r="AC307" s="63" t="str">
        <f t="shared" ref="AC307:AC314" si="252">IF(AA307, IF(L307 = "", "", L307), "")</f>
        <v/>
      </c>
      <c r="AD307" s="63" t="str">
        <f t="shared" ref="AD307:AD314" si="253">IF(AA307, K307, "")</f>
        <v/>
      </c>
    </row>
    <row r="308" spans="1:30" x14ac:dyDescent="0.25">
      <c r="A308" s="44" t="s">
        <v>21</v>
      </c>
      <c r="B308" s="57">
        <f t="shared" si="235"/>
        <v>4</v>
      </c>
      <c r="C308" s="43" t="str">
        <f t="shared" si="236"/>
        <v>tbs</v>
      </c>
      <c r="D308" s="44" t="str">
        <f t="shared" si="237"/>
        <v>minced fresh ginger</v>
      </c>
      <c r="I308" s="67">
        <v>6</v>
      </c>
      <c r="J308" s="60" t="s">
        <v>15</v>
      </c>
      <c r="K308" s="60" t="s">
        <v>237</v>
      </c>
      <c r="L308" s="61" t="s">
        <v>15</v>
      </c>
      <c r="M308" s="51">
        <f t="shared" si="238"/>
        <v>0</v>
      </c>
      <c r="N308" s="51">
        <f t="shared" si="239"/>
        <v>0</v>
      </c>
      <c r="O308" s="51">
        <f t="shared" si="240"/>
        <v>0</v>
      </c>
      <c r="P308" s="51">
        <f t="shared" si="241"/>
        <v>8.872058868749999E-2</v>
      </c>
      <c r="Q308" s="51">
        <f t="shared" si="242"/>
        <v>4</v>
      </c>
      <c r="R308" s="52">
        <f t="shared" si="243"/>
        <v>0</v>
      </c>
      <c r="S308" s="52">
        <f t="shared" si="244"/>
        <v>5.9147059124999998E-2</v>
      </c>
      <c r="T308" s="51">
        <f t="shared" si="245"/>
        <v>0</v>
      </c>
      <c r="V308" s="48" t="b">
        <f t="shared" si="246"/>
        <v>1</v>
      </c>
      <c r="W308" s="62">
        <f t="shared" si="247"/>
        <v>4</v>
      </c>
      <c r="X308" s="63" t="str">
        <f t="shared" si="248"/>
        <v>tbs</v>
      </c>
      <c r="Y308" s="63" t="str">
        <f t="shared" si="249"/>
        <v>minced fresh ginger</v>
      </c>
      <c r="Z308" s="64"/>
      <c r="AA308" s="48" t="b">
        <f t="shared" si="250"/>
        <v>0</v>
      </c>
      <c r="AB308" s="63" t="str">
        <f t="shared" si="251"/>
        <v/>
      </c>
      <c r="AC308" s="63" t="str">
        <f t="shared" si="252"/>
        <v/>
      </c>
      <c r="AD308" s="63" t="str">
        <f t="shared" si="253"/>
        <v/>
      </c>
    </row>
    <row r="309" spans="1:30" x14ac:dyDescent="0.25">
      <c r="A309" s="44" t="s">
        <v>21</v>
      </c>
      <c r="B309" s="57">
        <f t="shared" si="235"/>
        <v>7.25</v>
      </c>
      <c r="C309" s="43" t="str">
        <f t="shared" si="236"/>
        <v/>
      </c>
      <c r="D309" s="44" t="str">
        <f t="shared" si="237"/>
        <v>chopped celery stalks</v>
      </c>
      <c r="I309" s="67">
        <v>11</v>
      </c>
      <c r="J309" s="60"/>
      <c r="K309" s="60" t="s">
        <v>160</v>
      </c>
      <c r="L309" s="61"/>
      <c r="M309" s="51">
        <f t="shared" si="238"/>
        <v>0</v>
      </c>
      <c r="N309" s="51">
        <f t="shared" si="239"/>
        <v>0</v>
      </c>
      <c r="O309" s="51">
        <f t="shared" si="240"/>
        <v>0</v>
      </c>
      <c r="P309" s="51">
        <f t="shared" si="241"/>
        <v>0</v>
      </c>
      <c r="Q309" s="51">
        <f t="shared" si="242"/>
        <v>7.25</v>
      </c>
      <c r="R309" s="52">
        <f t="shared" si="243"/>
        <v>0</v>
      </c>
      <c r="S309" s="52">
        <f t="shared" si="244"/>
        <v>0</v>
      </c>
      <c r="T309" s="51">
        <f t="shared" si="245"/>
        <v>7.25</v>
      </c>
      <c r="V309" s="48" t="b">
        <f t="shared" si="246"/>
        <v>1</v>
      </c>
      <c r="W309" s="62">
        <f t="shared" si="247"/>
        <v>7.25</v>
      </c>
      <c r="X309" s="63" t="str">
        <f t="shared" si="248"/>
        <v/>
      </c>
      <c r="Y309" s="63" t="str">
        <f t="shared" si="249"/>
        <v>chopped celery stalks</v>
      </c>
      <c r="Z309" s="64"/>
      <c r="AA309" s="48" t="b">
        <f t="shared" si="250"/>
        <v>0</v>
      </c>
      <c r="AB309" s="63" t="str">
        <f t="shared" si="251"/>
        <v/>
      </c>
      <c r="AC309" s="63" t="str">
        <f t="shared" si="252"/>
        <v/>
      </c>
      <c r="AD309" s="63" t="str">
        <f t="shared" si="253"/>
        <v/>
      </c>
    </row>
    <row r="310" spans="1:30" x14ac:dyDescent="0.25">
      <c r="A310" s="44" t="s">
        <v>21</v>
      </c>
      <c r="B310" s="57">
        <f t="shared" si="235"/>
        <v>0.75</v>
      </c>
      <c r="C310" s="43" t="str">
        <f t="shared" si="236"/>
        <v>tbs</v>
      </c>
      <c r="D310" s="44" t="str">
        <f t="shared" si="237"/>
        <v>curry powder</v>
      </c>
      <c r="I310" s="67">
        <v>1</v>
      </c>
      <c r="J310" s="60" t="s">
        <v>15</v>
      </c>
      <c r="K310" s="60" t="s">
        <v>9</v>
      </c>
      <c r="L310" s="61" t="s">
        <v>15</v>
      </c>
      <c r="M310" s="51">
        <f t="shared" si="238"/>
        <v>1.2E-2</v>
      </c>
      <c r="N310" s="51">
        <f t="shared" si="239"/>
        <v>2.2180100000000001E-2</v>
      </c>
      <c r="O310" s="51">
        <f t="shared" si="240"/>
        <v>8.0000170141252738E-3</v>
      </c>
      <c r="P310" s="51">
        <f t="shared" si="241"/>
        <v>1.478676478125E-2</v>
      </c>
      <c r="Q310" s="51">
        <f t="shared" si="242"/>
        <v>0.75</v>
      </c>
      <c r="R310" s="52">
        <f t="shared" si="243"/>
        <v>6.0000127605939558E-3</v>
      </c>
      <c r="S310" s="52">
        <f t="shared" si="244"/>
        <v>0</v>
      </c>
      <c r="T310" s="51">
        <f t="shared" si="245"/>
        <v>0</v>
      </c>
      <c r="V310" s="48" t="b">
        <f t="shared" si="246"/>
        <v>0</v>
      </c>
      <c r="W310" s="62" t="str">
        <f t="shared" si="247"/>
        <v/>
      </c>
      <c r="X310" s="63" t="str">
        <f t="shared" si="248"/>
        <v/>
      </c>
      <c r="Y310" s="63" t="str">
        <f t="shared" si="249"/>
        <v/>
      </c>
      <c r="Z310" s="64"/>
      <c r="AA310" s="48" t="b">
        <f t="shared" si="250"/>
        <v>0</v>
      </c>
      <c r="AB310" s="63" t="str">
        <f t="shared" si="251"/>
        <v/>
      </c>
      <c r="AC310" s="63" t="str">
        <f t="shared" si="252"/>
        <v/>
      </c>
      <c r="AD310" s="63" t="str">
        <f t="shared" si="253"/>
        <v/>
      </c>
    </row>
    <row r="311" spans="1:30" x14ac:dyDescent="0.25">
      <c r="A311" s="44" t="s">
        <v>21</v>
      </c>
      <c r="B311" s="57">
        <f t="shared" si="235"/>
        <v>1.25</v>
      </c>
      <c r="C311" s="43" t="str">
        <f t="shared" si="236"/>
        <v>tbs</v>
      </c>
      <c r="D311" s="44" t="str">
        <f t="shared" si="237"/>
        <v>ground cumin</v>
      </c>
      <c r="I311" s="67">
        <v>2</v>
      </c>
      <c r="J311" s="60" t="s">
        <v>15</v>
      </c>
      <c r="K311" s="60" t="s">
        <v>14</v>
      </c>
      <c r="L311" s="61" t="s">
        <v>15</v>
      </c>
      <c r="M311" s="51">
        <f t="shared" si="238"/>
        <v>1.0999999999999999E-2</v>
      </c>
      <c r="N311" s="51">
        <f t="shared" si="239"/>
        <v>2.2180100000000001E-2</v>
      </c>
      <c r="O311" s="51">
        <f t="shared" si="240"/>
        <v>1.4666697859229668E-2</v>
      </c>
      <c r="P311" s="51">
        <f t="shared" si="241"/>
        <v>2.9573529562499999E-2</v>
      </c>
      <c r="Q311" s="51">
        <f t="shared" si="242"/>
        <v>1.25</v>
      </c>
      <c r="R311" s="52">
        <f t="shared" si="243"/>
        <v>9.166686162018543E-3</v>
      </c>
      <c r="S311" s="52">
        <f t="shared" si="244"/>
        <v>0</v>
      </c>
      <c r="T311" s="51">
        <f t="shared" si="245"/>
        <v>0</v>
      </c>
      <c r="V311" s="48" t="b">
        <f t="shared" si="246"/>
        <v>0</v>
      </c>
      <c r="W311" s="62" t="str">
        <f t="shared" si="247"/>
        <v/>
      </c>
      <c r="X311" s="63" t="str">
        <f t="shared" si="248"/>
        <v/>
      </c>
      <c r="Y311" s="63" t="str">
        <f t="shared" si="249"/>
        <v/>
      </c>
      <c r="Z311" s="64"/>
      <c r="AA311" s="48" t="b">
        <f t="shared" si="250"/>
        <v>0</v>
      </c>
      <c r="AB311" s="63" t="str">
        <f t="shared" si="251"/>
        <v/>
      </c>
      <c r="AC311" s="63" t="str">
        <f t="shared" si="252"/>
        <v/>
      </c>
      <c r="AD311" s="63" t="str">
        <f t="shared" si="253"/>
        <v/>
      </c>
    </row>
    <row r="312" spans="1:30" x14ac:dyDescent="0.25">
      <c r="A312" s="44" t="s">
        <v>21</v>
      </c>
      <c r="B312" s="57">
        <f t="shared" ref="B312" si="254">Q312</f>
        <v>1.25</v>
      </c>
      <c r="C312" s="43" t="str">
        <f t="shared" si="236"/>
        <v>tbs</v>
      </c>
      <c r="D312" s="44" t="str">
        <f t="shared" si="237"/>
        <v>ground corriander</v>
      </c>
      <c r="I312" s="67">
        <v>2</v>
      </c>
      <c r="J312" s="60" t="s">
        <v>15</v>
      </c>
      <c r="K312" s="60" t="s">
        <v>161</v>
      </c>
      <c r="L312" s="61" t="s">
        <v>15</v>
      </c>
      <c r="M312" s="51">
        <f t="shared" si="238"/>
        <v>0</v>
      </c>
      <c r="N312" s="51">
        <f t="shared" si="239"/>
        <v>0</v>
      </c>
      <c r="O312" s="51">
        <f t="shared" si="240"/>
        <v>0</v>
      </c>
      <c r="P312" s="51">
        <f t="shared" si="241"/>
        <v>2.9573529562499999E-2</v>
      </c>
      <c r="Q312" s="51">
        <f t="shared" si="242"/>
        <v>1.25</v>
      </c>
      <c r="R312" s="52">
        <f t="shared" si="243"/>
        <v>0</v>
      </c>
      <c r="S312" s="52">
        <f t="shared" si="244"/>
        <v>1.84834559765625E-2</v>
      </c>
      <c r="T312" s="51">
        <f t="shared" si="245"/>
        <v>0</v>
      </c>
      <c r="V312" s="48" t="b">
        <f t="shared" si="246"/>
        <v>0</v>
      </c>
      <c r="W312" s="62" t="str">
        <f t="shared" si="247"/>
        <v/>
      </c>
      <c r="X312" s="63" t="str">
        <f t="shared" si="248"/>
        <v/>
      </c>
      <c r="Y312" s="63" t="str">
        <f t="shared" si="249"/>
        <v/>
      </c>
      <c r="Z312" s="64"/>
      <c r="AA312" s="48" t="b">
        <f t="shared" si="250"/>
        <v>0</v>
      </c>
      <c r="AB312" s="63" t="str">
        <f t="shared" si="251"/>
        <v/>
      </c>
      <c r="AC312" s="63" t="str">
        <f t="shared" si="252"/>
        <v/>
      </c>
      <c r="AD312" s="63" t="str">
        <f t="shared" si="253"/>
        <v/>
      </c>
    </row>
    <row r="313" spans="1:30" x14ac:dyDescent="0.25">
      <c r="A313" s="44" t="s">
        <v>21</v>
      </c>
      <c r="B313" s="57">
        <f t="shared" ref="B313:B314" si="255">Q313</f>
        <v>2.75</v>
      </c>
      <c r="C313" s="43" t="str">
        <f t="shared" si="236"/>
        <v>tbs</v>
      </c>
      <c r="D313" s="44" t="str">
        <f t="shared" si="237"/>
        <v>ground turmeric</v>
      </c>
      <c r="I313" s="67">
        <v>4</v>
      </c>
      <c r="J313" s="60" t="s">
        <v>15</v>
      </c>
      <c r="K313" s="60" t="s">
        <v>326</v>
      </c>
      <c r="L313" s="61" t="s">
        <v>15</v>
      </c>
      <c r="M313" s="51">
        <f t="shared" si="238"/>
        <v>1.4E-2</v>
      </c>
      <c r="N313" s="51">
        <f t="shared" si="239"/>
        <v>2.2180100000000001E-2</v>
      </c>
      <c r="O313" s="51">
        <f t="shared" si="240"/>
        <v>3.7333412732584614E-2</v>
      </c>
      <c r="P313" s="51">
        <f t="shared" si="241"/>
        <v>5.9147059124999998E-2</v>
      </c>
      <c r="Q313" s="51">
        <f t="shared" si="242"/>
        <v>2.75</v>
      </c>
      <c r="R313" s="52">
        <f t="shared" si="243"/>
        <v>2.5666721253651922E-2</v>
      </c>
      <c r="S313" s="52">
        <f t="shared" si="244"/>
        <v>0</v>
      </c>
      <c r="T313" s="51">
        <f t="shared" si="245"/>
        <v>0</v>
      </c>
      <c r="V313" s="48" t="b">
        <f t="shared" si="246"/>
        <v>0</v>
      </c>
      <c r="W313" s="62" t="str">
        <f t="shared" si="247"/>
        <v/>
      </c>
      <c r="X313" s="63" t="str">
        <f t="shared" si="248"/>
        <v/>
      </c>
      <c r="Y313" s="63" t="str">
        <f t="shared" si="249"/>
        <v/>
      </c>
      <c r="Z313" s="64"/>
      <c r="AA313" s="48" t="b">
        <f t="shared" si="250"/>
        <v>0</v>
      </c>
      <c r="AB313" s="63" t="str">
        <f t="shared" si="251"/>
        <v/>
      </c>
      <c r="AC313" s="63" t="str">
        <f t="shared" si="252"/>
        <v/>
      </c>
      <c r="AD313" s="63" t="str">
        <f t="shared" si="253"/>
        <v/>
      </c>
    </row>
    <row r="314" spans="1:30" x14ac:dyDescent="0.25">
      <c r="A314" s="44" t="s">
        <v>21</v>
      </c>
      <c r="B314" s="57">
        <f t="shared" si="255"/>
        <v>0.5</v>
      </c>
      <c r="C314" s="43" t="str">
        <f t="shared" si="236"/>
        <v>tbs</v>
      </c>
      <c r="D314" s="44" t="str">
        <f t="shared" si="237"/>
        <v>cinnamon</v>
      </c>
      <c r="I314" s="67">
        <v>0.8</v>
      </c>
      <c r="J314" s="60" t="s">
        <v>15</v>
      </c>
      <c r="K314" s="60" t="s">
        <v>109</v>
      </c>
      <c r="L314" s="61" t="s">
        <v>15</v>
      </c>
      <c r="M314" s="51">
        <f t="shared" si="238"/>
        <v>1.0999999999999999E-2</v>
      </c>
      <c r="N314" s="51">
        <f t="shared" si="239"/>
        <v>2.2180100000000001E-2</v>
      </c>
      <c r="O314" s="51">
        <f t="shared" si="240"/>
        <v>5.8666791436918679E-3</v>
      </c>
      <c r="P314" s="51">
        <f t="shared" si="241"/>
        <v>1.1829411825E-2</v>
      </c>
      <c r="Q314" s="51">
        <f t="shared" si="242"/>
        <v>0.5</v>
      </c>
      <c r="R314" s="52">
        <f t="shared" si="243"/>
        <v>3.6666744648074169E-3</v>
      </c>
      <c r="S314" s="52">
        <f t="shared" si="244"/>
        <v>0</v>
      </c>
      <c r="T314" s="51">
        <f t="shared" si="245"/>
        <v>0</v>
      </c>
      <c r="V314" s="48" t="b">
        <f t="shared" si="246"/>
        <v>0</v>
      </c>
      <c r="W314" s="62" t="str">
        <f t="shared" si="247"/>
        <v/>
      </c>
      <c r="X314" s="63" t="str">
        <f t="shared" si="248"/>
        <v/>
      </c>
      <c r="Y314" s="63" t="str">
        <f t="shared" si="249"/>
        <v/>
      </c>
      <c r="Z314" s="64"/>
      <c r="AA314" s="48" t="b">
        <f t="shared" si="250"/>
        <v>0</v>
      </c>
      <c r="AB314" s="63" t="str">
        <f t="shared" si="251"/>
        <v/>
      </c>
      <c r="AC314" s="63" t="str">
        <f t="shared" si="252"/>
        <v/>
      </c>
      <c r="AD314" s="63" t="str">
        <f t="shared" si="253"/>
        <v/>
      </c>
    </row>
    <row r="315" spans="1:30" x14ac:dyDescent="0.25">
      <c r="A315" s="110"/>
      <c r="B315" s="110"/>
      <c r="C315" s="110"/>
      <c r="D315" s="110"/>
      <c r="I315" s="68"/>
      <c r="J315" s="65"/>
      <c r="K315" s="65"/>
      <c r="L315" s="65"/>
      <c r="M315" s="65"/>
      <c r="N315" s="65"/>
      <c r="O315" s="65"/>
      <c r="P315" s="65"/>
      <c r="W315" s="81"/>
      <c r="X315" s="82"/>
      <c r="Y315" s="82"/>
      <c r="Z315" s="83"/>
      <c r="AA315" s="73"/>
      <c r="AB315" s="81"/>
      <c r="AC315" s="81"/>
      <c r="AD315" s="81"/>
    </row>
    <row r="316" spans="1:30" x14ac:dyDescent="0.25">
      <c r="A316" s="110" t="s">
        <v>162</v>
      </c>
      <c r="B316" s="110"/>
      <c r="C316" s="110"/>
      <c r="D316" s="110"/>
      <c r="I316" s="51"/>
      <c r="L316" s="48"/>
      <c r="M316" s="48"/>
      <c r="N316" s="48"/>
      <c r="W316" s="81"/>
      <c r="X316" s="82"/>
      <c r="Y316" s="82"/>
      <c r="Z316" s="83"/>
      <c r="AA316" s="73"/>
      <c r="AB316" s="81"/>
      <c r="AC316" s="81"/>
      <c r="AD316" s="81"/>
    </row>
    <row r="317" spans="1:30" x14ac:dyDescent="0.25">
      <c r="A317" s="44" t="s">
        <v>21</v>
      </c>
      <c r="B317" s="57">
        <f t="shared" ref="B317:B319" si="256">Q317</f>
        <v>6</v>
      </c>
      <c r="C317" s="43" t="str">
        <f>IF(L317="","",L317)</f>
        <v>cup</v>
      </c>
      <c r="D317" s="44" t="str">
        <f>_xlfn.CONCAT(K317, U317)</f>
        <v>vegetable stock. This soup is thick so DON'T ADD TOO MUCH</v>
      </c>
      <c r="I317" s="67">
        <v>9</v>
      </c>
      <c r="J317" s="60" t="s">
        <v>16</v>
      </c>
      <c r="K317" s="60" t="s">
        <v>61</v>
      </c>
      <c r="L317" s="61" t="s">
        <v>16</v>
      </c>
      <c r="M317" s="51">
        <f>INDEX(itemGPerQty, MATCH(K317, itemNames, 0))</f>
        <v>0</v>
      </c>
      <c r="N317" s="51">
        <f>INDEX(itemMlPerQty, MATCH(K317, itemNames, 0))</f>
        <v>0</v>
      </c>
      <c r="O317" s="51">
        <f t="shared" ref="O317:O320" si="257">IF(J317 = "", I317 * M317, IF(ISNA(CONVERT(I317, J317, "kg")), CONVERT(I317, J317, "l") * IF(N317 &lt;&gt; 0, M317 / N317, 0), CONVERT(I317, J317, "kg")))</f>
        <v>0</v>
      </c>
      <c r="P317" s="51">
        <f t="shared" ref="P317:P320" si="258">IF(J317 = "", I317 * N317, IF(ISNA(CONVERT(I317, J317, "l")), CONVERT(I317, J317, "kg") * IF(M317 &lt;&gt; 0, N317 / M317, 0), CONVERT(I317, J317, "l")))</f>
        <v>2.1292941284999998</v>
      </c>
      <c r="Q317" s="51">
        <f>MROUND(IF(AND(J317 = "", L317 = ""), I317 * recipe09DayScale, IF(ISNA(CONVERT(O317, "kg", L317)), CONVERT(P317 * recipe09DayScale, "l", L317), CONVERT(O317 * recipe09DayScale, "kg", L317))), roundTo)</f>
        <v>6</v>
      </c>
      <c r="R317" s="52">
        <f>recipe09TotScale * IF(L317 = "", Q317 * M317, IF(ISNA(CONVERT(Q317, L317, "kg")), CONVERT(Q317, L317, "l") * IF(N317 &lt;&gt; 0, M317 / N317, 0), CONVERT(Q317, L317, "kg")))</f>
        <v>0</v>
      </c>
      <c r="S317" s="52">
        <f>recipe09TotScale * IF(R317 = 0, IF(L317 = "", Q317 * N317, IF(ISNA(CONVERT(Q317, L317, "l")), CONVERT(Q317, L317, "kg") * IF(M317 &lt;&gt; 0, N317 / M317, 0), CONVERT(Q317, L317, "l"))), 0)</f>
        <v>1.4195294189999998</v>
      </c>
      <c r="T317" s="51">
        <f>recipe09TotScale * IF(AND(R317 = 0, S317 = 0, J317 = "", L317 = ""), Q317, 0)</f>
        <v>0</v>
      </c>
      <c r="U317" s="48" t="s">
        <v>307</v>
      </c>
      <c r="V317" s="48" t="b">
        <f>INDEX(itemPrepMethods, MATCH(K317, itemNames, 0))="chop"</f>
        <v>0</v>
      </c>
      <c r="W317" s="62" t="str">
        <f>IF(V317, Q317, "")</f>
        <v/>
      </c>
      <c r="X317" s="63" t="str">
        <f>IF(V317, IF(L317 = "", "", L317), "")</f>
        <v/>
      </c>
      <c r="Y317" s="63" t="str">
        <f>IF(V317, K317, "")</f>
        <v/>
      </c>
      <c r="Z317" s="64"/>
      <c r="AA317" s="48" t="b">
        <f>INDEX(itemPrepMethods, MATCH(K317, itemNames, 0))="soak"</f>
        <v>0</v>
      </c>
      <c r="AB317" s="63" t="str">
        <f>IF(AA317, Q317, "")</f>
        <v/>
      </c>
      <c r="AC317" s="63" t="str">
        <f>IF(AA317, IF(L317 = "", "", L317), "")</f>
        <v/>
      </c>
      <c r="AD317" s="63" t="str">
        <f>IF(AA317, K317, "")</f>
        <v/>
      </c>
    </row>
    <row r="318" spans="1:30" x14ac:dyDescent="0.25">
      <c r="A318" s="44" t="s">
        <v>21</v>
      </c>
      <c r="B318" s="57">
        <f t="shared" si="256"/>
        <v>5.25</v>
      </c>
      <c r="C318" s="43" t="str">
        <f>IF(L318="","",L318)</f>
        <v/>
      </c>
      <c r="D318" s="44" t="str">
        <f>_xlfn.CONCAT(K318, U318)</f>
        <v>chopped carrots</v>
      </c>
      <c r="I318" s="67">
        <v>8</v>
      </c>
      <c r="J318" s="60"/>
      <c r="K318" s="60" t="s">
        <v>5</v>
      </c>
      <c r="L318" s="61"/>
      <c r="M318" s="51">
        <f>INDEX(itemGPerQty, MATCH(K318, itemNames, 0))</f>
        <v>0.14833333333333334</v>
      </c>
      <c r="N318" s="51">
        <f>INDEX(itemMlPerQty, MATCH(K318, itemNames, 0))</f>
        <v>0.19999999999999998</v>
      </c>
      <c r="O318" s="51">
        <f t="shared" si="257"/>
        <v>1.1866666666666668</v>
      </c>
      <c r="P318" s="51">
        <f t="shared" si="258"/>
        <v>1.5999999999999999</v>
      </c>
      <c r="Q318" s="51">
        <f>MROUND(IF(AND(J318 = "", L318 = ""), I318 * recipe09DayScale, IF(ISNA(CONVERT(O318, "kg", L318)), CONVERT(P318 * recipe09DayScale, "l", L318), CONVERT(O318 * recipe09DayScale, "kg", L318))), roundTo)</f>
        <v>5.25</v>
      </c>
      <c r="R318" s="52">
        <f>recipe09TotScale * IF(L318 = "", Q318 * M318, IF(ISNA(CONVERT(Q318, L318, "kg")), CONVERT(Q318, L318, "l") * IF(N318 &lt;&gt; 0, M318 / N318, 0), CONVERT(Q318, L318, "kg")))</f>
        <v>0.77875000000000005</v>
      </c>
      <c r="S318" s="52">
        <f>recipe09TotScale * IF(R318 = 0, IF(L318 = "", Q318 * N318, IF(ISNA(CONVERT(Q318, L318, "l")), CONVERT(Q318, L318, "kg") * IF(M318 &lt;&gt; 0, N318 / M318, 0), CONVERT(Q318, L318, "l"))), 0)</f>
        <v>0</v>
      </c>
      <c r="T318" s="51">
        <f>recipe09TotScale * IF(AND(R318 = 0, S318 = 0, J318 = "", L318 = ""), Q318, 0)</f>
        <v>0</v>
      </c>
      <c r="V318" s="48" t="b">
        <f>INDEX(itemPrepMethods, MATCH(K318, itemNames, 0))="chop"</f>
        <v>1</v>
      </c>
      <c r="W318" s="62">
        <f>IF(V318, Q318, "")</f>
        <v>5.25</v>
      </c>
      <c r="X318" s="63" t="str">
        <f>IF(V318, IF(L318 = "", "", L318), "")</f>
        <v/>
      </c>
      <c r="Y318" s="63" t="str">
        <f>IF(V318, K318, "")</f>
        <v>chopped carrots</v>
      </c>
      <c r="Z318" s="64"/>
      <c r="AA318" s="48" t="b">
        <f>INDEX(itemPrepMethods, MATCH(K318, itemNames, 0))="soak"</f>
        <v>0</v>
      </c>
      <c r="AB318" s="63" t="str">
        <f>IF(AA318, Q318, "")</f>
        <v/>
      </c>
      <c r="AC318" s="63" t="str">
        <f>IF(AA318, IF(L318 = "", "", L318), "")</f>
        <v/>
      </c>
      <c r="AD318" s="63" t="str">
        <f>IF(AA318, K318, "")</f>
        <v/>
      </c>
    </row>
    <row r="319" spans="1:30" x14ac:dyDescent="0.25">
      <c r="A319" s="44" t="s">
        <v>21</v>
      </c>
      <c r="B319" s="57">
        <f t="shared" si="256"/>
        <v>3.25</v>
      </c>
      <c r="C319" s="43" t="str">
        <f>IF(L319="","",L319)</f>
        <v/>
      </c>
      <c r="D319" s="44" t="str">
        <f>_xlfn.CONCAT(K319, U319)</f>
        <v>chopped kumara</v>
      </c>
      <c r="I319" s="67">
        <v>5</v>
      </c>
      <c r="J319" s="60"/>
      <c r="K319" s="60" t="s">
        <v>163</v>
      </c>
      <c r="L319" s="61"/>
      <c r="M319" s="51">
        <f>INDEX(itemGPerQty, MATCH(K319, itemNames, 0))</f>
        <v>0.34</v>
      </c>
      <c r="N319" s="51">
        <f>INDEX(itemMlPerQty, MATCH(K319, itemNames, 0))</f>
        <v>0</v>
      </c>
      <c r="O319" s="51">
        <f t="shared" si="257"/>
        <v>1.7000000000000002</v>
      </c>
      <c r="P319" s="51">
        <f t="shared" si="258"/>
        <v>0</v>
      </c>
      <c r="Q319" s="51">
        <f>MROUND(IF(AND(J319 = "", L319 = ""), I319 * recipe09DayScale, IF(ISNA(CONVERT(O319, "kg", L319)), CONVERT(P319 * recipe09DayScale, "l", L319), CONVERT(O319 * recipe09DayScale, "kg", L319))), roundTo)</f>
        <v>3.25</v>
      </c>
      <c r="R319" s="52">
        <f>recipe09TotScale * IF(L319 = "", Q319 * M319, IF(ISNA(CONVERT(Q319, L319, "kg")), CONVERT(Q319, L319, "l") * IF(N319 &lt;&gt; 0, M319 / N319, 0), CONVERT(Q319, L319, "kg")))</f>
        <v>1.105</v>
      </c>
      <c r="S319" s="52">
        <f>recipe09TotScale * IF(R319 = 0, IF(L319 = "", Q319 * N319, IF(ISNA(CONVERT(Q319, L319, "l")), CONVERT(Q319, L319, "kg") * IF(M319 &lt;&gt; 0, N319 / M319, 0), CONVERT(Q319, L319, "l"))), 0)</f>
        <v>0</v>
      </c>
      <c r="T319" s="51">
        <f>recipe09TotScale * IF(AND(R319 = 0, S319 = 0, J319 = "", L319 = ""), Q319, 0)</f>
        <v>0</v>
      </c>
      <c r="V319" s="48" t="b">
        <f>INDEX(itemPrepMethods, MATCH(K319, itemNames, 0))="chop"</f>
        <v>1</v>
      </c>
      <c r="W319" s="62">
        <f>IF(V319, Q319, "")</f>
        <v>3.25</v>
      </c>
      <c r="X319" s="63" t="str">
        <f>IF(V319, IF(L319 = "", "", L319), "")</f>
        <v/>
      </c>
      <c r="Y319" s="63" t="str">
        <f>IF(V319, K319, "")</f>
        <v>chopped kumara</v>
      </c>
      <c r="Z319" s="64"/>
      <c r="AA319" s="48" t="b">
        <f>INDEX(itemPrepMethods, MATCH(K319, itemNames, 0))="soak"</f>
        <v>0</v>
      </c>
      <c r="AB319" s="63" t="str">
        <f>IF(AA319, Q319, "")</f>
        <v/>
      </c>
      <c r="AC319" s="63" t="str">
        <f>IF(AA319, IF(L319 = "", "", L319), "")</f>
        <v/>
      </c>
      <c r="AD319" s="63" t="str">
        <f>IF(AA319, K319, "")</f>
        <v/>
      </c>
    </row>
    <row r="320" spans="1:30" x14ac:dyDescent="0.25">
      <c r="A320" s="44" t="s">
        <v>21</v>
      </c>
      <c r="B320" s="57">
        <f t="shared" ref="B320:B325" si="259">Q320</f>
        <v>2</v>
      </c>
      <c r="C320" s="43" t="str">
        <f>IF(L320="","",L320)</f>
        <v/>
      </c>
      <c r="D320" s="44" t="str">
        <f>_xlfn.CONCAT(K320, U320)</f>
        <v>tins black beans, drained and rinsed</v>
      </c>
      <c r="I320" s="67">
        <v>3</v>
      </c>
      <c r="J320" s="60"/>
      <c r="K320" s="60" t="s">
        <v>164</v>
      </c>
      <c r="L320" s="61"/>
      <c r="M320" s="51">
        <f>INDEX(itemGPerQty, MATCH(K320, itemNames, 0))</f>
        <v>0</v>
      </c>
      <c r="N320" s="51">
        <f>INDEX(itemMlPerQty, MATCH(K320, itemNames, 0))</f>
        <v>0</v>
      </c>
      <c r="O320" s="51">
        <f t="shared" si="257"/>
        <v>0</v>
      </c>
      <c r="P320" s="51">
        <f t="shared" si="258"/>
        <v>0</v>
      </c>
      <c r="Q320" s="51">
        <f>MROUND(IF(AND(J320 = "", L320 = ""), I320 * recipe09DayScale, IF(ISNA(CONVERT(O320, "kg", L320)), CONVERT(P320 * recipe09DayScale, "l", L320), CONVERT(O320 * recipe09DayScale, "kg", L320))), roundTo)</f>
        <v>2</v>
      </c>
      <c r="R320" s="52">
        <f>recipe09TotScale * IF(L320 = "", Q320 * M320, IF(ISNA(CONVERT(Q320, L320, "kg")), CONVERT(Q320, L320, "l") * IF(N320 &lt;&gt; 0, M320 / N320, 0), CONVERT(Q320, L320, "kg")))</f>
        <v>0</v>
      </c>
      <c r="S320" s="52">
        <f>recipe09TotScale * IF(R320 = 0, IF(L320 = "", Q320 * N320, IF(ISNA(CONVERT(Q320, L320, "l")), CONVERT(Q320, L320, "kg") * IF(M320 &lt;&gt; 0, N320 / M320, 0), CONVERT(Q320, L320, "l"))), 0)</f>
        <v>0</v>
      </c>
      <c r="T320" s="51">
        <f>recipe09TotScale * IF(AND(R320 = 0, S320 = 0, J320 = "", L320 = ""), Q320, 0)</f>
        <v>2</v>
      </c>
      <c r="U320" s="48" t="s">
        <v>313</v>
      </c>
      <c r="V320" s="48" t="b">
        <f>INDEX(itemPrepMethods, MATCH(K320, itemNames, 0))="chop"</f>
        <v>0</v>
      </c>
      <c r="W320" s="62" t="str">
        <f>IF(V320, Q320, "")</f>
        <v/>
      </c>
      <c r="X320" s="63" t="str">
        <f>IF(V320, IF(L320 = "", "", L320), "")</f>
        <v/>
      </c>
      <c r="Y320" s="63" t="str">
        <f>IF(V320, K320, "")</f>
        <v/>
      </c>
      <c r="Z320" s="64"/>
      <c r="AA320" s="48" t="b">
        <f>INDEX(itemPrepMethods, MATCH(K320, itemNames, 0))="soak"</f>
        <v>0</v>
      </c>
      <c r="AB320" s="63" t="str">
        <f>IF(AA320, Q320, "")</f>
        <v/>
      </c>
      <c r="AC320" s="63" t="str">
        <f>IF(AA320, IF(L320 = "", "", L320), "")</f>
        <v/>
      </c>
      <c r="AD320" s="63" t="str">
        <f>IF(AA320, K320, "")</f>
        <v/>
      </c>
    </row>
    <row r="321" spans="1:30" x14ac:dyDescent="0.25">
      <c r="A321" s="110"/>
      <c r="B321" s="110"/>
      <c r="C321" s="110"/>
      <c r="D321" s="110"/>
      <c r="I321" s="68"/>
      <c r="J321" s="65"/>
      <c r="K321" s="65"/>
      <c r="L321" s="65"/>
      <c r="M321" s="65"/>
      <c r="N321" s="65"/>
      <c r="O321" s="65"/>
      <c r="P321" s="65"/>
      <c r="W321" s="81"/>
      <c r="X321" s="82"/>
      <c r="Y321" s="82"/>
      <c r="Z321" s="83"/>
      <c r="AA321" s="73"/>
      <c r="AB321" s="81"/>
      <c r="AC321" s="81"/>
      <c r="AD321" s="81"/>
    </row>
    <row r="322" spans="1:30" x14ac:dyDescent="0.25">
      <c r="A322" s="110" t="s">
        <v>165</v>
      </c>
      <c r="B322" s="110"/>
      <c r="C322" s="110"/>
      <c r="D322" s="110"/>
      <c r="I322" s="51"/>
      <c r="L322" s="48"/>
      <c r="M322" s="48"/>
      <c r="N322" s="48"/>
      <c r="W322" s="81"/>
      <c r="X322" s="82"/>
      <c r="Y322" s="82"/>
      <c r="Z322" s="83"/>
      <c r="AA322" s="73"/>
      <c r="AB322" s="81"/>
      <c r="AC322" s="81"/>
      <c r="AD322" s="81"/>
    </row>
    <row r="323" spans="1:30" x14ac:dyDescent="0.25">
      <c r="A323" s="110"/>
      <c r="B323" s="110"/>
      <c r="C323" s="110"/>
      <c r="D323" s="110"/>
      <c r="I323" s="68"/>
      <c r="J323" s="65"/>
      <c r="K323" s="65"/>
      <c r="L323" s="65"/>
      <c r="M323" s="65"/>
      <c r="N323" s="65"/>
      <c r="O323" s="65"/>
      <c r="P323" s="65"/>
      <c r="W323" s="81"/>
      <c r="X323" s="82"/>
      <c r="Y323" s="82"/>
      <c r="Z323" s="83"/>
      <c r="AA323" s="73"/>
      <c r="AB323" s="81"/>
      <c r="AC323" s="81"/>
      <c r="AD323" s="81"/>
    </row>
    <row r="324" spans="1:30" x14ac:dyDescent="0.25">
      <c r="A324" s="110" t="s">
        <v>166</v>
      </c>
      <c r="B324" s="110"/>
      <c r="C324" s="110"/>
      <c r="D324" s="110"/>
      <c r="I324" s="51"/>
      <c r="L324" s="48"/>
      <c r="M324" s="48"/>
      <c r="N324" s="48"/>
      <c r="W324" s="81"/>
      <c r="X324" s="82"/>
      <c r="Y324" s="82"/>
      <c r="Z324" s="83"/>
      <c r="AA324" s="73"/>
      <c r="AB324" s="81"/>
      <c r="AC324" s="81"/>
      <c r="AD324" s="81"/>
    </row>
    <row r="325" spans="1:30" x14ac:dyDescent="0.25">
      <c r="A325" s="44" t="s">
        <v>21</v>
      </c>
      <c r="B325" s="57">
        <f t="shared" si="259"/>
        <v>1</v>
      </c>
      <c r="C325" s="43" t="str">
        <f>IF(L325="","",L325)</f>
        <v/>
      </c>
      <c r="D325" s="44" t="str">
        <f>_xlfn.CONCAT(K325, U325)</f>
        <v>tins coconut cream</v>
      </c>
      <c r="I325" s="67">
        <v>1.5</v>
      </c>
      <c r="J325" s="60"/>
      <c r="K325" s="60" t="s">
        <v>114</v>
      </c>
      <c r="L325" s="61"/>
      <c r="M325" s="51">
        <f>INDEX(itemGPerQty, MATCH(K325, itemNames, 0))</f>
        <v>0</v>
      </c>
      <c r="N325" s="51">
        <f>INDEX(itemMlPerQty, MATCH(K325, itemNames, 0))</f>
        <v>0</v>
      </c>
      <c r="O325" s="51">
        <f t="shared" ref="O325:O326" si="260">IF(J325 = "", I325 * M325, IF(ISNA(CONVERT(I325, J325, "kg")), CONVERT(I325, J325, "l") * IF(N325 &lt;&gt; 0, M325 / N325, 0), CONVERT(I325, J325, "kg")))</f>
        <v>0</v>
      </c>
      <c r="P325" s="51">
        <f t="shared" ref="P325:P326" si="261">IF(J325 = "", I325 * N325, IF(ISNA(CONVERT(I325, J325, "l")), CONVERT(I325, J325, "kg") * IF(M325 &lt;&gt; 0, N325 / M325, 0), CONVERT(I325, J325, "l")))</f>
        <v>0</v>
      </c>
      <c r="Q325" s="51">
        <f>MROUND(IF(AND(J325 = "", L325 = ""), I325 * recipe09DayScale, IF(ISNA(CONVERT(O325, "kg", L325)), CONVERT(P325 * recipe09DayScale, "l", L325), CONVERT(O325 * recipe09DayScale, "kg", L325))), roundTo)</f>
        <v>1</v>
      </c>
      <c r="R325" s="52">
        <f>recipe09TotScale * IF(L325 = "", Q325 * M325, IF(ISNA(CONVERT(Q325, L325, "kg")), CONVERT(Q325, L325, "l") * IF(N325 &lt;&gt; 0, M325 / N325, 0), CONVERT(Q325, L325, "kg")))</f>
        <v>0</v>
      </c>
      <c r="S325" s="52">
        <f>recipe09TotScale * IF(R325 = 0, IF(L325 = "", Q325 * N325, IF(ISNA(CONVERT(Q325, L325, "l")), CONVERT(Q325, L325, "kg") * IF(M325 &lt;&gt; 0, N325 / M325, 0), CONVERT(Q325, L325, "l"))), 0)</f>
        <v>0</v>
      </c>
      <c r="T325" s="51">
        <f>recipe09TotScale * IF(AND(R325 = 0, S325 = 0, J325 = "", L325 = ""), Q325, 0)</f>
        <v>1</v>
      </c>
      <c r="V325" s="48" t="b">
        <f>INDEX(itemPrepMethods, MATCH(K325, itemNames, 0))="chop"</f>
        <v>0</v>
      </c>
      <c r="W325" s="62" t="str">
        <f>IF(V325, Q325, "")</f>
        <v/>
      </c>
      <c r="X325" s="63" t="str">
        <f>IF(V325, IF(L325 = "", "", L325), "")</f>
        <v/>
      </c>
      <c r="Y325" s="63" t="str">
        <f>IF(V325, K325, "")</f>
        <v/>
      </c>
      <c r="Z325" s="64"/>
      <c r="AA325" s="48" t="b">
        <f>INDEX(itemPrepMethods, MATCH(K325, itemNames, 0))="soak"</f>
        <v>0</v>
      </c>
      <c r="AB325" s="63" t="str">
        <f>IF(AA325, Q325, "")</f>
        <v/>
      </c>
      <c r="AC325" s="63" t="str">
        <f>IF(AA325, IF(L325 = "", "", L325), "")</f>
        <v/>
      </c>
      <c r="AD325" s="63" t="str">
        <f>IF(AA325, K325, "")</f>
        <v/>
      </c>
    </row>
    <row r="326" spans="1:30" x14ac:dyDescent="0.25">
      <c r="A326" s="44" t="s">
        <v>21</v>
      </c>
      <c r="B326" s="57">
        <f t="shared" ref="B326" si="262">Q326</f>
        <v>1.25</v>
      </c>
      <c r="C326" s="43" t="str">
        <f>IF(L326="","",L326)</f>
        <v/>
      </c>
      <c r="D326" s="71" t="str">
        <f>_xlfn.CONCAT(K326, U326)</f>
        <v>juiced lemons</v>
      </c>
      <c r="I326" s="67">
        <v>2</v>
      </c>
      <c r="J326" s="60"/>
      <c r="K326" s="60" t="s">
        <v>404</v>
      </c>
      <c r="L326" s="61"/>
      <c r="M326" s="51">
        <f>INDEX(itemGPerQty, MATCH(K326, itemNames, 0))</f>
        <v>0</v>
      </c>
      <c r="N326" s="51">
        <f>INDEX(itemMlPerQty, MATCH(K326, itemNames, 0))</f>
        <v>0</v>
      </c>
      <c r="O326" s="51">
        <f t="shared" si="260"/>
        <v>0</v>
      </c>
      <c r="P326" s="51">
        <f t="shared" si="261"/>
        <v>0</v>
      </c>
      <c r="Q326" s="51">
        <f>MROUND(IF(AND(J326 = "", L326 = ""), I326 * recipe09DayScale, IF(ISNA(CONVERT(O326, "kg", L326)), CONVERT(P326 * recipe09DayScale, "l", L326), CONVERT(O326 * recipe09DayScale, "kg", L326))), roundTo)</f>
        <v>1.25</v>
      </c>
      <c r="R326" s="52">
        <f>recipe09TotScale * IF(L326 = "", Q326 * M326, IF(ISNA(CONVERT(Q326, L326, "kg")), CONVERT(Q326, L326, "l") * IF(N326 &lt;&gt; 0, M326 / N326, 0), CONVERT(Q326, L326, "kg")))</f>
        <v>0</v>
      </c>
      <c r="S326" s="52">
        <f>recipe09TotScale * IF(R326 = 0, IF(L326 = "", Q326 * N326, IF(ISNA(CONVERT(Q326, L326, "l")), CONVERT(Q326, L326, "kg") * IF(M326 &lt;&gt; 0, N326 / M326, 0), CONVERT(Q326, L326, "l"))), 0)</f>
        <v>0</v>
      </c>
      <c r="T326" s="51">
        <f>recipe09TotScale * IF(AND(R326 = 0, S326 = 0, J326 = "", L326 = ""), Q326, 0)</f>
        <v>1.25</v>
      </c>
      <c r="V326" s="48" t="b">
        <f>INDEX(itemPrepMethods, MATCH(K326, itemNames, 0))="chop"</f>
        <v>0</v>
      </c>
      <c r="W326" s="62" t="str">
        <f>IF(V326, Q326, "")</f>
        <v/>
      </c>
      <c r="X326" s="63" t="str">
        <f>IF(V326, IF(L326 = "", "", L326), "")</f>
        <v/>
      </c>
      <c r="Y326" s="63" t="str">
        <f>IF(V326, K326, "")</f>
        <v/>
      </c>
      <c r="Z326" s="64"/>
      <c r="AA326" s="48" t="b">
        <f>INDEX(itemPrepMethods, MATCH(K326, itemNames, 0))="soak"</f>
        <v>0</v>
      </c>
      <c r="AB326" s="63" t="str">
        <f>IF(AA326, Q326, "")</f>
        <v/>
      </c>
      <c r="AC326" s="63" t="str">
        <f>IF(AA326, IF(L326 = "", "", L326), "")</f>
        <v/>
      </c>
      <c r="AD326" s="63" t="str">
        <f>IF(AA326, K326, "")</f>
        <v/>
      </c>
    </row>
    <row r="327" spans="1:30" x14ac:dyDescent="0.25">
      <c r="A327" s="44" t="s">
        <v>21</v>
      </c>
      <c r="B327" s="57"/>
      <c r="C327" s="43" t="str">
        <f>IF(L327="","",L327)</f>
        <v/>
      </c>
      <c r="D327" s="44" t="str">
        <f>_xlfn.CONCAT(K327, U327)</f>
        <v>water, if required</v>
      </c>
      <c r="I327" s="51"/>
      <c r="K327" s="60" t="s">
        <v>48</v>
      </c>
      <c r="L327" s="48"/>
      <c r="M327" s="48"/>
      <c r="N327" s="48"/>
      <c r="O327" s="48"/>
      <c r="P327" s="48"/>
      <c r="U327" s="48" t="s">
        <v>223</v>
      </c>
      <c r="V327" s="48" t="b">
        <f>INDEX(itemPrepMethods, MATCH(K327, itemNames, 0))="chop"</f>
        <v>0</v>
      </c>
      <c r="W327" s="62" t="str">
        <f>IF(V327, Q327, "")</f>
        <v/>
      </c>
      <c r="X327" s="63" t="str">
        <f>IF(V327, IF(L327 = "", "", L327), "")</f>
        <v/>
      </c>
      <c r="Y327" s="63" t="str">
        <f>IF(V327, K327, "")</f>
        <v/>
      </c>
      <c r="Z327" s="64"/>
      <c r="AA327" s="48" t="b">
        <f>INDEX(itemPrepMethods, MATCH(K327, itemNames, 0))="soak"</f>
        <v>0</v>
      </c>
      <c r="AB327" s="63" t="str">
        <f>IF(AA327, Q327, "")</f>
        <v/>
      </c>
      <c r="AC327" s="63" t="str">
        <f>IF(AA327, IF(L327 = "", "", L327), "")</f>
        <v/>
      </c>
      <c r="AD327" s="63" t="str">
        <f>IF(AA327, K327, "")</f>
        <v/>
      </c>
    </row>
    <row r="328" spans="1:30" x14ac:dyDescent="0.25">
      <c r="A328" s="44" t="s">
        <v>21</v>
      </c>
      <c r="B328" s="57"/>
      <c r="C328" s="43" t="str">
        <f>IF(L328="","",L328)</f>
        <v/>
      </c>
      <c r="D328" s="44" t="str">
        <f>_xlfn.CONCAT(K328, U328)</f>
        <v>salt, to taste</v>
      </c>
      <c r="I328" s="51"/>
      <c r="K328" s="60" t="s">
        <v>11</v>
      </c>
      <c r="L328" s="48"/>
      <c r="M328" s="48"/>
      <c r="N328" s="48"/>
      <c r="O328" s="48"/>
      <c r="P328" s="48"/>
      <c r="U328" s="48" t="s">
        <v>222</v>
      </c>
      <c r="V328" s="48" t="b">
        <f>INDEX(itemPrepMethods, MATCH(K328, itemNames, 0))="chop"</f>
        <v>0</v>
      </c>
      <c r="W328" s="62" t="str">
        <f>IF(V328, Q328, "")</f>
        <v/>
      </c>
      <c r="X328" s="63" t="str">
        <f>IF(V328, IF(L328 = "", "", L328), "")</f>
        <v/>
      </c>
      <c r="Y328" s="63" t="str">
        <f>IF(V328, K328, "")</f>
        <v/>
      </c>
      <c r="Z328" s="64"/>
      <c r="AA328" s="48" t="b">
        <f>INDEX(itemPrepMethods, MATCH(K328, itemNames, 0))="soak"</f>
        <v>0</v>
      </c>
      <c r="AB328" s="63" t="str">
        <f>IF(AA328, Q328, "")</f>
        <v/>
      </c>
      <c r="AC328" s="63" t="str">
        <f>IF(AA328, IF(L328 = "", "", L328), "")</f>
        <v/>
      </c>
      <c r="AD328" s="63" t="str">
        <f>IF(AA328, K328, "")</f>
        <v/>
      </c>
    </row>
    <row r="329" spans="1:30" x14ac:dyDescent="0.25">
      <c r="A329" s="44" t="s">
        <v>21</v>
      </c>
      <c r="B329" s="57"/>
      <c r="C329" s="43" t="str">
        <f>IF(L329="","",L329)</f>
        <v/>
      </c>
      <c r="D329" s="44" t="str">
        <f>_xlfn.CONCAT(K329, U329)</f>
        <v>ground black pepper, to taste</v>
      </c>
      <c r="I329" s="51"/>
      <c r="K329" s="60" t="s">
        <v>83</v>
      </c>
      <c r="L329" s="48"/>
      <c r="M329" s="48"/>
      <c r="N329" s="48"/>
      <c r="O329" s="48"/>
      <c r="P329" s="48"/>
      <c r="U329" s="48" t="s">
        <v>222</v>
      </c>
      <c r="V329" s="48" t="b">
        <f>INDEX(itemPrepMethods, MATCH(K329, itemNames, 0))="chop"</f>
        <v>0</v>
      </c>
      <c r="W329" s="62" t="str">
        <f>IF(V329, Q329, "")</f>
        <v/>
      </c>
      <c r="X329" s="63" t="str">
        <f>IF(V329, IF(L329 = "", "", L329), "")</f>
        <v/>
      </c>
      <c r="Y329" s="63" t="str">
        <f>IF(V329, K329, "")</f>
        <v/>
      </c>
      <c r="Z329" s="64"/>
      <c r="AA329" s="48" t="b">
        <f>INDEX(itemPrepMethods, MATCH(K329, itemNames, 0))="soak"</f>
        <v>0</v>
      </c>
      <c r="AB329" s="63" t="str">
        <f>IF(AA329, Q329, "")</f>
        <v/>
      </c>
      <c r="AC329" s="63" t="str">
        <f>IF(AA329, IF(L329 = "", "", L329), "")</f>
        <v/>
      </c>
      <c r="AD329" s="63" t="str">
        <f>IF(AA329, K329, "")</f>
        <v/>
      </c>
    </row>
    <row r="330" spans="1:30" x14ac:dyDescent="0.25">
      <c r="A330" s="110"/>
      <c r="B330" s="110"/>
      <c r="C330" s="110"/>
      <c r="D330" s="110"/>
      <c r="I330" s="68"/>
      <c r="J330" s="65"/>
      <c r="K330" s="65"/>
      <c r="L330" s="65"/>
      <c r="M330" s="65"/>
      <c r="N330" s="65"/>
      <c r="O330" s="65"/>
      <c r="P330" s="65"/>
    </row>
    <row r="331" spans="1:30" x14ac:dyDescent="0.25">
      <c r="A331" s="110" t="s">
        <v>174</v>
      </c>
      <c r="B331" s="110"/>
      <c r="C331" s="110"/>
      <c r="D331" s="110"/>
      <c r="I331" s="51"/>
      <c r="L331" s="48"/>
      <c r="M331" s="48"/>
      <c r="N331" s="48"/>
    </row>
    <row r="332" spans="1:30" ht="15.75" x14ac:dyDescent="0.25">
      <c r="A332" s="111" t="s">
        <v>35</v>
      </c>
      <c r="B332" s="111"/>
      <c r="C332" s="111"/>
      <c r="D332" s="111"/>
      <c r="E332" s="47" t="s">
        <v>138</v>
      </c>
      <c r="F332" s="112" t="s">
        <v>159</v>
      </c>
      <c r="G332" s="112"/>
      <c r="H332" s="51"/>
    </row>
    <row r="333" spans="1:30" ht="24" x14ac:dyDescent="0.2">
      <c r="A333" s="111" t="s">
        <v>38</v>
      </c>
      <c r="B333" s="111"/>
      <c r="C333" s="111"/>
      <c r="D333" s="111"/>
      <c r="E333" s="46" t="s">
        <v>59</v>
      </c>
      <c r="F333" s="97">
        <v>15</v>
      </c>
      <c r="G333" s="51"/>
      <c r="H333" s="51"/>
      <c r="I333" s="76" t="s">
        <v>57</v>
      </c>
      <c r="J333" s="77" t="s">
        <v>58</v>
      </c>
      <c r="K333" s="77" t="s">
        <v>17</v>
      </c>
      <c r="L333" s="78" t="s">
        <v>56</v>
      </c>
      <c r="M333" s="76" t="s">
        <v>151</v>
      </c>
      <c r="N333" s="76" t="s">
        <v>152</v>
      </c>
      <c r="O333" s="76" t="s">
        <v>153</v>
      </c>
      <c r="P333" s="76" t="s">
        <v>154</v>
      </c>
      <c r="Q333" s="77" t="s">
        <v>374</v>
      </c>
      <c r="R333" s="79" t="s">
        <v>375</v>
      </c>
      <c r="S333" s="79" t="s">
        <v>376</v>
      </c>
      <c r="T333" s="76" t="s">
        <v>377</v>
      </c>
      <c r="U333" s="77" t="s">
        <v>22</v>
      </c>
      <c r="V333" s="77" t="s">
        <v>218</v>
      </c>
      <c r="W333" s="80" t="s">
        <v>374</v>
      </c>
      <c r="X333" s="77" t="s">
        <v>216</v>
      </c>
      <c r="Y333" s="77" t="s">
        <v>217</v>
      </c>
      <c r="Z333" s="77" t="s">
        <v>321</v>
      </c>
      <c r="AA333" s="77" t="s">
        <v>219</v>
      </c>
      <c r="AB333" s="80" t="s">
        <v>374</v>
      </c>
      <c r="AC333" s="77" t="s">
        <v>220</v>
      </c>
      <c r="AD333" s="77" t="s">
        <v>221</v>
      </c>
    </row>
    <row r="334" spans="1:30" ht="15.75" thickBot="1" x14ac:dyDescent="0.3">
      <c r="A334" s="110"/>
      <c r="B334" s="110"/>
      <c r="C334" s="110"/>
      <c r="D334" s="110"/>
      <c r="E334" s="72" t="s">
        <v>369</v>
      </c>
      <c r="F334" s="97">
        <f>moLuCount</f>
        <v>10</v>
      </c>
      <c r="G334" s="51"/>
      <c r="H334" s="51"/>
      <c r="I334" s="68"/>
      <c r="J334" s="46"/>
      <c r="K334" s="46"/>
      <c r="L334" s="69"/>
      <c r="M334" s="68"/>
      <c r="N334" s="68"/>
      <c r="O334" s="68"/>
      <c r="P334" s="68"/>
      <c r="Q334" s="46"/>
      <c r="R334" s="70"/>
      <c r="S334" s="70"/>
      <c r="T334" s="68"/>
      <c r="U334" s="46"/>
    </row>
    <row r="335" spans="1:30" ht="15.75" thickBot="1" x14ac:dyDescent="0.3">
      <c r="A335" s="110" t="s">
        <v>259</v>
      </c>
      <c r="B335" s="110"/>
      <c r="C335" s="110"/>
      <c r="D335" s="110"/>
      <c r="E335" s="72" t="s">
        <v>372</v>
      </c>
      <c r="F335" s="55">
        <f>F334/F333</f>
        <v>0.66666666666666663</v>
      </c>
      <c r="G335" s="56" t="s">
        <v>388</v>
      </c>
      <c r="H335" s="51"/>
      <c r="I335" s="68"/>
      <c r="J335" s="46"/>
      <c r="K335" s="46"/>
      <c r="L335" s="69"/>
      <c r="M335" s="68"/>
      <c r="N335" s="68"/>
      <c r="O335" s="68"/>
      <c r="P335" s="68"/>
      <c r="Q335" s="46"/>
      <c r="R335" s="70"/>
      <c r="S335" s="70"/>
      <c r="T335" s="68"/>
      <c r="U335" s="46"/>
    </row>
    <row r="336" spans="1:30" x14ac:dyDescent="0.25">
      <c r="A336" s="44" t="s">
        <v>21</v>
      </c>
      <c r="B336" s="57">
        <f t="shared" ref="B336:B358" si="263">Q336</f>
        <v>0.25</v>
      </c>
      <c r="C336" s="43" t="str">
        <f>IF(L336="","",L336)</f>
        <v>cup</v>
      </c>
      <c r="D336" s="44" t="str">
        <f>_xlfn.CONCAT(K336, U336)</f>
        <v>oil</v>
      </c>
      <c r="E336" s="73"/>
      <c r="F336" s="73"/>
      <c r="G336" s="73"/>
      <c r="H336" s="58"/>
      <c r="I336" s="59">
        <v>8</v>
      </c>
      <c r="J336" s="60" t="s">
        <v>15</v>
      </c>
      <c r="K336" s="60" t="s">
        <v>46</v>
      </c>
      <c r="L336" s="61" t="s">
        <v>16</v>
      </c>
      <c r="M336" s="51">
        <f>INDEX(itemGPerQty, MATCH(K336, itemNames, 0))</f>
        <v>0</v>
      </c>
      <c r="N336" s="51">
        <f>INDEX(itemMlPerQty, MATCH(K336, itemNames, 0))</f>
        <v>0</v>
      </c>
      <c r="O336" s="51">
        <f t="shared" ref="O336:O340" si="264">IF(J336 = "", I336 * M336, IF(ISNA(CONVERT(I336, J336, "kg")), CONVERT(I336, J336, "l") * IF(N336 &lt;&gt; 0, M336 / N336, 0), CONVERT(I336, J336, "kg")))</f>
        <v>0</v>
      </c>
      <c r="P336" s="51">
        <f t="shared" ref="P336:P340" si="265">IF(J336 = "", I336 * N336, IF(ISNA(CONVERT(I336, J336, "l")), CONVERT(I336, J336, "kg") * IF(M336 &lt;&gt; 0, N336 / M336, 0), CONVERT(I336, J336, "l")))</f>
        <v>0.11829411825</v>
      </c>
      <c r="Q336" s="51">
        <f>MROUND(IF(AND(J336 = "", L336 = ""), I336 * recipe04DayScale, IF(ISNA(CONVERT(O336, "kg", L336)), CONVERT(P336 * recipe04DayScale, "l", L336), CONVERT(O336 * recipe04DayScale, "kg", L336))), roundTo)</f>
        <v>0.25</v>
      </c>
      <c r="R336" s="52">
        <f>recipe04TotScale * IF(L336 = "", Q336 * M336, IF(ISNA(CONVERT(Q336, L336, "kg")), CONVERT(Q336, L336, "l") * IF(N336 &lt;&gt; 0, M336 / N336, 0), CONVERT(Q336, L336, "kg")))</f>
        <v>0</v>
      </c>
      <c r="S336" s="52">
        <f>recipe04TotScale * IF(R336 = 0, IF(L336 = "", Q336 * N336, IF(ISNA(CONVERT(Q336, L336, "l")), CONVERT(Q336, L336, "kg") * IF(M336 &lt;&gt; 0, N336 / M336, 0), CONVERT(Q336, L336, "l"))), 0)</f>
        <v>5.9147059124999998E-2</v>
      </c>
      <c r="T336" s="51">
        <f>recipe04TotScale * IF(AND(R336 = 0, S336 = 0, J336 = "", L336 = ""), Q336, 0)</f>
        <v>0</v>
      </c>
      <c r="V336" s="48" t="b">
        <f>INDEX(itemPrepMethods, MATCH(K336, itemNames, 0))="chop"</f>
        <v>0</v>
      </c>
      <c r="W336" s="62" t="str">
        <f>IF(V336, Q336, "")</f>
        <v/>
      </c>
      <c r="X336" s="63" t="str">
        <f>IF(V336, IF(L336 = "", "", L336), "")</f>
        <v/>
      </c>
      <c r="Y336" s="63" t="str">
        <f>IF(V336, K336, "")</f>
        <v/>
      </c>
      <c r="Z336" s="64"/>
      <c r="AA336" s="48" t="b">
        <f>INDEX(itemPrepMethods, MATCH(K336, itemNames, 0))="soak"</f>
        <v>0</v>
      </c>
      <c r="AB336" s="63" t="str">
        <f>IF(AA336, Q336, "")</f>
        <v/>
      </c>
      <c r="AC336" s="63" t="str">
        <f>IF(AA336, IF(L336 = "", "", L336), "")</f>
        <v/>
      </c>
      <c r="AD336" s="63" t="str">
        <f>IF(AA336, K336, "")</f>
        <v/>
      </c>
    </row>
    <row r="337" spans="1:30" ht="15.75" thickBot="1" x14ac:dyDescent="0.3">
      <c r="A337" s="44" t="s">
        <v>21</v>
      </c>
      <c r="B337" s="57">
        <f>Q337</f>
        <v>5.25</v>
      </c>
      <c r="C337" s="43" t="str">
        <f>IF(L337="","",L337)</f>
        <v/>
      </c>
      <c r="D337" s="44" t="str">
        <f>_xlfn.CONCAT(K337, U337)</f>
        <v>garlic cloves. Remove from oil once cooked</v>
      </c>
      <c r="E337" s="72" t="s">
        <v>348</v>
      </c>
      <c r="F337" s="97">
        <f>moLuCount</f>
        <v>10</v>
      </c>
      <c r="G337" s="73"/>
      <c r="I337" s="59">
        <v>8</v>
      </c>
      <c r="J337" s="60"/>
      <c r="K337" s="60" t="s">
        <v>8</v>
      </c>
      <c r="L337" s="61"/>
      <c r="M337" s="51">
        <f>INDEX(itemGPerQty, MATCH(K337, itemNames, 0))</f>
        <v>0</v>
      </c>
      <c r="N337" s="51">
        <f>INDEX(itemMlPerQty, MATCH(K337, itemNames, 0))</f>
        <v>0</v>
      </c>
      <c r="O337" s="51">
        <f>IF(J337 = "", I337 * M337, IF(ISNA(CONVERT(I337, J337, "kg")), CONVERT(I337, J337, "l") * IF(N337 &lt;&gt; 0, M337 / N337, 0), CONVERT(I337, J337, "kg")))</f>
        <v>0</v>
      </c>
      <c r="P337" s="51">
        <f>IF(J337 = "", I337 * N337, IF(ISNA(CONVERT(I337, J337, "l")), CONVERT(I337, J337, "kg") * IF(M337 &lt;&gt; 0, N337 / M337, 0), CONVERT(I337, J337, "l")))</f>
        <v>0</v>
      </c>
      <c r="Q337" s="51">
        <f>MROUND(IF(AND(J337 = "", L337 = ""), I337 * recipe04DayScale, IF(ISNA(CONVERT(O337, "kg", L337)), CONVERT(P337 * recipe04DayScale, "l", L337), CONVERT(O337 * recipe04DayScale, "kg", L337))), roundTo)</f>
        <v>5.25</v>
      </c>
      <c r="R337" s="52">
        <f>recipe04TotScale * IF(L337 = "", Q337 * M337, IF(ISNA(CONVERT(Q337, L337, "kg")), CONVERT(Q337, L337, "l") * IF(N337 &lt;&gt; 0, M337 / N337, 0), CONVERT(Q337, L337, "kg")))</f>
        <v>0</v>
      </c>
      <c r="S337" s="52">
        <f>recipe04TotScale * IF(R337 = 0, IF(L337 = "", Q337 * N337, IF(ISNA(CONVERT(Q337, L337, "l")), CONVERT(Q337, L337, "kg") * IF(M337 &lt;&gt; 0, N337 / M337, 0), CONVERT(Q337, L337, "l"))), 0)</f>
        <v>0</v>
      </c>
      <c r="T337" s="51">
        <f>recipe04TotScale * IF(AND(R337 = 0, S337 = 0, J337 = "", L337 = ""), Q337, 0)</f>
        <v>5.25</v>
      </c>
      <c r="U337" s="48" t="s">
        <v>249</v>
      </c>
      <c r="V337" s="48" t="b">
        <f>INDEX(itemPrepMethods, MATCH(K337, itemNames, 0))="chop"</f>
        <v>0</v>
      </c>
      <c r="W337" s="62" t="str">
        <f>IF(V337, Q337, "")</f>
        <v/>
      </c>
      <c r="X337" s="63" t="str">
        <f>IF(V337, IF(L337 = "", "", L337), "")</f>
        <v/>
      </c>
      <c r="Y337" s="63" t="str">
        <f>IF(V337, K337, "")</f>
        <v/>
      </c>
      <c r="Z337" s="64"/>
      <c r="AA337" s="48" t="b">
        <f>INDEX(itemPrepMethods, MATCH(K337, itemNames, 0))="soak"</f>
        <v>0</v>
      </c>
      <c r="AB337" s="63" t="str">
        <f>IF(AA337, Q337, "")</f>
        <v/>
      </c>
      <c r="AC337" s="63" t="str">
        <f>IF(AA337, IF(L337 = "", "", L337), "")</f>
        <v/>
      </c>
      <c r="AD337" s="63" t="str">
        <f>IF(AA337, K337, "")</f>
        <v/>
      </c>
    </row>
    <row r="338" spans="1:30" ht="15.75" thickBot="1" x14ac:dyDescent="0.3">
      <c r="A338" s="44" t="s">
        <v>21</v>
      </c>
      <c r="B338" s="57">
        <f t="shared" si="263"/>
        <v>2</v>
      </c>
      <c r="C338" s="43" t="str">
        <f>IF(L338="","",L338)</f>
        <v/>
      </c>
      <c r="D338" s="44" t="str">
        <f>_xlfn.CONCAT(K338, U338)</f>
        <v>chopped onions</v>
      </c>
      <c r="E338" s="72" t="s">
        <v>373</v>
      </c>
      <c r="F338" s="55">
        <f>F337/F334</f>
        <v>1</v>
      </c>
      <c r="G338" s="56" t="s">
        <v>389</v>
      </c>
      <c r="I338" s="59">
        <v>3</v>
      </c>
      <c r="J338" s="60"/>
      <c r="K338" s="60" t="s">
        <v>6</v>
      </c>
      <c r="L338" s="61"/>
      <c r="M338" s="51">
        <f>INDEX(itemGPerQty, MATCH(K338, itemNames, 0))</f>
        <v>0.185</v>
      </c>
      <c r="N338" s="51">
        <f>INDEX(itemMlPerQty, MATCH(K338, itemNames, 0))</f>
        <v>0.3</v>
      </c>
      <c r="O338" s="51">
        <f t="shared" si="264"/>
        <v>0.55499999999999994</v>
      </c>
      <c r="P338" s="51">
        <f t="shared" si="265"/>
        <v>0.89999999999999991</v>
      </c>
      <c r="Q338" s="51">
        <f>MROUND(IF(AND(J338 = "", L338 = ""), I338 * recipe04DayScale, IF(ISNA(CONVERT(O338, "kg", L338)), CONVERT(P338 * recipe04DayScale, "l", L338), CONVERT(O338 * recipe04DayScale, "kg", L338))), roundTo)</f>
        <v>2</v>
      </c>
      <c r="R338" s="52">
        <f>recipe04TotScale * IF(L338 = "", Q338 * M338, IF(ISNA(CONVERT(Q338, L338, "kg")), CONVERT(Q338, L338, "l") * IF(N338 &lt;&gt; 0, M338 / N338, 0), CONVERT(Q338, L338, "kg")))</f>
        <v>0.37</v>
      </c>
      <c r="S338" s="52">
        <f>recipe04TotScale * IF(R338 = 0, IF(L338 = "", Q338 * N338, IF(ISNA(CONVERT(Q338, L338, "l")), CONVERT(Q338, L338, "kg") * IF(M338 &lt;&gt; 0, N338 / M338, 0), CONVERT(Q338, L338, "l"))), 0)</f>
        <v>0</v>
      </c>
      <c r="T338" s="51">
        <f>recipe04TotScale * IF(AND(R338 = 0, S338 = 0, J338 = "", L338 = ""), Q338, 0)</f>
        <v>0</v>
      </c>
      <c r="V338" s="48" t="b">
        <f>INDEX(itemPrepMethods, MATCH(K338, itemNames, 0))="chop"</f>
        <v>1</v>
      </c>
      <c r="W338" s="62">
        <f>IF(V338, Q338, "")</f>
        <v>2</v>
      </c>
      <c r="X338" s="63" t="str">
        <f>IF(V338, IF(L338 = "", "", L338), "")</f>
        <v/>
      </c>
      <c r="Y338" s="63" t="str">
        <f>IF(V338, K338, "")</f>
        <v>chopped onions</v>
      </c>
      <c r="Z338" s="64"/>
      <c r="AA338" s="48" t="b">
        <f>INDEX(itemPrepMethods, MATCH(K338, itemNames, 0))="soak"</f>
        <v>0</v>
      </c>
      <c r="AB338" s="63" t="str">
        <f>IF(AA338, Q338, "")</f>
        <v/>
      </c>
      <c r="AC338" s="63" t="str">
        <f>IF(AA338, IF(L338 = "", "", L338), "")</f>
        <v/>
      </c>
      <c r="AD338" s="63" t="str">
        <f>IF(AA338, K338, "")</f>
        <v/>
      </c>
    </row>
    <row r="339" spans="1:30" x14ac:dyDescent="0.25">
      <c r="A339" s="44" t="s">
        <v>21</v>
      </c>
      <c r="B339" s="57">
        <f t="shared" si="263"/>
        <v>2</v>
      </c>
      <c r="C339" s="43" t="str">
        <f>IF(L339="","",L339)</f>
        <v>tbs</v>
      </c>
      <c r="D339" s="44" t="str">
        <f>_xlfn.CONCAT(K339, U339)</f>
        <v>minced fresh ginger</v>
      </c>
      <c r="F339" s="46"/>
      <c r="I339" s="59">
        <v>3</v>
      </c>
      <c r="J339" s="60" t="s">
        <v>15</v>
      </c>
      <c r="K339" s="60" t="s">
        <v>237</v>
      </c>
      <c r="L339" s="61" t="s">
        <v>15</v>
      </c>
      <c r="M339" s="51">
        <f>INDEX(itemGPerQty, MATCH(K339, itemNames, 0))</f>
        <v>0</v>
      </c>
      <c r="N339" s="51">
        <f>INDEX(itemMlPerQty, MATCH(K339, itemNames, 0))</f>
        <v>0</v>
      </c>
      <c r="O339" s="51">
        <f t="shared" si="264"/>
        <v>0</v>
      </c>
      <c r="P339" s="51">
        <f t="shared" si="265"/>
        <v>4.4360294343749995E-2</v>
      </c>
      <c r="Q339" s="51">
        <f>MROUND(IF(AND(J339 = "", L339 = ""), I339 * recipe04DayScale, IF(ISNA(CONVERT(O339, "kg", L339)), CONVERT(P339 * recipe04DayScale, "l", L339), CONVERT(O339 * recipe04DayScale, "kg", L339))), roundTo)</f>
        <v>2</v>
      </c>
      <c r="R339" s="52">
        <f>recipe04TotScale * IF(L339 = "", Q339 * M339, IF(ISNA(CONVERT(Q339, L339, "kg")), CONVERT(Q339, L339, "l") * IF(N339 &lt;&gt; 0, M339 / N339, 0), CONVERT(Q339, L339, "kg")))</f>
        <v>0</v>
      </c>
      <c r="S339" s="52">
        <f>recipe04TotScale * IF(R339 = 0, IF(L339 = "", Q339 * N339, IF(ISNA(CONVERT(Q339, L339, "l")), CONVERT(Q339, L339, "kg") * IF(M339 &lt;&gt; 0, N339 / M339, 0), CONVERT(Q339, L339, "l"))), 0)</f>
        <v>2.9573529562499999E-2</v>
      </c>
      <c r="T339" s="51">
        <f>recipe04TotScale * IF(AND(R339 = 0, S339 = 0, J339 = "", L339 = ""), Q339, 0)</f>
        <v>0</v>
      </c>
      <c r="V339" s="48" t="b">
        <f>INDEX(itemPrepMethods, MATCH(K339, itemNames, 0))="chop"</f>
        <v>1</v>
      </c>
      <c r="W339" s="62">
        <f>IF(V339, Q339, "")</f>
        <v>2</v>
      </c>
      <c r="X339" s="63" t="str">
        <f>IF(V339, IF(L339 = "", "", L339), "")</f>
        <v>tbs</v>
      </c>
      <c r="Y339" s="63" t="str">
        <f>IF(V339, K339, "")</f>
        <v>minced fresh ginger</v>
      </c>
      <c r="Z339" s="64"/>
      <c r="AA339" s="48" t="b">
        <f>INDEX(itemPrepMethods, MATCH(K339, itemNames, 0))="soak"</f>
        <v>0</v>
      </c>
      <c r="AB339" s="63" t="str">
        <f>IF(AA339, Q339, "")</f>
        <v/>
      </c>
      <c r="AC339" s="63" t="str">
        <f>IF(AA339, IF(L339 = "", "", L339), "")</f>
        <v/>
      </c>
      <c r="AD339" s="63" t="str">
        <f>IF(AA339, K339, "")</f>
        <v/>
      </c>
    </row>
    <row r="340" spans="1:30" x14ac:dyDescent="0.25">
      <c r="A340" s="44" t="s">
        <v>21</v>
      </c>
      <c r="B340" s="57">
        <f t="shared" si="263"/>
        <v>1</v>
      </c>
      <c r="C340" s="43" t="str">
        <f>IF(L340="","",L340)</f>
        <v>tbs</v>
      </c>
      <c r="D340" s="44" t="str">
        <f>_xlfn.CONCAT(K340, U340)</f>
        <v>thai green curry</v>
      </c>
      <c r="F340" s="46"/>
      <c r="I340" s="59">
        <v>1.5</v>
      </c>
      <c r="J340" s="60" t="s">
        <v>15</v>
      </c>
      <c r="K340" s="60" t="s">
        <v>179</v>
      </c>
      <c r="L340" s="61" t="s">
        <v>15</v>
      </c>
      <c r="M340" s="51">
        <f>INDEX(itemGPerQty, MATCH(K340, itemNames, 0))</f>
        <v>0</v>
      </c>
      <c r="N340" s="51">
        <f>INDEX(itemMlPerQty, MATCH(K340, itemNames, 0))</f>
        <v>0</v>
      </c>
      <c r="O340" s="51">
        <f t="shared" si="264"/>
        <v>0</v>
      </c>
      <c r="P340" s="51">
        <f t="shared" si="265"/>
        <v>2.2180147171874998E-2</v>
      </c>
      <c r="Q340" s="51">
        <f>MROUND(IF(AND(J340 = "", L340 = ""), I340 * recipe04DayScale, IF(ISNA(CONVERT(O340, "kg", L340)), CONVERT(P340 * recipe04DayScale, "l", L340), CONVERT(O340 * recipe04DayScale, "kg", L340))), roundTo)</f>
        <v>1</v>
      </c>
      <c r="R340" s="52">
        <f>recipe04TotScale * IF(L340 = "", Q340 * M340, IF(ISNA(CONVERT(Q340, L340, "kg")), CONVERT(Q340, L340, "l") * IF(N340 &lt;&gt; 0, M340 / N340, 0), CONVERT(Q340, L340, "kg")))</f>
        <v>0</v>
      </c>
      <c r="S340" s="52">
        <f>recipe04TotScale * IF(R340 = 0, IF(L340 = "", Q340 * N340, IF(ISNA(CONVERT(Q340, L340, "l")), CONVERT(Q340, L340, "kg") * IF(M340 &lt;&gt; 0, N340 / M340, 0), CONVERT(Q340, L340, "l"))), 0)</f>
        <v>1.478676478125E-2</v>
      </c>
      <c r="T340" s="51">
        <f>recipe04TotScale * IF(AND(R340 = 0, S340 = 0, J340 = "", L340 = ""), Q340, 0)</f>
        <v>0</v>
      </c>
      <c r="V340" s="48" t="b">
        <f>INDEX(itemPrepMethods, MATCH(K340, itemNames, 0))="chop"</f>
        <v>0</v>
      </c>
      <c r="W340" s="62" t="str">
        <f>IF(V340, Q340, "")</f>
        <v/>
      </c>
      <c r="X340" s="63" t="str">
        <f>IF(V340, IF(L340 = "", "", L340), "")</f>
        <v/>
      </c>
      <c r="Y340" s="63" t="str">
        <f>IF(V340, K340, "")</f>
        <v/>
      </c>
      <c r="Z340" s="64"/>
      <c r="AA340" s="48" t="b">
        <f>INDEX(itemPrepMethods, MATCH(K340, itemNames, 0))="soak"</f>
        <v>0</v>
      </c>
      <c r="AB340" s="63" t="str">
        <f>IF(AA340, Q340, "")</f>
        <v/>
      </c>
      <c r="AC340" s="63" t="str">
        <f>IF(AA340, IF(L340 = "", "", L340), "")</f>
        <v/>
      </c>
      <c r="AD340" s="63" t="str">
        <f>IF(AA340, K340, "")</f>
        <v/>
      </c>
    </row>
    <row r="341" spans="1:30" ht="15.75" x14ac:dyDescent="0.25">
      <c r="A341" s="113"/>
      <c r="B341" s="113"/>
      <c r="C341" s="113"/>
      <c r="D341" s="113"/>
      <c r="E341" s="46"/>
      <c r="F341" s="46"/>
      <c r="G341" s="51"/>
      <c r="H341" s="51"/>
      <c r="I341" s="68"/>
      <c r="J341" s="46"/>
      <c r="K341" s="46"/>
      <c r="L341" s="69"/>
      <c r="M341" s="68"/>
      <c r="N341" s="68"/>
      <c r="O341" s="68"/>
      <c r="P341" s="68"/>
      <c r="Q341" s="46"/>
      <c r="R341" s="70"/>
      <c r="S341" s="70"/>
      <c r="T341" s="68"/>
      <c r="U341" s="46"/>
      <c r="W341" s="81"/>
      <c r="X341" s="81"/>
      <c r="Y341" s="81"/>
      <c r="Z341" s="81"/>
      <c r="AA341" s="73"/>
      <c r="AB341" s="81"/>
      <c r="AC341" s="81"/>
      <c r="AD341" s="81"/>
    </row>
    <row r="342" spans="1:30" x14ac:dyDescent="0.25">
      <c r="A342" s="110" t="s">
        <v>260</v>
      </c>
      <c r="B342" s="110"/>
      <c r="C342" s="110"/>
      <c r="D342" s="110"/>
      <c r="E342" s="46"/>
      <c r="F342" s="46"/>
      <c r="G342" s="51"/>
      <c r="H342" s="51"/>
      <c r="I342" s="68"/>
      <c r="J342" s="46"/>
      <c r="K342" s="46"/>
      <c r="L342" s="69"/>
      <c r="M342" s="68"/>
      <c r="N342" s="68"/>
      <c r="O342" s="68"/>
      <c r="P342" s="68"/>
      <c r="Q342" s="46"/>
      <c r="R342" s="70"/>
      <c r="S342" s="70"/>
      <c r="T342" s="68"/>
      <c r="U342" s="46"/>
      <c r="W342" s="81"/>
      <c r="X342" s="81"/>
      <c r="Y342" s="81"/>
      <c r="Z342" s="81"/>
      <c r="AA342" s="73"/>
      <c r="AB342" s="81"/>
      <c r="AC342" s="81"/>
      <c r="AD342" s="81"/>
    </row>
    <row r="343" spans="1:30" x14ac:dyDescent="0.25">
      <c r="A343" s="44" t="s">
        <v>21</v>
      </c>
      <c r="B343" s="57">
        <f t="shared" si="263"/>
        <v>0.75</v>
      </c>
      <c r="C343" s="43" t="str">
        <f>IF(L343="","",L343)</f>
        <v>cup</v>
      </c>
      <c r="D343" s="44" t="str">
        <f>_xlfn.CONCAT(K343, U343)</f>
        <v>peanut butter</v>
      </c>
      <c r="F343" s="46"/>
      <c r="I343" s="59">
        <v>1</v>
      </c>
      <c r="J343" s="60" t="s">
        <v>16</v>
      </c>
      <c r="K343" s="60" t="s">
        <v>112</v>
      </c>
      <c r="L343" s="61" t="s">
        <v>16</v>
      </c>
      <c r="M343" s="51">
        <f>INDEX(itemGPerQty, MATCH(K343, itemNames, 0))</f>
        <v>0</v>
      </c>
      <c r="N343" s="51">
        <f>INDEX(itemMlPerQty, MATCH(K343, itemNames, 0))</f>
        <v>0</v>
      </c>
      <c r="O343" s="51">
        <f t="shared" ref="O343:O344" si="266">IF(J343 = "", I343 * M343, IF(ISNA(CONVERT(I343, J343, "kg")), CONVERT(I343, J343, "l") * IF(N343 &lt;&gt; 0, M343 / N343, 0), CONVERT(I343, J343, "kg")))</f>
        <v>0</v>
      </c>
      <c r="P343" s="51">
        <f t="shared" ref="P343:P344" si="267">IF(J343 = "", I343 * N343, IF(ISNA(CONVERT(I343, J343, "l")), CONVERT(I343, J343, "kg") * IF(M343 &lt;&gt; 0, N343 / M343, 0), CONVERT(I343, J343, "l")))</f>
        <v>0.23658823649999999</v>
      </c>
      <c r="Q343" s="51">
        <f>MROUND(IF(AND(J343 = "", L343 = ""), I343 * recipe04DayScale, IF(ISNA(CONVERT(O343, "kg", L343)), CONVERT(P343 * recipe04DayScale, "l", L343), CONVERT(O343 * recipe04DayScale, "kg", L343))), roundTo)</f>
        <v>0.75</v>
      </c>
      <c r="R343" s="52">
        <f>recipe04TotScale * IF(L343 = "", Q343 * M343, IF(ISNA(CONVERT(Q343, L343, "kg")), CONVERT(Q343, L343, "l") * IF(N343 &lt;&gt; 0, M343 / N343, 0), CONVERT(Q343, L343, "kg")))</f>
        <v>0</v>
      </c>
      <c r="S343" s="52">
        <f>recipe04TotScale * IF(R343 = 0, IF(L343 = "", Q343 * N343, IF(ISNA(CONVERT(Q343, L343, "l")), CONVERT(Q343, L343, "kg") * IF(M343 &lt;&gt; 0, N343 / M343, 0), CONVERT(Q343, L343, "l"))), 0)</f>
        <v>0.17744117737499998</v>
      </c>
      <c r="T343" s="51">
        <f>recipe04TotScale * IF(AND(R343 = 0, S343 = 0, J343 = "", L343 = ""), Q343, 0)</f>
        <v>0</v>
      </c>
      <c r="V343" s="48" t="b">
        <f>INDEX(itemPrepMethods, MATCH(K343, itemNames, 0))="chop"</f>
        <v>0</v>
      </c>
      <c r="W343" s="62" t="str">
        <f>IF(V343, Q343, "")</f>
        <v/>
      </c>
      <c r="X343" s="63" t="str">
        <f>IF(V343, IF(L343 = "", "", L343), "")</f>
        <v/>
      </c>
      <c r="Y343" s="63" t="str">
        <f>IF(V343, K343, "")</f>
        <v/>
      </c>
      <c r="Z343" s="64"/>
      <c r="AA343" s="48" t="b">
        <f>INDEX(itemPrepMethods, MATCH(K343, itemNames, 0))="soak"</f>
        <v>0</v>
      </c>
      <c r="AB343" s="63" t="str">
        <f>IF(AA343, Q343, "")</f>
        <v/>
      </c>
      <c r="AC343" s="63" t="str">
        <f>IF(AA343, IF(L343 = "", "", L343), "")</f>
        <v/>
      </c>
      <c r="AD343" s="63" t="str">
        <f>IF(AA343, K343, "")</f>
        <v/>
      </c>
    </row>
    <row r="344" spans="1:30" x14ac:dyDescent="0.25">
      <c r="A344" s="44" t="s">
        <v>21</v>
      </c>
      <c r="B344" s="57">
        <f t="shared" si="263"/>
        <v>0.75</v>
      </c>
      <c r="C344" s="43" t="str">
        <f>IF(L344="","",L344)</f>
        <v>l</v>
      </c>
      <c r="D344" s="44" t="str">
        <f>_xlfn.CONCAT(K344, U344)</f>
        <v>vegetable stock</v>
      </c>
      <c r="I344" s="59">
        <v>1</v>
      </c>
      <c r="J344" s="60" t="s">
        <v>60</v>
      </c>
      <c r="K344" s="60" t="s">
        <v>61</v>
      </c>
      <c r="L344" s="61" t="s">
        <v>60</v>
      </c>
      <c r="M344" s="51">
        <f>INDEX(itemGPerQty, MATCH(K344, itemNames, 0))</f>
        <v>0</v>
      </c>
      <c r="N344" s="51">
        <f>INDEX(itemMlPerQty, MATCH(K344, itemNames, 0))</f>
        <v>0</v>
      </c>
      <c r="O344" s="51">
        <f t="shared" si="266"/>
        <v>0</v>
      </c>
      <c r="P344" s="51">
        <f t="shared" si="267"/>
        <v>1</v>
      </c>
      <c r="Q344" s="51">
        <f>MROUND(IF(AND(J344 = "", L344 = ""), I344 * recipe04DayScale, IF(ISNA(CONVERT(O344, "kg", L344)), CONVERT(P344 * recipe04DayScale, "l", L344), CONVERT(O344 * recipe04DayScale, "kg", L344))), roundTo)</f>
        <v>0.75</v>
      </c>
      <c r="R344" s="52">
        <f>recipe04TotScale * IF(L344 = "", Q344 * M344, IF(ISNA(CONVERT(Q344, L344, "kg")), CONVERT(Q344, L344, "l") * IF(N344 &lt;&gt; 0, M344 / N344, 0), CONVERT(Q344, L344, "kg")))</f>
        <v>0</v>
      </c>
      <c r="S344" s="52">
        <f>recipe04TotScale * IF(R344 = 0, IF(L344 = "", Q344 * N344, IF(ISNA(CONVERT(Q344, L344, "l")), CONVERT(Q344, L344, "kg") * IF(M344 &lt;&gt; 0, N344 / M344, 0), CONVERT(Q344, L344, "l"))), 0)</f>
        <v>0.75</v>
      </c>
      <c r="T344" s="51">
        <f>recipe04TotScale * IF(AND(R344 = 0, S344 = 0, J344 = "", L344 = ""), Q344, 0)</f>
        <v>0</v>
      </c>
      <c r="V344" s="48" t="b">
        <f>INDEX(itemPrepMethods, MATCH(K344, itemNames, 0))="chop"</f>
        <v>0</v>
      </c>
      <c r="W344" s="62" t="str">
        <f>IF(V344, Q344, "")</f>
        <v/>
      </c>
      <c r="X344" s="63" t="str">
        <f>IF(V344, IF(L344 = "", "", L344), "")</f>
        <v/>
      </c>
      <c r="Y344" s="63" t="str">
        <f>IF(V344, K344, "")</f>
        <v/>
      </c>
      <c r="Z344" s="64"/>
      <c r="AA344" s="48" t="b">
        <f>INDEX(itemPrepMethods, MATCH(K344, itemNames, 0))="soak"</f>
        <v>0</v>
      </c>
      <c r="AB344" s="63" t="str">
        <f>IF(AA344, Q344, "")</f>
        <v/>
      </c>
      <c r="AC344" s="63" t="str">
        <f>IF(AA344, IF(L344 = "", "", L344), "")</f>
        <v/>
      </c>
      <c r="AD344" s="63" t="str">
        <f>IF(AA344, K344, "")</f>
        <v/>
      </c>
    </row>
    <row r="345" spans="1:30" ht="15.75" x14ac:dyDescent="0.25">
      <c r="A345" s="113"/>
      <c r="B345" s="113"/>
      <c r="C345" s="113"/>
      <c r="D345" s="113"/>
      <c r="E345" s="46"/>
      <c r="F345" s="46"/>
      <c r="G345" s="51"/>
      <c r="H345" s="51"/>
      <c r="I345" s="68"/>
      <c r="J345" s="46"/>
      <c r="K345" s="46"/>
      <c r="L345" s="69"/>
      <c r="M345" s="68"/>
      <c r="N345" s="68"/>
      <c r="O345" s="68"/>
      <c r="P345" s="68"/>
      <c r="Q345" s="46"/>
      <c r="R345" s="70"/>
      <c r="S345" s="70"/>
      <c r="T345" s="68"/>
      <c r="U345" s="46"/>
      <c r="W345" s="81"/>
      <c r="X345" s="81"/>
      <c r="Y345" s="81"/>
      <c r="Z345" s="81"/>
      <c r="AA345" s="73"/>
      <c r="AB345" s="81"/>
      <c r="AC345" s="81"/>
      <c r="AD345" s="81"/>
    </row>
    <row r="346" spans="1:30" x14ac:dyDescent="0.25">
      <c r="A346" s="110" t="s">
        <v>261</v>
      </c>
      <c r="B346" s="110"/>
      <c r="C346" s="110"/>
      <c r="D346" s="110"/>
      <c r="E346" s="46"/>
      <c r="F346" s="46"/>
      <c r="G346" s="51"/>
      <c r="H346" s="51"/>
      <c r="I346" s="68"/>
      <c r="J346" s="46"/>
      <c r="K346" s="46"/>
      <c r="L346" s="69"/>
      <c r="M346" s="68"/>
      <c r="N346" s="68"/>
      <c r="O346" s="68"/>
      <c r="P346" s="68"/>
      <c r="Q346" s="46"/>
      <c r="R346" s="70"/>
      <c r="S346" s="70"/>
      <c r="T346" s="68"/>
      <c r="U346" s="46"/>
      <c r="W346" s="81"/>
      <c r="X346" s="81"/>
      <c r="Y346" s="81"/>
      <c r="Z346" s="81"/>
      <c r="AA346" s="73"/>
      <c r="AB346" s="81"/>
      <c r="AC346" s="81"/>
      <c r="AD346" s="81"/>
    </row>
    <row r="347" spans="1:30" x14ac:dyDescent="0.25">
      <c r="A347" s="44" t="s">
        <v>21</v>
      </c>
      <c r="B347" s="57">
        <f t="shared" si="263"/>
        <v>2</v>
      </c>
      <c r="C347" s="43" t="str">
        <f>IF(L347="","",L347)</f>
        <v/>
      </c>
      <c r="D347" s="44" t="str">
        <f>_xlfn.CONCAT(K347, U347)</f>
        <v>chopped kumara</v>
      </c>
      <c r="I347" s="59">
        <v>3</v>
      </c>
      <c r="J347" s="60"/>
      <c r="K347" s="60" t="s">
        <v>163</v>
      </c>
      <c r="L347" s="61"/>
      <c r="M347" s="51">
        <f>INDEX(itemGPerQty, MATCH(K347, itemNames, 0))</f>
        <v>0.34</v>
      </c>
      <c r="N347" s="51">
        <f>INDEX(itemMlPerQty, MATCH(K347, itemNames, 0))</f>
        <v>0</v>
      </c>
      <c r="O347" s="51">
        <f t="shared" ref="O347:O348" si="268">IF(J347 = "", I347 * M347, IF(ISNA(CONVERT(I347, J347, "kg")), CONVERT(I347, J347, "l") * IF(N347 &lt;&gt; 0, M347 / N347, 0), CONVERT(I347, J347, "kg")))</f>
        <v>1.02</v>
      </c>
      <c r="P347" s="51">
        <f t="shared" ref="P347:P348" si="269">IF(J347 = "", I347 * N347, IF(ISNA(CONVERT(I347, J347, "l")), CONVERT(I347, J347, "kg") * IF(M347 &lt;&gt; 0, N347 / M347, 0), CONVERT(I347, J347, "l")))</f>
        <v>0</v>
      </c>
      <c r="Q347" s="51">
        <f>MROUND(IF(AND(J347 = "", L347 = ""), I347 * recipe04DayScale, IF(ISNA(CONVERT(O347, "kg", L347)), CONVERT(P347 * recipe04DayScale, "l", L347), CONVERT(O347 * recipe04DayScale, "kg", L347))), roundTo)</f>
        <v>2</v>
      </c>
      <c r="R347" s="52">
        <f>recipe04TotScale * IF(L347 = "", Q347 * M347, IF(ISNA(CONVERT(Q347, L347, "kg")), CONVERT(Q347, L347, "l") * IF(N347 &lt;&gt; 0, M347 / N347, 0), CONVERT(Q347, L347, "kg")))</f>
        <v>0.68</v>
      </c>
      <c r="S347" s="52">
        <f>recipe04TotScale * IF(R347 = 0, IF(L347 = "", Q347 * N347, IF(ISNA(CONVERT(Q347, L347, "l")), CONVERT(Q347, L347, "kg") * IF(M347 &lt;&gt; 0, N347 / M347, 0), CONVERT(Q347, L347, "l"))), 0)</f>
        <v>0</v>
      </c>
      <c r="T347" s="51">
        <f>recipe04TotScale * IF(AND(R347 = 0, S347 = 0, J347 = "", L347 = ""), Q347, 0)</f>
        <v>0</v>
      </c>
      <c r="V347" s="48" t="b">
        <f>INDEX(itemPrepMethods, MATCH(K347, itemNames, 0))="chop"</f>
        <v>1</v>
      </c>
      <c r="W347" s="62">
        <f>IF(V347, Q347, "")</f>
        <v>2</v>
      </c>
      <c r="X347" s="63" t="str">
        <f>IF(V347, IF(L347 = "", "", L347), "")</f>
        <v/>
      </c>
      <c r="Y347" s="63" t="str">
        <f>IF(V347, K347, "")</f>
        <v>chopped kumara</v>
      </c>
      <c r="Z347" s="64"/>
      <c r="AA347" s="48" t="b">
        <f>INDEX(itemPrepMethods, MATCH(K347, itemNames, 0))="soak"</f>
        <v>0</v>
      </c>
      <c r="AB347" s="63" t="str">
        <f>IF(AA347, Q347, "")</f>
        <v/>
      </c>
      <c r="AC347" s="63" t="str">
        <f>IF(AA347, IF(L347 = "", "", L347), "")</f>
        <v/>
      </c>
      <c r="AD347" s="63" t="str">
        <f>IF(AA347, K347, "")</f>
        <v/>
      </c>
    </row>
    <row r="348" spans="1:30" x14ac:dyDescent="0.25">
      <c r="A348" s="44" t="s">
        <v>21</v>
      </c>
      <c r="B348" s="57">
        <f t="shared" si="263"/>
        <v>6</v>
      </c>
      <c r="C348" s="43" t="str">
        <f>IF(L348="","",L348)</f>
        <v/>
      </c>
      <c r="D348" s="44" t="str">
        <f>_xlfn.CONCAT(K348, U348)</f>
        <v>chopped carrots</v>
      </c>
      <c r="I348" s="59">
        <v>9</v>
      </c>
      <c r="J348" s="60"/>
      <c r="K348" s="60" t="s">
        <v>5</v>
      </c>
      <c r="L348" s="61"/>
      <c r="M348" s="51">
        <f>INDEX(itemGPerQty, MATCH(K348, itemNames, 0))</f>
        <v>0.14833333333333334</v>
      </c>
      <c r="N348" s="51">
        <f>INDEX(itemMlPerQty, MATCH(K348, itemNames, 0))</f>
        <v>0.19999999999999998</v>
      </c>
      <c r="O348" s="51">
        <f t="shared" si="268"/>
        <v>1.3350000000000002</v>
      </c>
      <c r="P348" s="51">
        <f t="shared" si="269"/>
        <v>1.7999999999999998</v>
      </c>
      <c r="Q348" s="51">
        <f>MROUND(IF(AND(J348 = "", L348 = ""), I348 * recipe04DayScale, IF(ISNA(CONVERT(O348, "kg", L348)), CONVERT(P348 * recipe04DayScale, "l", L348), CONVERT(O348 * recipe04DayScale, "kg", L348))), roundTo)</f>
        <v>6</v>
      </c>
      <c r="R348" s="52">
        <f>recipe04TotScale * IF(L348 = "", Q348 * M348, IF(ISNA(CONVERT(Q348, L348, "kg")), CONVERT(Q348, L348, "l") * IF(N348 &lt;&gt; 0, M348 / N348, 0), CONVERT(Q348, L348, "kg")))</f>
        <v>0.89000000000000012</v>
      </c>
      <c r="S348" s="52">
        <f>recipe04TotScale * IF(R348 = 0, IF(L348 = "", Q348 * N348, IF(ISNA(CONVERT(Q348, L348, "l")), CONVERT(Q348, L348, "kg") * IF(M348 &lt;&gt; 0, N348 / M348, 0), CONVERT(Q348, L348, "l"))), 0)</f>
        <v>0</v>
      </c>
      <c r="T348" s="51">
        <f>recipe04TotScale * IF(AND(R348 = 0, S348 = 0, J348 = "", L348 = ""), Q348, 0)</f>
        <v>0</v>
      </c>
      <c r="V348" s="48" t="b">
        <f>INDEX(itemPrepMethods, MATCH(K348, itemNames, 0))="chop"</f>
        <v>1</v>
      </c>
      <c r="W348" s="62">
        <f>IF(V348, Q348, "")</f>
        <v>6</v>
      </c>
      <c r="X348" s="63" t="str">
        <f>IF(V348, IF(L348 = "", "", L348), "")</f>
        <v/>
      </c>
      <c r="Y348" s="63" t="str">
        <f>IF(V348, K348, "")</f>
        <v>chopped carrots</v>
      </c>
      <c r="Z348" s="64"/>
      <c r="AA348" s="48" t="b">
        <f>INDEX(itemPrepMethods, MATCH(K348, itemNames, 0))="soak"</f>
        <v>0</v>
      </c>
      <c r="AB348" s="63" t="str">
        <f>IF(AA348, Q348, "")</f>
        <v/>
      </c>
      <c r="AC348" s="63" t="str">
        <f>IF(AA348, IF(L348 = "", "", L348), "")</f>
        <v/>
      </c>
      <c r="AD348" s="63" t="str">
        <f>IF(AA348, K348, "")</f>
        <v/>
      </c>
    </row>
    <row r="349" spans="1:30" ht="15.75" x14ac:dyDescent="0.25">
      <c r="A349" s="113"/>
      <c r="B349" s="113"/>
      <c r="C349" s="113"/>
      <c r="D349" s="113"/>
      <c r="E349" s="46"/>
      <c r="F349" s="46"/>
      <c r="G349" s="51"/>
      <c r="H349" s="51"/>
      <c r="I349" s="68"/>
      <c r="J349" s="46"/>
      <c r="K349" s="46"/>
      <c r="L349" s="69"/>
      <c r="M349" s="68"/>
      <c r="N349" s="68"/>
      <c r="O349" s="68"/>
      <c r="P349" s="68"/>
      <c r="Q349" s="46"/>
      <c r="R349" s="70"/>
      <c r="S349" s="70"/>
      <c r="T349" s="68"/>
      <c r="U349" s="46"/>
      <c r="W349" s="81"/>
      <c r="X349" s="81"/>
      <c r="Y349" s="81"/>
      <c r="Z349" s="81"/>
      <c r="AA349" s="73"/>
      <c r="AB349" s="81"/>
      <c r="AC349" s="81"/>
      <c r="AD349" s="81"/>
    </row>
    <row r="350" spans="1:30" x14ac:dyDescent="0.25">
      <c r="A350" s="110" t="s">
        <v>262</v>
      </c>
      <c r="B350" s="110"/>
      <c r="C350" s="110"/>
      <c r="D350" s="110"/>
      <c r="E350" s="46"/>
      <c r="F350" s="46"/>
      <c r="G350" s="51"/>
      <c r="H350" s="51"/>
      <c r="I350" s="68"/>
      <c r="J350" s="46"/>
      <c r="K350" s="46"/>
      <c r="L350" s="69"/>
      <c r="M350" s="68"/>
      <c r="N350" s="68"/>
      <c r="O350" s="68"/>
      <c r="P350" s="68"/>
      <c r="Q350" s="46"/>
      <c r="R350" s="70"/>
      <c r="S350" s="70"/>
      <c r="T350" s="68"/>
      <c r="U350" s="46"/>
      <c r="W350" s="81"/>
      <c r="X350" s="81"/>
      <c r="Y350" s="81"/>
      <c r="Z350" s="81"/>
      <c r="AA350" s="73"/>
      <c r="AB350" s="81"/>
      <c r="AC350" s="81"/>
      <c r="AD350" s="81"/>
    </row>
    <row r="351" spans="1:30" x14ac:dyDescent="0.25">
      <c r="A351" s="44" t="s">
        <v>21</v>
      </c>
      <c r="B351" s="57">
        <f t="shared" si="263"/>
        <v>0.75</v>
      </c>
      <c r="C351" s="43" t="str">
        <f>IF(L351="","",L351)</f>
        <v/>
      </c>
      <c r="D351" s="44" t="str">
        <f>_xlfn.CONCAT(K351, U351)</f>
        <v>chopped cauliflowers</v>
      </c>
      <c r="I351" s="59">
        <v>1.2</v>
      </c>
      <c r="J351" s="60"/>
      <c r="K351" s="60" t="s">
        <v>172</v>
      </c>
      <c r="L351" s="61"/>
      <c r="M351" s="51">
        <f>INDEX(itemGPerQty, MATCH(K351, itemNames, 0))</f>
        <v>0</v>
      </c>
      <c r="N351" s="51">
        <f>INDEX(itemMlPerQty, MATCH(K351, itemNames, 0))</f>
        <v>0</v>
      </c>
      <c r="O351" s="51">
        <f t="shared" ref="O351:O354" si="270">IF(J351 = "", I351 * M351, IF(ISNA(CONVERT(I351, J351, "kg")), CONVERT(I351, J351, "l") * IF(N351 &lt;&gt; 0, M351 / N351, 0), CONVERT(I351, J351, "kg")))</f>
        <v>0</v>
      </c>
      <c r="P351" s="51">
        <f t="shared" ref="P351:P354" si="271">IF(J351 = "", I351 * N351, IF(ISNA(CONVERT(I351, J351, "l")), CONVERT(I351, J351, "kg") * IF(M351 &lt;&gt; 0, N351 / M351, 0), CONVERT(I351, J351, "l")))</f>
        <v>0</v>
      </c>
      <c r="Q351" s="51">
        <f>MROUND(IF(AND(J351 = "", L351 = ""), I351 * recipe04DayScale, IF(ISNA(CONVERT(O351, "kg", L351)), CONVERT(P351 * recipe04DayScale, "l", L351), CONVERT(O351 * recipe04DayScale, "kg", L351))), roundTo)</f>
        <v>0.75</v>
      </c>
      <c r="R351" s="52">
        <f>recipe04TotScale * IF(L351 = "", Q351 * M351, IF(ISNA(CONVERT(Q351, L351, "kg")), CONVERT(Q351, L351, "l") * IF(N351 &lt;&gt; 0, M351 / N351, 0), CONVERT(Q351, L351, "kg")))</f>
        <v>0</v>
      </c>
      <c r="S351" s="52">
        <f>recipe04TotScale * IF(R351 = 0, IF(L351 = "", Q351 * N351, IF(ISNA(CONVERT(Q351, L351, "l")), CONVERT(Q351, L351, "kg") * IF(M351 &lt;&gt; 0, N351 / M351, 0), CONVERT(Q351, L351, "l"))), 0)</f>
        <v>0</v>
      </c>
      <c r="T351" s="51">
        <f>recipe04TotScale * IF(AND(R351 = 0, S351 = 0, J351 = "", L351 = ""), Q351, 0)</f>
        <v>0.75</v>
      </c>
      <c r="V351" s="48" t="b">
        <f>INDEX(itemPrepMethods, MATCH(K351, itemNames, 0))="chop"</f>
        <v>1</v>
      </c>
      <c r="W351" s="62">
        <f>IF(V351, Q351, "")</f>
        <v>0.75</v>
      </c>
      <c r="X351" s="63" t="str">
        <f>IF(V351, IF(L351 = "", "", L351), "")</f>
        <v/>
      </c>
      <c r="Y351" s="63" t="str">
        <f>IF(V351, K351, "")</f>
        <v>chopped cauliflowers</v>
      </c>
      <c r="Z351" s="64"/>
      <c r="AA351" s="48" t="b">
        <f>INDEX(itemPrepMethods, MATCH(K351, itemNames, 0))="soak"</f>
        <v>0</v>
      </c>
      <c r="AB351" s="63" t="str">
        <f>IF(AA351, Q351, "")</f>
        <v/>
      </c>
      <c r="AC351" s="63" t="str">
        <f>IF(AA351, IF(L351 = "", "", L351), "")</f>
        <v/>
      </c>
      <c r="AD351" s="63" t="str">
        <f>IF(AA351, K351, "")</f>
        <v/>
      </c>
    </row>
    <row r="352" spans="1:30" x14ac:dyDescent="0.25">
      <c r="A352" s="44" t="s">
        <v>21</v>
      </c>
      <c r="B352" s="57">
        <f t="shared" si="263"/>
        <v>5.25</v>
      </c>
      <c r="C352" s="43" t="str">
        <f>IF(L352="","",L352)</f>
        <v/>
      </c>
      <c r="D352" s="44" t="str">
        <f>_xlfn.CONCAT(K352, U352)</f>
        <v>sliced zucchini</v>
      </c>
      <c r="I352" s="59">
        <v>8</v>
      </c>
      <c r="J352" s="60"/>
      <c r="K352" s="60" t="s">
        <v>113</v>
      </c>
      <c r="L352" s="61"/>
      <c r="M352" s="51">
        <f>INDEX(itemGPerQty, MATCH(K352, itemNames, 0))</f>
        <v>0</v>
      </c>
      <c r="N352" s="51">
        <f>INDEX(itemMlPerQty, MATCH(K352, itemNames, 0))</f>
        <v>0</v>
      </c>
      <c r="O352" s="51">
        <f t="shared" si="270"/>
        <v>0</v>
      </c>
      <c r="P352" s="51">
        <f t="shared" si="271"/>
        <v>0</v>
      </c>
      <c r="Q352" s="51">
        <f>MROUND(IF(AND(J352 = "", L352 = ""), I352 * recipe04DayScale, IF(ISNA(CONVERT(O352, "kg", L352)), CONVERT(P352 * recipe04DayScale, "l", L352), CONVERT(O352 * recipe04DayScale, "kg", L352))), roundTo)</f>
        <v>5.25</v>
      </c>
      <c r="R352" s="52">
        <f>recipe04TotScale * IF(L352 = "", Q352 * M352, IF(ISNA(CONVERT(Q352, L352, "kg")), CONVERT(Q352, L352, "l") * IF(N352 &lt;&gt; 0, M352 / N352, 0), CONVERT(Q352, L352, "kg")))</f>
        <v>0</v>
      </c>
      <c r="S352" s="52">
        <f>recipe04TotScale * IF(R352 = 0, IF(L352 = "", Q352 * N352, IF(ISNA(CONVERT(Q352, L352, "l")), CONVERT(Q352, L352, "kg") * IF(M352 &lt;&gt; 0, N352 / M352, 0), CONVERT(Q352, L352, "l"))), 0)</f>
        <v>0</v>
      </c>
      <c r="T352" s="51">
        <f>recipe04TotScale * IF(AND(R352 = 0, S352 = 0, J352 = "", L352 = ""), Q352, 0)</f>
        <v>5.25</v>
      </c>
      <c r="V352" s="48" t="b">
        <f>INDEX(itemPrepMethods, MATCH(K352, itemNames, 0))="chop"</f>
        <v>1</v>
      </c>
      <c r="W352" s="62">
        <f>IF(V352, Q352, "")</f>
        <v>5.25</v>
      </c>
      <c r="X352" s="63" t="str">
        <f>IF(V352, IF(L352 = "", "", L352), "")</f>
        <v/>
      </c>
      <c r="Y352" s="63" t="str">
        <f>IF(V352, K352, "")</f>
        <v>sliced zucchini</v>
      </c>
      <c r="Z352" s="64"/>
      <c r="AA352" s="48" t="b">
        <f>INDEX(itemPrepMethods, MATCH(K352, itemNames, 0))="soak"</f>
        <v>0</v>
      </c>
      <c r="AB352" s="63" t="str">
        <f>IF(AA352, Q352, "")</f>
        <v/>
      </c>
      <c r="AC352" s="63" t="str">
        <f>IF(AA352, IF(L352 = "", "", L352), "")</f>
        <v/>
      </c>
      <c r="AD352" s="63" t="str">
        <f>IF(AA352, K352, "")</f>
        <v/>
      </c>
    </row>
    <row r="353" spans="1:30" x14ac:dyDescent="0.25">
      <c r="A353" s="44" t="s">
        <v>21</v>
      </c>
      <c r="B353" s="57">
        <f t="shared" si="263"/>
        <v>7.25</v>
      </c>
      <c r="C353" s="43" t="str">
        <f>IF(L353="","",L353)</f>
        <v/>
      </c>
      <c r="D353" s="44" t="str">
        <f>_xlfn.CONCAT(K353, U353)</f>
        <v>sliced silverbeet leaves</v>
      </c>
      <c r="I353" s="59">
        <v>11</v>
      </c>
      <c r="J353" s="60"/>
      <c r="K353" s="60" t="s">
        <v>115</v>
      </c>
      <c r="L353" s="61"/>
      <c r="M353" s="51">
        <f>INDEX(itemGPerQty, MATCH(K353, itemNames, 0))</f>
        <v>0</v>
      </c>
      <c r="N353" s="51">
        <f>INDEX(itemMlPerQty, MATCH(K353, itemNames, 0))</f>
        <v>0</v>
      </c>
      <c r="O353" s="51">
        <f t="shared" si="270"/>
        <v>0</v>
      </c>
      <c r="P353" s="51">
        <f t="shared" si="271"/>
        <v>0</v>
      </c>
      <c r="Q353" s="51">
        <f>MROUND(IF(AND(J353 = "", L353 = ""), I353 * recipe04DayScale, IF(ISNA(CONVERT(O353, "kg", L353)), CONVERT(P353 * recipe04DayScale, "l", L353), CONVERT(O353 * recipe04DayScale, "kg", L353))), roundTo)</f>
        <v>7.25</v>
      </c>
      <c r="R353" s="52">
        <f>recipe04TotScale * IF(L353 = "", Q353 * M353, IF(ISNA(CONVERT(Q353, L353, "kg")), CONVERT(Q353, L353, "l") * IF(N353 &lt;&gt; 0, M353 / N353, 0), CONVERT(Q353, L353, "kg")))</f>
        <v>0</v>
      </c>
      <c r="S353" s="52">
        <f>recipe04TotScale * IF(R353 = 0, IF(L353 = "", Q353 * N353, IF(ISNA(CONVERT(Q353, L353, "l")), CONVERT(Q353, L353, "kg") * IF(M353 &lt;&gt; 0, N353 / M353, 0), CONVERT(Q353, L353, "l"))), 0)</f>
        <v>0</v>
      </c>
      <c r="T353" s="51">
        <f>recipe04TotScale * IF(AND(R353 = 0, S353 = 0, J353 = "", L353 = ""), Q353, 0)</f>
        <v>7.25</v>
      </c>
      <c r="V353" s="48" t="b">
        <f>INDEX(itemPrepMethods, MATCH(K353, itemNames, 0))="chop"</f>
        <v>1</v>
      </c>
      <c r="W353" s="62">
        <f>IF(V353, Q353, "")</f>
        <v>7.25</v>
      </c>
      <c r="X353" s="63" t="str">
        <f>IF(V353, IF(L353 = "", "", L353), "")</f>
        <v/>
      </c>
      <c r="Y353" s="63" t="str">
        <f>IF(V353, K353, "")</f>
        <v>sliced silverbeet leaves</v>
      </c>
      <c r="Z353" s="64"/>
      <c r="AA353" s="48" t="b">
        <f>INDEX(itemPrepMethods, MATCH(K353, itemNames, 0))="soak"</f>
        <v>0</v>
      </c>
      <c r="AB353" s="63" t="str">
        <f>IF(AA353, Q353, "")</f>
        <v/>
      </c>
      <c r="AC353" s="63" t="str">
        <f>IF(AA353, IF(L353 = "", "", L353), "")</f>
        <v/>
      </c>
      <c r="AD353" s="63" t="str">
        <f>IF(AA353, K353, "")</f>
        <v/>
      </c>
    </row>
    <row r="354" spans="1:30" x14ac:dyDescent="0.25">
      <c r="A354" s="44" t="s">
        <v>21</v>
      </c>
      <c r="B354" s="57">
        <f t="shared" si="263"/>
        <v>0.75</v>
      </c>
      <c r="C354" s="43" t="str">
        <f>IF(L354="","",L354)</f>
        <v>tbs</v>
      </c>
      <c r="D354" s="44" t="str">
        <f>_xlfn.CONCAT(K354, U354)</f>
        <v>salt</v>
      </c>
      <c r="I354" s="59">
        <v>1.1000000000000001</v>
      </c>
      <c r="J354" s="60" t="s">
        <v>15</v>
      </c>
      <c r="K354" s="60" t="s">
        <v>11</v>
      </c>
      <c r="L354" s="61" t="s">
        <v>15</v>
      </c>
      <c r="M354" s="51">
        <f>INDEX(itemGPerQty, MATCH(K354, itemNames, 0))</f>
        <v>2.5000000000000001E-2</v>
      </c>
      <c r="N354" s="51">
        <f>INDEX(itemMlPerQty, MATCH(K354, itemNames, 0))</f>
        <v>2.2180100000000001E-2</v>
      </c>
      <c r="O354" s="51">
        <f t="shared" si="270"/>
        <v>1.8333372324037089E-2</v>
      </c>
      <c r="P354" s="51">
        <f t="shared" si="271"/>
        <v>1.6265441259374999E-2</v>
      </c>
      <c r="Q354" s="51">
        <f>MROUND(IF(AND(J354 = "", L354 = ""), I354 * recipe04DayScale, IF(ISNA(CONVERT(O354, "kg", L354)), CONVERT(P354 * recipe04DayScale, "l", L354), CONVERT(O354 * recipe04DayScale, "kg", L354))), roundTo)</f>
        <v>0.75</v>
      </c>
      <c r="R354" s="52">
        <f>recipe04TotScale * IF(L354 = "", Q354 * M354, IF(ISNA(CONVERT(Q354, L354, "kg")), CONVERT(Q354, L354, "l") * IF(N354 &lt;&gt; 0, M354 / N354, 0), CONVERT(Q354, L354, "kg")))</f>
        <v>1.2500026584570742E-2</v>
      </c>
      <c r="S354" s="52">
        <f>recipe04TotScale * IF(R354 = 0, IF(L354 = "", Q354 * N354, IF(ISNA(CONVERT(Q354, L354, "l")), CONVERT(Q354, L354, "kg") * IF(M354 &lt;&gt; 0, N354 / M354, 0), CONVERT(Q354, L354, "l"))), 0)</f>
        <v>0</v>
      </c>
      <c r="T354" s="51">
        <f>recipe04TotScale * IF(AND(R354 = 0, S354 = 0, J354 = "", L354 = ""), Q354, 0)</f>
        <v>0</v>
      </c>
      <c r="V354" s="48" t="b">
        <f>INDEX(itemPrepMethods, MATCH(K354, itemNames, 0))="chop"</f>
        <v>0</v>
      </c>
      <c r="W354" s="62" t="str">
        <f>IF(V354, Q354, "")</f>
        <v/>
      </c>
      <c r="X354" s="63" t="str">
        <f>IF(V354, IF(L354 = "", "", L354), "")</f>
        <v/>
      </c>
      <c r="Y354" s="63" t="str">
        <f>IF(V354, K354, "")</f>
        <v/>
      </c>
      <c r="Z354" s="64"/>
      <c r="AA354" s="48" t="b">
        <f>INDEX(itemPrepMethods, MATCH(K354, itemNames, 0))="soak"</f>
        <v>0</v>
      </c>
      <c r="AB354" s="63" t="str">
        <f>IF(AA354, Q354, "")</f>
        <v/>
      </c>
      <c r="AC354" s="63" t="str">
        <f>IF(AA354, IF(L354 = "", "", L354), "")</f>
        <v/>
      </c>
      <c r="AD354" s="63" t="str">
        <f>IF(AA354, K354, "")</f>
        <v/>
      </c>
    </row>
    <row r="355" spans="1:30" ht="15.75" x14ac:dyDescent="0.25">
      <c r="A355" s="113"/>
      <c r="B355" s="113"/>
      <c r="C355" s="113"/>
      <c r="D355" s="113"/>
      <c r="E355" s="46"/>
      <c r="F355" s="46"/>
      <c r="G355" s="51"/>
      <c r="H355" s="51"/>
      <c r="I355" s="68"/>
      <c r="J355" s="46"/>
      <c r="K355" s="46"/>
      <c r="L355" s="69"/>
      <c r="M355" s="68"/>
      <c r="N355" s="68"/>
      <c r="O355" s="68"/>
      <c r="P355" s="68"/>
      <c r="Q355" s="46"/>
      <c r="R355" s="70"/>
      <c r="S355" s="70"/>
      <c r="T355" s="68"/>
      <c r="U355" s="46"/>
      <c r="W355" s="81"/>
      <c r="X355" s="81"/>
      <c r="Y355" s="81"/>
      <c r="Z355" s="81"/>
      <c r="AA355" s="73"/>
      <c r="AB355" s="81"/>
      <c r="AC355" s="81"/>
      <c r="AD355" s="81"/>
    </row>
    <row r="356" spans="1:30" x14ac:dyDescent="0.25">
      <c r="A356" s="110" t="s">
        <v>263</v>
      </c>
      <c r="B356" s="110"/>
      <c r="C356" s="110"/>
      <c r="D356" s="110"/>
      <c r="E356" s="46"/>
      <c r="F356" s="46"/>
      <c r="G356" s="51"/>
      <c r="H356" s="51"/>
      <c r="I356" s="68"/>
      <c r="J356" s="46"/>
      <c r="K356" s="46"/>
      <c r="L356" s="69"/>
      <c r="M356" s="68"/>
      <c r="N356" s="68"/>
      <c r="O356" s="68"/>
      <c r="P356" s="68"/>
      <c r="Q356" s="46"/>
      <c r="R356" s="70"/>
      <c r="S356" s="70"/>
      <c r="T356" s="68"/>
      <c r="U356" s="46"/>
      <c r="W356" s="81"/>
      <c r="X356" s="81"/>
      <c r="Y356" s="81"/>
      <c r="Z356" s="81"/>
      <c r="AA356" s="73"/>
      <c r="AB356" s="81"/>
      <c r="AC356" s="81"/>
      <c r="AD356" s="81"/>
    </row>
    <row r="357" spans="1:30" x14ac:dyDescent="0.25">
      <c r="A357" s="44" t="s">
        <v>21</v>
      </c>
      <c r="B357" s="57">
        <f t="shared" si="263"/>
        <v>1.25</v>
      </c>
      <c r="C357" s="43" t="str">
        <f>IF(L357="","",L357)</f>
        <v/>
      </c>
      <c r="D357" s="44" t="str">
        <f>_xlfn.CONCAT(K357, U357)</f>
        <v>tins coconut cream</v>
      </c>
      <c r="I357" s="59">
        <v>2</v>
      </c>
      <c r="J357" s="60"/>
      <c r="K357" s="60" t="s">
        <v>114</v>
      </c>
      <c r="L357" s="61"/>
      <c r="M357" s="51">
        <f>INDEX(itemGPerQty, MATCH(K357, itemNames, 0))</f>
        <v>0</v>
      </c>
      <c r="N357" s="51">
        <f>INDEX(itemMlPerQty, MATCH(K357, itemNames, 0))</f>
        <v>0</v>
      </c>
      <c r="O357" s="51">
        <f t="shared" ref="O357:O358" si="272">IF(J357 = "", I357 * M357, IF(ISNA(CONVERT(I357, J357, "kg")), CONVERT(I357, J357, "l") * IF(N357 &lt;&gt; 0, M357 / N357, 0), CONVERT(I357, J357, "kg")))</f>
        <v>0</v>
      </c>
      <c r="P357" s="51">
        <f t="shared" ref="P357:P358" si="273">IF(J357 = "", I357 * N357, IF(ISNA(CONVERT(I357, J357, "l")), CONVERT(I357, J357, "kg") * IF(M357 &lt;&gt; 0, N357 / M357, 0), CONVERT(I357, J357, "l")))</f>
        <v>0</v>
      </c>
      <c r="Q357" s="51">
        <f>MROUND(IF(AND(J357 = "", L357 = ""), I357 * recipe04DayScale, IF(ISNA(CONVERT(O357, "kg", L357)), CONVERT(P357 * recipe04DayScale, "l", L357), CONVERT(O357 * recipe04DayScale, "kg", L357))), roundTo)</f>
        <v>1.25</v>
      </c>
      <c r="R357" s="52">
        <f>recipe04TotScale * IF(L357 = "", Q357 * M357, IF(ISNA(CONVERT(Q357, L357, "kg")), CONVERT(Q357, L357, "l") * IF(N357 &lt;&gt; 0, M357 / N357, 0), CONVERT(Q357, L357, "kg")))</f>
        <v>0</v>
      </c>
      <c r="S357" s="52">
        <f>recipe04TotScale * IF(R357 = 0, IF(L357 = "", Q357 * N357, IF(ISNA(CONVERT(Q357, L357, "l")), CONVERT(Q357, L357, "kg") * IF(M357 &lt;&gt; 0, N357 / M357, 0), CONVERT(Q357, L357, "l"))), 0)</f>
        <v>0</v>
      </c>
      <c r="T357" s="51">
        <f>recipe04TotScale * IF(AND(R357 = 0, S357 = 0, J357 = "", L357 = ""), Q357, 0)</f>
        <v>1.25</v>
      </c>
      <c r="V357" s="48" t="b">
        <f>INDEX(itemPrepMethods, MATCH(K357, itemNames, 0))="chop"</f>
        <v>0</v>
      </c>
      <c r="W357" s="62" t="str">
        <f>IF(V357, Q357, "")</f>
        <v/>
      </c>
      <c r="X357" s="63" t="str">
        <f>IF(V357, IF(L357 = "", "", L357), "")</f>
        <v/>
      </c>
      <c r="Y357" s="63" t="str">
        <f>IF(V357, K357, "")</f>
        <v/>
      </c>
      <c r="Z357" s="64"/>
      <c r="AA357" s="48" t="b">
        <f>INDEX(itemPrepMethods, MATCH(K357, itemNames, 0))="soak"</f>
        <v>0</v>
      </c>
      <c r="AB357" s="63" t="str">
        <f>IF(AA357, Q357, "")</f>
        <v/>
      </c>
      <c r="AC357" s="63" t="str">
        <f>IF(AA357, IF(L357 = "", "", L357), "")</f>
        <v/>
      </c>
      <c r="AD357" s="63" t="str">
        <f>IF(AA357, K357, "")</f>
        <v/>
      </c>
    </row>
    <row r="358" spans="1:30" x14ac:dyDescent="0.25">
      <c r="A358" s="44" t="s">
        <v>21</v>
      </c>
      <c r="B358" s="57">
        <f t="shared" si="263"/>
        <v>4</v>
      </c>
      <c r="C358" s="43" t="str">
        <f>IF(L358="","",L358)</f>
        <v/>
      </c>
      <c r="D358" s="44" t="str">
        <f>_xlfn.CONCAT(K358, U358)</f>
        <v>tins chickpeas. Rinse and drain first</v>
      </c>
      <c r="I358" s="59">
        <v>6</v>
      </c>
      <c r="J358" s="59"/>
      <c r="K358" s="59" t="s">
        <v>89</v>
      </c>
      <c r="L358" s="61"/>
      <c r="M358" s="51">
        <f>INDEX(itemGPerQty, MATCH(K358, itemNames, 0))</f>
        <v>0</v>
      </c>
      <c r="N358" s="51">
        <f>INDEX(itemMlPerQty, MATCH(K358, itemNames, 0))</f>
        <v>0</v>
      </c>
      <c r="O358" s="51">
        <f t="shared" si="272"/>
        <v>0</v>
      </c>
      <c r="P358" s="51">
        <f t="shared" si="273"/>
        <v>0</v>
      </c>
      <c r="Q358" s="51">
        <f>MROUND(IF(AND(J358 = "", L358 = ""), I358 * recipe04DayScale, IF(ISNA(CONVERT(O358, "kg", L358)), CONVERT(P358 * recipe04DayScale, "l", L358), CONVERT(O358 * recipe04DayScale, "kg", L358))), roundTo)</f>
        <v>4</v>
      </c>
      <c r="R358" s="52">
        <f>recipe04TotScale * IF(L358 = "", Q358 * M358, IF(ISNA(CONVERT(Q358, L358, "kg")), CONVERT(Q358, L358, "l") * IF(N358 &lt;&gt; 0, M358 / N358, 0), CONVERT(Q358, L358, "kg")))</f>
        <v>0</v>
      </c>
      <c r="S358" s="52">
        <f>recipe04TotScale * IF(R358 = 0, IF(L358 = "", Q358 * N358, IF(ISNA(CONVERT(Q358, L358, "l")), CONVERT(Q358, L358, "kg") * IF(M358 &lt;&gt; 0, N358 / M358, 0), CONVERT(Q358, L358, "l"))), 0)</f>
        <v>0</v>
      </c>
      <c r="T358" s="51">
        <f>recipe04TotScale * IF(AND(R358 = 0, S358 = 0, J358 = "", L358 = ""), Q358, 0)</f>
        <v>4</v>
      </c>
      <c r="U358" s="48" t="s">
        <v>257</v>
      </c>
      <c r="V358" s="48" t="b">
        <f>INDEX(itemPrepMethods, MATCH(K358, itemNames, 0))="chop"</f>
        <v>0</v>
      </c>
      <c r="W358" s="62" t="str">
        <f>IF(V358, Q358, "")</f>
        <v/>
      </c>
      <c r="X358" s="63" t="str">
        <f>IF(V358, IF(L358 = "", "", L358), "")</f>
        <v/>
      </c>
      <c r="Y358" s="63" t="str">
        <f>IF(V358, K358, "")</f>
        <v/>
      </c>
      <c r="Z358" s="64"/>
      <c r="AA358" s="48" t="b">
        <f>INDEX(itemPrepMethods, MATCH(K358, itemNames, 0))="soak"</f>
        <v>0</v>
      </c>
      <c r="AB358" s="63" t="str">
        <f>IF(AA358, Q358, "")</f>
        <v/>
      </c>
      <c r="AC358" s="63" t="str">
        <f>IF(AA358, IF(L358 = "", "", L358), "")</f>
        <v/>
      </c>
      <c r="AD358" s="63" t="str">
        <f>IF(AA358, K358, "")</f>
        <v/>
      </c>
    </row>
    <row r="359" spans="1:30" x14ac:dyDescent="0.25">
      <c r="A359" s="44" t="s">
        <v>21</v>
      </c>
      <c r="B359" s="57"/>
      <c r="C359" s="43" t="str">
        <f>IF(L359="","",L359)</f>
        <v/>
      </c>
      <c r="D359" s="44" t="str">
        <f>_xlfn.CONCAT(K359, U359)</f>
        <v>water, if required</v>
      </c>
      <c r="I359" s="51"/>
      <c r="K359" s="60" t="s">
        <v>48</v>
      </c>
      <c r="L359" s="48"/>
      <c r="M359" s="48"/>
      <c r="N359" s="48"/>
      <c r="O359" s="48"/>
      <c r="P359" s="48"/>
      <c r="U359" s="48" t="s">
        <v>223</v>
      </c>
      <c r="V359" s="48" t="b">
        <f>INDEX(itemPrepMethods, MATCH(K359, itemNames, 0))="chop"</f>
        <v>0</v>
      </c>
      <c r="W359" s="62" t="str">
        <f>IF(V359, Q359, "")</f>
        <v/>
      </c>
      <c r="X359" s="63" t="str">
        <f>IF(V359, IF(L359 = "", "", L359), "")</f>
        <v/>
      </c>
      <c r="Y359" s="63" t="str">
        <f>IF(V359, K359, "")</f>
        <v/>
      </c>
      <c r="Z359" s="64"/>
      <c r="AA359" s="48" t="b">
        <f>INDEX(itemPrepMethods, MATCH(K359, itemNames, 0))="soak"</f>
        <v>0</v>
      </c>
      <c r="AB359" s="63" t="str">
        <f>IF(AA359, Q359, "")</f>
        <v/>
      </c>
      <c r="AC359" s="63" t="str">
        <f>IF(AA359, IF(L359 = "", "", L359), "")</f>
        <v/>
      </c>
      <c r="AD359" s="63" t="str">
        <f>IF(AA359, K359, "")</f>
        <v/>
      </c>
    </row>
    <row r="360" spans="1:30" x14ac:dyDescent="0.25">
      <c r="A360" s="44" t="s">
        <v>21</v>
      </c>
      <c r="B360" s="57"/>
      <c r="C360" s="43" t="str">
        <f>IF(L360="","",L360)</f>
        <v/>
      </c>
      <c r="D360" s="44" t="str">
        <f>_xlfn.CONCAT(K360, U360)</f>
        <v>salt, to taste</v>
      </c>
      <c r="I360" s="51"/>
      <c r="K360" s="60" t="s">
        <v>11</v>
      </c>
      <c r="L360" s="48"/>
      <c r="M360" s="48"/>
      <c r="N360" s="48"/>
      <c r="O360" s="48"/>
      <c r="P360" s="48"/>
      <c r="U360" s="48" t="s">
        <v>222</v>
      </c>
      <c r="V360" s="48" t="b">
        <f>INDEX(itemPrepMethods, MATCH(K360, itemNames, 0))="chop"</f>
        <v>0</v>
      </c>
      <c r="W360" s="62" t="str">
        <f>IF(V360, Q360, "")</f>
        <v/>
      </c>
      <c r="X360" s="63" t="str">
        <f>IF(V360, IF(L360 = "", "", L360), "")</f>
        <v/>
      </c>
      <c r="Y360" s="63" t="str">
        <f>IF(V360, K360, "")</f>
        <v/>
      </c>
      <c r="Z360" s="64"/>
      <c r="AA360" s="48" t="b">
        <f>INDEX(itemPrepMethods, MATCH(K360, itemNames, 0))="soak"</f>
        <v>0</v>
      </c>
      <c r="AB360" s="63" t="str">
        <f>IF(AA360, Q360, "")</f>
        <v/>
      </c>
      <c r="AC360" s="63" t="str">
        <f>IF(AA360, IF(L360 = "", "", L360), "")</f>
        <v/>
      </c>
      <c r="AD360" s="63" t="str">
        <f>IF(AA360, K360, "")</f>
        <v/>
      </c>
    </row>
    <row r="361" spans="1:30" x14ac:dyDescent="0.25">
      <c r="A361" s="44" t="s">
        <v>21</v>
      </c>
      <c r="B361" s="57"/>
      <c r="C361" s="43" t="str">
        <f>IF(L361="","",L361)</f>
        <v/>
      </c>
      <c r="D361" s="44" t="str">
        <f>_xlfn.CONCAT(K361, U361)</f>
        <v>ground black pepper, to taste</v>
      </c>
      <c r="I361" s="51"/>
      <c r="K361" s="60" t="s">
        <v>83</v>
      </c>
      <c r="L361" s="48"/>
      <c r="M361" s="48"/>
      <c r="N361" s="48"/>
      <c r="O361" s="48"/>
      <c r="P361" s="48"/>
      <c r="U361" s="48" t="s">
        <v>222</v>
      </c>
      <c r="V361" s="48" t="b">
        <f>INDEX(itemPrepMethods, MATCH(K361, itemNames, 0))="chop"</f>
        <v>0</v>
      </c>
      <c r="W361" s="62" t="str">
        <f>IF(V361, Q361, "")</f>
        <v/>
      </c>
      <c r="X361" s="63" t="str">
        <f>IF(V361, IF(L361 = "", "", L361), "")</f>
        <v/>
      </c>
      <c r="Y361" s="63" t="str">
        <f>IF(V361, K361, "")</f>
        <v/>
      </c>
      <c r="Z361" s="64"/>
      <c r="AA361" s="48" t="b">
        <f>INDEX(itemPrepMethods, MATCH(K361, itemNames, 0))="soak"</f>
        <v>0</v>
      </c>
      <c r="AB361" s="63" t="str">
        <f>IF(AA361, Q361, "")</f>
        <v/>
      </c>
      <c r="AC361" s="63" t="str">
        <f>IF(AA361, IF(L361 = "", "", L361), "")</f>
        <v/>
      </c>
      <c r="AD361" s="63" t="str">
        <f>IF(AA361, K361, "")</f>
        <v/>
      </c>
    </row>
    <row r="362" spans="1:30" ht="15.75" x14ac:dyDescent="0.25">
      <c r="A362" s="113"/>
      <c r="B362" s="113"/>
      <c r="C362" s="113"/>
      <c r="D362" s="113"/>
      <c r="E362" s="46"/>
      <c r="F362" s="46"/>
      <c r="G362" s="51"/>
      <c r="H362" s="51"/>
      <c r="I362" s="68"/>
      <c r="J362" s="46"/>
      <c r="K362" s="46"/>
      <c r="L362" s="69"/>
      <c r="M362" s="68"/>
      <c r="N362" s="68"/>
      <c r="O362" s="68"/>
      <c r="P362" s="68"/>
      <c r="Q362" s="46"/>
      <c r="R362" s="70"/>
      <c r="S362" s="70"/>
      <c r="T362" s="68"/>
      <c r="U362" s="46"/>
    </row>
    <row r="363" spans="1:30" x14ac:dyDescent="0.25">
      <c r="A363" s="110" t="s">
        <v>264</v>
      </c>
      <c r="B363" s="110"/>
      <c r="C363" s="110"/>
      <c r="D363" s="110"/>
      <c r="E363" s="46"/>
      <c r="F363" s="46"/>
      <c r="G363" s="51"/>
      <c r="H363" s="51"/>
      <c r="I363" s="68"/>
      <c r="J363" s="46"/>
      <c r="K363" s="46"/>
      <c r="L363" s="69"/>
      <c r="M363" s="68"/>
      <c r="N363" s="68"/>
      <c r="O363" s="68"/>
      <c r="P363" s="68"/>
      <c r="Q363" s="46"/>
      <c r="R363" s="70"/>
      <c r="S363" s="70"/>
      <c r="T363" s="68"/>
      <c r="U363" s="46"/>
    </row>
    <row r="364" spans="1:30" ht="15.75" x14ac:dyDescent="0.25">
      <c r="A364" s="111" t="s">
        <v>36</v>
      </c>
      <c r="B364" s="111"/>
      <c r="C364" s="111"/>
      <c r="D364" s="111"/>
      <c r="E364" s="47" t="s">
        <v>145</v>
      </c>
      <c r="F364" s="112" t="s">
        <v>193</v>
      </c>
      <c r="G364" s="112"/>
    </row>
    <row r="365" spans="1:30" ht="24" x14ac:dyDescent="0.2">
      <c r="A365" s="111" t="s">
        <v>43</v>
      </c>
      <c r="B365" s="111"/>
      <c r="C365" s="111"/>
      <c r="D365" s="111"/>
      <c r="E365" s="46" t="s">
        <v>59</v>
      </c>
      <c r="F365" s="97">
        <v>16</v>
      </c>
      <c r="G365" s="51"/>
      <c r="I365" s="76" t="s">
        <v>57</v>
      </c>
      <c r="J365" s="77" t="s">
        <v>58</v>
      </c>
      <c r="K365" s="77" t="s">
        <v>17</v>
      </c>
      <c r="L365" s="78" t="s">
        <v>56</v>
      </c>
      <c r="M365" s="76" t="s">
        <v>151</v>
      </c>
      <c r="N365" s="76" t="s">
        <v>152</v>
      </c>
      <c r="O365" s="76" t="s">
        <v>153</v>
      </c>
      <c r="P365" s="76" t="s">
        <v>154</v>
      </c>
      <c r="Q365" s="77" t="s">
        <v>374</v>
      </c>
      <c r="R365" s="79" t="s">
        <v>375</v>
      </c>
      <c r="S365" s="79" t="s">
        <v>376</v>
      </c>
      <c r="T365" s="76" t="s">
        <v>377</v>
      </c>
      <c r="U365" s="77" t="s">
        <v>22</v>
      </c>
      <c r="V365" s="77" t="s">
        <v>218</v>
      </c>
      <c r="W365" s="80" t="s">
        <v>374</v>
      </c>
      <c r="X365" s="77" t="s">
        <v>216</v>
      </c>
      <c r="Y365" s="77" t="s">
        <v>217</v>
      </c>
      <c r="Z365" s="77" t="s">
        <v>321</v>
      </c>
      <c r="AA365" s="77" t="s">
        <v>219</v>
      </c>
      <c r="AB365" s="80" t="s">
        <v>374</v>
      </c>
      <c r="AC365" s="77" t="s">
        <v>220</v>
      </c>
      <c r="AD365" s="77" t="s">
        <v>221</v>
      </c>
    </row>
    <row r="366" spans="1:30" ht="15.75" thickBot="1" x14ac:dyDescent="0.3">
      <c r="A366" s="110"/>
      <c r="B366" s="110"/>
      <c r="C366" s="110"/>
      <c r="D366" s="110"/>
      <c r="E366" s="72" t="s">
        <v>369</v>
      </c>
      <c r="F366" s="97">
        <f>thDiCount</f>
        <v>10</v>
      </c>
      <c r="G366" s="51"/>
      <c r="I366" s="68"/>
      <c r="J366" s="46"/>
      <c r="K366" s="46"/>
      <c r="L366" s="69"/>
      <c r="M366" s="68"/>
      <c r="N366" s="68"/>
      <c r="O366" s="68"/>
      <c r="P366" s="68"/>
      <c r="Q366" s="46"/>
      <c r="R366" s="70"/>
      <c r="S366" s="70"/>
      <c r="T366" s="68"/>
      <c r="U366" s="46"/>
    </row>
    <row r="367" spans="1:30" ht="15.75" thickBot="1" x14ac:dyDescent="0.3">
      <c r="A367" s="110" t="s">
        <v>173</v>
      </c>
      <c r="B367" s="110"/>
      <c r="C367" s="110"/>
      <c r="D367" s="110"/>
      <c r="E367" s="72" t="s">
        <v>372</v>
      </c>
      <c r="F367" s="55">
        <f>F366/F365</f>
        <v>0.625</v>
      </c>
      <c r="G367" s="56" t="s">
        <v>402</v>
      </c>
      <c r="I367" s="68"/>
      <c r="J367" s="46"/>
      <c r="K367" s="46"/>
      <c r="L367" s="69"/>
      <c r="M367" s="68"/>
      <c r="N367" s="68"/>
      <c r="O367" s="68"/>
      <c r="P367" s="68"/>
      <c r="Q367" s="46"/>
      <c r="R367" s="70"/>
      <c r="S367" s="70"/>
      <c r="T367" s="68"/>
      <c r="U367" s="46"/>
    </row>
    <row r="368" spans="1:30" x14ac:dyDescent="0.25">
      <c r="A368" s="110"/>
      <c r="B368" s="110"/>
      <c r="C368" s="110"/>
      <c r="D368" s="110"/>
      <c r="E368" s="73"/>
      <c r="F368" s="73"/>
      <c r="G368" s="73"/>
      <c r="I368" s="51"/>
    </row>
    <row r="369" spans="1:30" ht="15.75" thickBot="1" x14ac:dyDescent="0.3">
      <c r="A369" s="110" t="s">
        <v>194</v>
      </c>
      <c r="B369" s="110"/>
      <c r="C369" s="110"/>
      <c r="D369" s="110"/>
      <c r="E369" s="72" t="s">
        <v>348</v>
      </c>
      <c r="F369" s="97">
        <f>thDiCount</f>
        <v>10</v>
      </c>
      <c r="G369" s="73"/>
      <c r="I369" s="51"/>
    </row>
    <row r="370" spans="1:30" ht="15.75" thickBot="1" x14ac:dyDescent="0.3">
      <c r="A370" s="44" t="s">
        <v>21</v>
      </c>
      <c r="B370" s="57">
        <f t="shared" ref="B370" si="274">Q370</f>
        <v>1.25</v>
      </c>
      <c r="C370" s="43" t="str">
        <f t="shared" ref="C370" si="275">IF(L370="","",L370)</f>
        <v>cup</v>
      </c>
      <c r="D370" s="44" t="str">
        <f>_xlfn.CONCAT(K370, U370)</f>
        <v>split peas. Soaked by Tenzo the night before. Rinse and drain first</v>
      </c>
      <c r="E370" s="72" t="s">
        <v>373</v>
      </c>
      <c r="F370" s="55">
        <f>F369/F366</f>
        <v>1</v>
      </c>
      <c r="G370" s="56" t="s">
        <v>403</v>
      </c>
      <c r="I370" s="67">
        <v>2</v>
      </c>
      <c r="J370" s="60" t="s">
        <v>16</v>
      </c>
      <c r="K370" s="60" t="s">
        <v>7</v>
      </c>
      <c r="L370" s="61" t="s">
        <v>16</v>
      </c>
      <c r="M370" s="51">
        <f>INDEX(itemGPerQty, MATCH(K370, itemNames, 0))</f>
        <v>0.84699999999999998</v>
      </c>
      <c r="N370" s="51">
        <f>INDEX(itemMlPerQty, MATCH(K370, itemNames, 0))</f>
        <v>0.946353</v>
      </c>
      <c r="O370" s="51">
        <f>IF(J370 = "", I370 * M370, IF(ISNA(CONVERT(I370, J370, "kg")), CONVERT(I370, J370, "l") * IF(N370 &lt;&gt; 0, M370 / N370, 0), CONVERT(I370, J370, "kg")))</f>
        <v>0.4234999758345987</v>
      </c>
      <c r="P370" s="51">
        <f>IF(J370 = "", I370 * N370, IF(ISNA(CONVERT(I370, J370, "l")), CONVERT(I370, J370, "kg") * IF(M370 &lt;&gt; 0, N370 / M370, 0), CONVERT(I370, J370, "l")))</f>
        <v>0.47317647299999999</v>
      </c>
      <c r="Q370" s="51">
        <f>MROUND(IF(AND(J370 = "", L370 = ""), I370 * recipe11DayScale, IF(ISNA(CONVERT(O370, "kg", L370)), CONVERT(P370 * recipe11DayScale, "l", L370), CONVERT(O370 * recipe11DayScale, "kg", L370))), roundTo)</f>
        <v>1.25</v>
      </c>
      <c r="R370" s="52">
        <f>recipe11TotScale * IF(L370 = "", Q370 * M370, IF(ISNA(CONVERT(Q370, L370, "kg")), CONVERT(Q370, L370, "l") * IF(N370 &lt;&gt; 0, M370 / N370, 0), CONVERT(Q370, L370, "kg")))</f>
        <v>0.26468748489662419</v>
      </c>
      <c r="S370" s="52">
        <f>recipe11TotScale * IF(R370 = 0, IF(L370 = "", Q370 * N370, IF(ISNA(CONVERT(Q370, L370, "l")), CONVERT(Q370, L370, "kg") * IF(M370 &lt;&gt; 0, N370 / M370, 0), CONVERT(Q370, L370, "l"))), 0)</f>
        <v>0</v>
      </c>
      <c r="T370" s="51">
        <f>recipe11TotScale * IF(AND(R370 = 0, S370 = 0, J370 = "", L370 = ""), Q370, 0)</f>
        <v>0</v>
      </c>
      <c r="U370" s="48" t="s">
        <v>250</v>
      </c>
      <c r="V370" s="48" t="b">
        <f>INDEX(itemPrepMethods, MATCH(K370, itemNames, 0))="chop"</f>
        <v>0</v>
      </c>
      <c r="W370" s="62" t="str">
        <f>IF(V370, Q370, "")</f>
        <v/>
      </c>
      <c r="X370" s="63" t="str">
        <f>IF(V370, IF(L370 = "", "", L370), "")</f>
        <v/>
      </c>
      <c r="Y370" s="63" t="str">
        <f>IF(V370, K370, "")</f>
        <v/>
      </c>
      <c r="Z370" s="64"/>
      <c r="AA370" s="48" t="b">
        <f>INDEX(itemPrepMethods, MATCH(K370, itemNames, 0))="soak"</f>
        <v>1</v>
      </c>
      <c r="AB370" s="63">
        <f>IF(AA370, Q370, "")</f>
        <v>1.25</v>
      </c>
      <c r="AC370" s="63" t="str">
        <f>IF(AA370, IF(L370 = "", "", L370), "")</f>
        <v>cup</v>
      </c>
      <c r="AD370" s="63" t="str">
        <f>IF(AA370, K370, "")</f>
        <v>split peas</v>
      </c>
    </row>
    <row r="371" spans="1:30" x14ac:dyDescent="0.25">
      <c r="A371" s="110"/>
      <c r="B371" s="110"/>
      <c r="C371" s="110"/>
      <c r="D371" s="110"/>
      <c r="I371" s="51"/>
      <c r="W371" s="81"/>
      <c r="X371" s="82"/>
      <c r="Y371" s="82"/>
      <c r="Z371" s="83"/>
      <c r="AB371" s="81"/>
      <c r="AC371" s="81"/>
      <c r="AD371" s="81"/>
    </row>
    <row r="372" spans="1:30" x14ac:dyDescent="0.25">
      <c r="A372" s="110" t="s">
        <v>308</v>
      </c>
      <c r="B372" s="110"/>
      <c r="C372" s="110"/>
      <c r="D372" s="110"/>
      <c r="I372" s="51"/>
      <c r="W372" s="81"/>
      <c r="X372" s="82"/>
      <c r="Y372" s="82"/>
      <c r="Z372" s="83"/>
      <c r="AB372" s="81"/>
      <c r="AC372" s="81"/>
      <c r="AD372" s="81"/>
    </row>
    <row r="373" spans="1:30" x14ac:dyDescent="0.25">
      <c r="A373" s="44" t="s">
        <v>21</v>
      </c>
      <c r="B373" s="57">
        <f t="shared" ref="B373" si="276">Q373</f>
        <v>6.25</v>
      </c>
      <c r="C373" s="43" t="str">
        <f t="shared" ref="C373" si="277">IF(L373="","",L373)</f>
        <v>tbs</v>
      </c>
      <c r="D373" s="44" t="str">
        <f>_xlfn.CONCAT(K373, U373)</f>
        <v>oil</v>
      </c>
      <c r="I373" s="67">
        <v>10</v>
      </c>
      <c r="J373" s="60" t="s">
        <v>15</v>
      </c>
      <c r="K373" s="60" t="s">
        <v>46</v>
      </c>
      <c r="L373" s="61" t="s">
        <v>15</v>
      </c>
      <c r="M373" s="51">
        <f t="shared" ref="M373:M377" si="278">INDEX(itemGPerQty, MATCH(K373, itemNames, 0))</f>
        <v>0</v>
      </c>
      <c r="N373" s="51">
        <f t="shared" ref="N373:N377" si="279">INDEX(itemMlPerQty, MATCH(K373, itemNames, 0))</f>
        <v>0</v>
      </c>
      <c r="O373" s="51">
        <f t="shared" ref="O373:O377" si="280">IF(J373 = "", I373 * M373, IF(ISNA(CONVERT(I373, J373, "kg")), CONVERT(I373, J373, "l") * IF(N373 &lt;&gt; 0, M373 / N373, 0), CONVERT(I373, J373, "kg")))</f>
        <v>0</v>
      </c>
      <c r="P373" s="51">
        <f t="shared" ref="P373:P377" si="281">IF(J373 = "", I373 * N373, IF(ISNA(CONVERT(I373, J373, "l")), CONVERT(I373, J373, "kg") * IF(M373 &lt;&gt; 0, N373 / M373, 0), CONVERT(I373, J373, "l")))</f>
        <v>0.1478676478125</v>
      </c>
      <c r="Q373" s="51">
        <f>MROUND(IF(AND(J373 = "", L373 = ""), I373 * recipe11DayScale, IF(ISNA(CONVERT(O373, "kg", L373)), CONVERT(P373 * recipe11DayScale, "l", L373), CONVERT(O373 * recipe11DayScale, "kg", L373))), roundTo)</f>
        <v>6.25</v>
      </c>
      <c r="R373" s="52">
        <f>recipe11TotScale * IF(L373 = "", Q373 * M373, IF(ISNA(CONVERT(Q373, L373, "kg")), CONVERT(Q373, L373, "l") * IF(N373 &lt;&gt; 0, M373 / N373, 0), CONVERT(Q373, L373, "kg")))</f>
        <v>0</v>
      </c>
      <c r="S373" s="52">
        <f>recipe11TotScale * IF(R373 = 0, IF(L373 = "", Q373 * N373, IF(ISNA(CONVERT(Q373, L373, "l")), CONVERT(Q373, L373, "kg") * IF(M373 &lt;&gt; 0, N373 / M373, 0), CONVERT(Q373, L373, "l"))), 0)</f>
        <v>9.2417279882812495E-2</v>
      </c>
      <c r="T373" s="51">
        <f>recipe11TotScale * IF(AND(R373 = 0, S373 = 0, J373 = "", L373 = ""), Q373, 0)</f>
        <v>0</v>
      </c>
      <c r="V373" s="48" t="b">
        <f>INDEX(itemPrepMethods, MATCH(K373, itemNames, 0))="chop"</f>
        <v>0</v>
      </c>
      <c r="W373" s="62" t="str">
        <f>IF(V373, Q373, "")</f>
        <v/>
      </c>
      <c r="X373" s="63" t="str">
        <f>IF(V373, IF(L373 = "", "", L373), "")</f>
        <v/>
      </c>
      <c r="Y373" s="63" t="str">
        <f>IF(V373, K373, "")</f>
        <v/>
      </c>
      <c r="Z373" s="64"/>
      <c r="AA373" s="48" t="b">
        <f>INDEX(itemPrepMethods, MATCH(K373, itemNames, 0))="soak"</f>
        <v>0</v>
      </c>
      <c r="AB373" s="63" t="str">
        <f>IF(AA373, Q373, "")</f>
        <v/>
      </c>
      <c r="AC373" s="63" t="str">
        <f>IF(AA373, IF(L373 = "", "", L373), "")</f>
        <v/>
      </c>
      <c r="AD373" s="63" t="str">
        <f>IF(AA373, K373, "")</f>
        <v/>
      </c>
    </row>
    <row r="374" spans="1:30" x14ac:dyDescent="0.25">
      <c r="A374" s="44" t="s">
        <v>21</v>
      </c>
      <c r="B374" s="57">
        <f t="shared" ref="B374:B377" si="282">Q374</f>
        <v>5</v>
      </c>
      <c r="C374" s="43" t="str">
        <f t="shared" ref="C374:C377" si="283">IF(L374="","",L374)</f>
        <v/>
      </c>
      <c r="D374" s="44" t="str">
        <f>_xlfn.CONCAT(K374, U374)</f>
        <v>garlic cloves. Remove from oil once cooked</v>
      </c>
      <c r="I374" s="67">
        <v>8</v>
      </c>
      <c r="J374" s="60"/>
      <c r="K374" s="60" t="s">
        <v>8</v>
      </c>
      <c r="L374" s="61"/>
      <c r="M374" s="51">
        <f t="shared" si="278"/>
        <v>0</v>
      </c>
      <c r="N374" s="51">
        <f t="shared" si="279"/>
        <v>0</v>
      </c>
      <c r="O374" s="51">
        <f t="shared" si="280"/>
        <v>0</v>
      </c>
      <c r="P374" s="51">
        <f t="shared" si="281"/>
        <v>0</v>
      </c>
      <c r="Q374" s="51">
        <f>MROUND(IF(AND(J374 = "", L374 = ""), I374 * recipe11DayScale, IF(ISNA(CONVERT(O374, "kg", L374)), CONVERT(P374 * recipe11DayScale, "l", L374), CONVERT(O374 * recipe11DayScale, "kg", L374))), roundTo)</f>
        <v>5</v>
      </c>
      <c r="R374" s="52">
        <f>recipe11TotScale * IF(L374 = "", Q374 * M374, IF(ISNA(CONVERT(Q374, L374, "kg")), CONVERT(Q374, L374, "l") * IF(N374 &lt;&gt; 0, M374 / N374, 0), CONVERT(Q374, L374, "kg")))</f>
        <v>0</v>
      </c>
      <c r="S374" s="52">
        <f>recipe11TotScale * IF(R374 = 0, IF(L374 = "", Q374 * N374, IF(ISNA(CONVERT(Q374, L374, "l")), CONVERT(Q374, L374, "kg") * IF(M374 &lt;&gt; 0, N374 / M374, 0), CONVERT(Q374, L374, "l"))), 0)</f>
        <v>0</v>
      </c>
      <c r="T374" s="51">
        <f>recipe11TotScale * IF(AND(R374 = 0, S374 = 0, J374 = "", L374 = ""), Q374, 0)</f>
        <v>5</v>
      </c>
      <c r="U374" s="48" t="s">
        <v>249</v>
      </c>
      <c r="V374" s="48" t="b">
        <f>INDEX(itemPrepMethods, MATCH(K374, itemNames, 0))="chop"</f>
        <v>0</v>
      </c>
      <c r="W374" s="62" t="str">
        <f>IF(V374, Q374, "")</f>
        <v/>
      </c>
      <c r="X374" s="63" t="str">
        <f>IF(V374, IF(L374 = "", "", L374), "")</f>
        <v/>
      </c>
      <c r="Y374" s="63" t="str">
        <f>IF(V374, K374, "")</f>
        <v/>
      </c>
      <c r="Z374" s="64"/>
      <c r="AA374" s="48" t="b">
        <f>INDEX(itemPrepMethods, MATCH(K374, itemNames, 0))="soak"</f>
        <v>0</v>
      </c>
      <c r="AB374" s="63" t="str">
        <f>IF(AA374, Q374, "")</f>
        <v/>
      </c>
      <c r="AC374" s="63" t="str">
        <f>IF(AA374, IF(L374 = "", "", L374), "")</f>
        <v/>
      </c>
      <c r="AD374" s="63" t="str">
        <f>IF(AA374, K374, "")</f>
        <v/>
      </c>
    </row>
    <row r="375" spans="1:30" x14ac:dyDescent="0.25">
      <c r="A375" s="44" t="s">
        <v>21</v>
      </c>
      <c r="B375" s="57">
        <f t="shared" si="282"/>
        <v>1.25</v>
      </c>
      <c r="C375" s="43" t="str">
        <f t="shared" si="283"/>
        <v>tbs</v>
      </c>
      <c r="D375" s="44" t="str">
        <f>_xlfn.CONCAT(K375, U375)</f>
        <v>ground turmeric</v>
      </c>
      <c r="I375" s="67">
        <v>2</v>
      </c>
      <c r="J375" s="60" t="s">
        <v>15</v>
      </c>
      <c r="K375" s="60" t="s">
        <v>326</v>
      </c>
      <c r="L375" s="61" t="s">
        <v>15</v>
      </c>
      <c r="M375" s="51">
        <f t="shared" si="278"/>
        <v>1.4E-2</v>
      </c>
      <c r="N375" s="51">
        <f t="shared" si="279"/>
        <v>2.2180100000000001E-2</v>
      </c>
      <c r="O375" s="51">
        <f t="shared" si="280"/>
        <v>1.8666706366292307E-2</v>
      </c>
      <c r="P375" s="51">
        <f t="shared" si="281"/>
        <v>2.9573529562499999E-2</v>
      </c>
      <c r="Q375" s="51">
        <f>MROUND(IF(AND(J375 = "", L375 = ""), I375 * recipe11DayScale, IF(ISNA(CONVERT(O375, "kg", L375)), CONVERT(P375 * recipe11DayScale, "l", L375), CONVERT(O375 * recipe11DayScale, "kg", L375))), roundTo)</f>
        <v>1.25</v>
      </c>
      <c r="R375" s="52">
        <f>recipe11TotScale * IF(L375 = "", Q375 * M375, IF(ISNA(CONVERT(Q375, L375, "kg")), CONVERT(Q375, L375, "l") * IF(N375 &lt;&gt; 0, M375 / N375, 0), CONVERT(Q375, L375, "kg")))</f>
        <v>1.1666691478932692E-2</v>
      </c>
      <c r="S375" s="52">
        <f>recipe11TotScale * IF(R375 = 0, IF(L375 = "", Q375 * N375, IF(ISNA(CONVERT(Q375, L375, "l")), CONVERT(Q375, L375, "kg") * IF(M375 &lt;&gt; 0, N375 / M375, 0), CONVERT(Q375, L375, "l"))), 0)</f>
        <v>0</v>
      </c>
      <c r="T375" s="51">
        <f>recipe11TotScale * IF(AND(R375 = 0, S375 = 0, J375 = "", L375 = ""), Q375, 0)</f>
        <v>0</v>
      </c>
      <c r="V375" s="48" t="b">
        <f>INDEX(itemPrepMethods, MATCH(K375, itemNames, 0))="chop"</f>
        <v>0</v>
      </c>
      <c r="W375" s="62" t="str">
        <f>IF(V375, Q375, "")</f>
        <v/>
      </c>
      <c r="X375" s="63" t="str">
        <f>IF(V375, IF(L375 = "", "", L375), "")</f>
        <v/>
      </c>
      <c r="Y375" s="63" t="str">
        <f>IF(V375, K375, "")</f>
        <v/>
      </c>
      <c r="Z375" s="64"/>
      <c r="AA375" s="48" t="b">
        <f>INDEX(itemPrepMethods, MATCH(K375, itemNames, 0))="soak"</f>
        <v>0</v>
      </c>
      <c r="AB375" s="63" t="str">
        <f>IF(AA375, Q375, "")</f>
        <v/>
      </c>
      <c r="AC375" s="63" t="str">
        <f>IF(AA375, IF(L375 = "", "", L375), "")</f>
        <v/>
      </c>
      <c r="AD375" s="63" t="str">
        <f>IF(AA375, K375, "")</f>
        <v/>
      </c>
    </row>
    <row r="376" spans="1:30" x14ac:dyDescent="0.25">
      <c r="A376" s="44" t="s">
        <v>21</v>
      </c>
      <c r="B376" s="57">
        <f t="shared" si="282"/>
        <v>0.75</v>
      </c>
      <c r="C376" s="43" t="str">
        <f t="shared" si="283"/>
        <v>tbs</v>
      </c>
      <c r="D376" s="44" t="str">
        <f>_xlfn.CONCAT(K376, U376)</f>
        <v>cinnamon</v>
      </c>
      <c r="I376" s="67">
        <v>1</v>
      </c>
      <c r="J376" s="60" t="s">
        <v>15</v>
      </c>
      <c r="K376" s="60" t="s">
        <v>109</v>
      </c>
      <c r="L376" s="61" t="s">
        <v>15</v>
      </c>
      <c r="M376" s="51">
        <f t="shared" si="278"/>
        <v>1.0999999999999999E-2</v>
      </c>
      <c r="N376" s="51">
        <f t="shared" si="279"/>
        <v>2.2180100000000001E-2</v>
      </c>
      <c r="O376" s="51">
        <f t="shared" si="280"/>
        <v>7.3333489296148338E-3</v>
      </c>
      <c r="P376" s="51">
        <f t="shared" si="281"/>
        <v>1.478676478125E-2</v>
      </c>
      <c r="Q376" s="51">
        <f>MROUND(IF(AND(J376 = "", L376 = ""), I376 * recipe11DayScale, IF(ISNA(CONVERT(O376, "kg", L376)), CONVERT(P376 * recipe11DayScale, "l", L376), CONVERT(O376 * recipe11DayScale, "kg", L376))), roundTo)</f>
        <v>0.75</v>
      </c>
      <c r="R376" s="52">
        <f>recipe11TotScale * IF(L376 = "", Q376 * M376, IF(ISNA(CONVERT(Q376, L376, "kg")), CONVERT(Q376, L376, "l") * IF(N376 &lt;&gt; 0, M376 / N376, 0), CONVERT(Q376, L376, "kg")))</f>
        <v>5.5000116972111247E-3</v>
      </c>
      <c r="S376" s="52">
        <f>recipe11TotScale * IF(R376 = 0, IF(L376 = "", Q376 * N376, IF(ISNA(CONVERT(Q376, L376, "l")), CONVERT(Q376, L376, "kg") * IF(M376 &lt;&gt; 0, N376 / M376, 0), CONVERT(Q376, L376, "l"))), 0)</f>
        <v>0</v>
      </c>
      <c r="T376" s="51">
        <f>recipe11TotScale * IF(AND(R376 = 0, S376 = 0, J376 = "", L376 = ""), Q376, 0)</f>
        <v>0</v>
      </c>
      <c r="V376" s="48" t="b">
        <f>INDEX(itemPrepMethods, MATCH(K376, itemNames, 0))="chop"</f>
        <v>0</v>
      </c>
      <c r="W376" s="62" t="str">
        <f>IF(V376, Q376, "")</f>
        <v/>
      </c>
      <c r="X376" s="63" t="str">
        <f>IF(V376, IF(L376 = "", "", L376), "")</f>
        <v/>
      </c>
      <c r="Y376" s="63" t="str">
        <f>IF(V376, K376, "")</f>
        <v/>
      </c>
      <c r="Z376" s="64"/>
      <c r="AA376" s="48" t="b">
        <f>INDEX(itemPrepMethods, MATCH(K376, itemNames, 0))="soak"</f>
        <v>0</v>
      </c>
      <c r="AB376" s="63" t="str">
        <f>IF(AA376, Q376, "")</f>
        <v/>
      </c>
      <c r="AC376" s="63" t="str">
        <f>IF(AA376, IF(L376 = "", "", L376), "")</f>
        <v/>
      </c>
      <c r="AD376" s="63" t="str">
        <f>IF(AA376, K376, "")</f>
        <v/>
      </c>
    </row>
    <row r="377" spans="1:30" x14ac:dyDescent="0.25">
      <c r="A377" s="44" t="s">
        <v>21</v>
      </c>
      <c r="B377" s="57">
        <f t="shared" si="282"/>
        <v>4.5</v>
      </c>
      <c r="C377" s="43" t="str">
        <f t="shared" si="283"/>
        <v>tbs</v>
      </c>
      <c r="D377" s="44" t="str">
        <f>_xlfn.CONCAT(K377, U377)</f>
        <v>minced fresh ginger</v>
      </c>
      <c r="I377" s="67">
        <v>7</v>
      </c>
      <c r="J377" s="60" t="s">
        <v>15</v>
      </c>
      <c r="K377" s="60" t="s">
        <v>237</v>
      </c>
      <c r="L377" s="61" t="s">
        <v>15</v>
      </c>
      <c r="M377" s="51">
        <f t="shared" si="278"/>
        <v>0</v>
      </c>
      <c r="N377" s="51">
        <f t="shared" si="279"/>
        <v>0</v>
      </c>
      <c r="O377" s="51">
        <f t="shared" si="280"/>
        <v>0</v>
      </c>
      <c r="P377" s="51">
        <f t="shared" si="281"/>
        <v>0.10350735346874999</v>
      </c>
      <c r="Q377" s="51">
        <f>MROUND(IF(AND(J377 = "", L377 = ""), I377 * recipe11DayScale, IF(ISNA(CONVERT(O377, "kg", L377)), CONVERT(P377 * recipe11DayScale, "l", L377), CONVERT(O377 * recipe11DayScale, "kg", L377))), roundTo)</f>
        <v>4.5</v>
      </c>
      <c r="R377" s="52">
        <f>recipe11TotScale * IF(L377 = "", Q377 * M377, IF(ISNA(CONVERT(Q377, L377, "kg")), CONVERT(Q377, L377, "l") * IF(N377 &lt;&gt; 0, M377 / N377, 0), CONVERT(Q377, L377, "kg")))</f>
        <v>0</v>
      </c>
      <c r="S377" s="52">
        <f>recipe11TotScale * IF(R377 = 0, IF(L377 = "", Q377 * N377, IF(ISNA(CONVERT(Q377, L377, "l")), CONVERT(Q377, L377, "kg") * IF(M377 &lt;&gt; 0, N377 / M377, 0), CONVERT(Q377, L377, "l"))), 0)</f>
        <v>6.6540441515624993E-2</v>
      </c>
      <c r="T377" s="51">
        <f>recipe11TotScale * IF(AND(R377 = 0, S377 = 0, J377 = "", L377 = ""), Q377, 0)</f>
        <v>0</v>
      </c>
      <c r="V377" s="48" t="b">
        <f>INDEX(itemPrepMethods, MATCH(K377, itemNames, 0))="chop"</f>
        <v>1</v>
      </c>
      <c r="W377" s="62">
        <f>IF(V377, Q377, "")</f>
        <v>4.5</v>
      </c>
      <c r="X377" s="63" t="str">
        <f>IF(V377, IF(L377 = "", "", L377), "")</f>
        <v>tbs</v>
      </c>
      <c r="Y377" s="63" t="str">
        <f>IF(V377, K377, "")</f>
        <v>minced fresh ginger</v>
      </c>
      <c r="Z377" s="64"/>
      <c r="AA377" s="48" t="b">
        <f>INDEX(itemPrepMethods, MATCH(K377, itemNames, 0))="soak"</f>
        <v>0</v>
      </c>
      <c r="AB377" s="63" t="str">
        <f>IF(AA377, Q377, "")</f>
        <v/>
      </c>
      <c r="AC377" s="63" t="str">
        <f>IF(AA377, IF(L377 = "", "", L377), "")</f>
        <v/>
      </c>
      <c r="AD377" s="63" t="str">
        <f>IF(AA377, K377, "")</f>
        <v/>
      </c>
    </row>
    <row r="378" spans="1:30" x14ac:dyDescent="0.25">
      <c r="A378" s="110"/>
      <c r="B378" s="110"/>
      <c r="C378" s="110"/>
      <c r="D378" s="110"/>
      <c r="I378" s="48"/>
      <c r="L378" s="48"/>
      <c r="M378" s="48"/>
      <c r="N378" s="48"/>
      <c r="O378" s="48"/>
      <c r="P378" s="48"/>
      <c r="Q378" s="48"/>
      <c r="R378" s="48"/>
      <c r="S378" s="48"/>
      <c r="T378" s="48"/>
      <c r="W378" s="81"/>
      <c r="X378" s="82"/>
      <c r="Y378" s="82"/>
      <c r="Z378" s="83"/>
      <c r="AB378" s="81"/>
      <c r="AC378" s="81"/>
      <c r="AD378" s="81"/>
    </row>
    <row r="379" spans="1:30" x14ac:dyDescent="0.25">
      <c r="A379" s="110" t="s">
        <v>197</v>
      </c>
      <c r="B379" s="110"/>
      <c r="C379" s="110"/>
      <c r="D379" s="110"/>
      <c r="I379" s="48"/>
      <c r="L379" s="48"/>
      <c r="M379" s="48"/>
      <c r="N379" s="48"/>
      <c r="O379" s="48"/>
      <c r="P379" s="48"/>
      <c r="Q379" s="48"/>
      <c r="R379" s="48"/>
      <c r="S379" s="48"/>
      <c r="T379" s="48"/>
      <c r="W379" s="81"/>
      <c r="X379" s="82"/>
      <c r="Y379" s="82"/>
      <c r="Z379" s="83"/>
      <c r="AB379" s="81"/>
      <c r="AC379" s="81"/>
      <c r="AD379" s="81"/>
    </row>
    <row r="380" spans="1:30" x14ac:dyDescent="0.25">
      <c r="A380" s="44" t="s">
        <v>21</v>
      </c>
      <c r="B380" s="57">
        <f t="shared" ref="B380:B382" si="284">Q380</f>
        <v>1.25</v>
      </c>
      <c r="C380" s="43" t="str">
        <f t="shared" ref="C380:C382" si="285">IF(L380="","",L380)</f>
        <v>l</v>
      </c>
      <c r="D380" s="44" t="str">
        <f>_xlfn.CONCAT(K380, U380)</f>
        <v>water. This soup is thick so DON'T ADD TOO MUCH</v>
      </c>
      <c r="I380" s="67">
        <v>2</v>
      </c>
      <c r="J380" s="60" t="s">
        <v>60</v>
      </c>
      <c r="K380" s="60" t="s">
        <v>48</v>
      </c>
      <c r="L380" s="61" t="s">
        <v>60</v>
      </c>
      <c r="M380" s="51">
        <f>INDEX(itemGPerQty, MATCH(K380, itemNames, 0))</f>
        <v>1</v>
      </c>
      <c r="N380" s="51">
        <f>INDEX(itemMlPerQty, MATCH(K380, itemNames, 0))</f>
        <v>1</v>
      </c>
      <c r="O380" s="51">
        <f t="shared" ref="O380:O383" si="286">IF(J380 = "", I380 * M380, IF(ISNA(CONVERT(I380, J380, "kg")), CONVERT(I380, J380, "l") * IF(N380 &lt;&gt; 0, M380 / N380, 0), CONVERT(I380, J380, "kg")))</f>
        <v>2</v>
      </c>
      <c r="P380" s="51">
        <f t="shared" ref="P380:P383" si="287">IF(J380 = "", I380 * N380, IF(ISNA(CONVERT(I380, J380, "l")), CONVERT(I380, J380, "kg") * IF(M380 &lt;&gt; 0, N380 / M380, 0), CONVERT(I380, J380, "l")))</f>
        <v>2</v>
      </c>
      <c r="Q380" s="51">
        <f>MROUND(IF(AND(J380 = "", L380 = ""), I380 * recipe11DayScale, IF(ISNA(CONVERT(O380, "kg", L380)), CONVERT(P380 * recipe11DayScale, "l", L380), CONVERT(O380 * recipe11DayScale, "kg", L380))), roundTo)</f>
        <v>1.25</v>
      </c>
      <c r="R380" s="52">
        <f>recipe11TotScale * IF(L380 = "", Q380 * M380, IF(ISNA(CONVERT(Q380, L380, "kg")), CONVERT(Q380, L380, "l") * IF(N380 &lt;&gt; 0, M380 / N380, 0), CONVERT(Q380, L380, "kg")))</f>
        <v>1.25</v>
      </c>
      <c r="S380" s="52">
        <f>recipe11TotScale * IF(R380 = 0, IF(L380 = "", Q380 * N380, IF(ISNA(CONVERT(Q380, L380, "l")), CONVERT(Q380, L380, "kg") * IF(M380 &lt;&gt; 0, N380 / M380, 0), CONVERT(Q380, L380, "l"))), 0)</f>
        <v>0</v>
      </c>
      <c r="T380" s="51">
        <f>recipe11TotScale * IF(AND(R380 = 0, S380 = 0, J380 = "", L380 = ""), Q380, 0)</f>
        <v>0</v>
      </c>
      <c r="U380" s="48" t="s">
        <v>307</v>
      </c>
      <c r="V380" s="48" t="b">
        <f>INDEX(itemPrepMethods, MATCH(K380, itemNames, 0))="chop"</f>
        <v>0</v>
      </c>
      <c r="W380" s="62" t="str">
        <f>IF(V380, Q380, "")</f>
        <v/>
      </c>
      <c r="X380" s="63" t="str">
        <f>IF(V380, IF(L380 = "", "", L380), "")</f>
        <v/>
      </c>
      <c r="Y380" s="63" t="str">
        <f>IF(V380, K380, "")</f>
        <v/>
      </c>
      <c r="Z380" s="64"/>
      <c r="AA380" s="48" t="b">
        <f>INDEX(itemPrepMethods, MATCH(K380, itemNames, 0))="soak"</f>
        <v>0</v>
      </c>
      <c r="AB380" s="63" t="str">
        <f>IF(AA380, Q380, "")</f>
        <v/>
      </c>
      <c r="AC380" s="63" t="str">
        <f>IF(AA380, IF(L380 = "", "", L380), "")</f>
        <v/>
      </c>
      <c r="AD380" s="63" t="str">
        <f>IF(AA380, K380, "")</f>
        <v/>
      </c>
    </row>
    <row r="381" spans="1:30" x14ac:dyDescent="0.25">
      <c r="A381" s="44" t="s">
        <v>21</v>
      </c>
      <c r="B381" s="57">
        <f t="shared" si="284"/>
        <v>5</v>
      </c>
      <c r="C381" s="43" t="str">
        <f t="shared" si="285"/>
        <v/>
      </c>
      <c r="D381" s="44" t="str">
        <f>_xlfn.CONCAT(K381, U381)</f>
        <v>chopped potatoes</v>
      </c>
      <c r="I381" s="67">
        <v>8</v>
      </c>
      <c r="J381" s="60"/>
      <c r="K381" s="60" t="s">
        <v>4</v>
      </c>
      <c r="L381" s="61"/>
      <c r="M381" s="51">
        <f>INDEX(itemGPerQty, MATCH(K381, itemNames, 0))</f>
        <v>0.22500000000000001</v>
      </c>
      <c r="N381" s="51">
        <f>INDEX(itemMlPerQty, MATCH(K381, itemNames, 0))</f>
        <v>0.33750000000000002</v>
      </c>
      <c r="O381" s="51">
        <f t="shared" si="286"/>
        <v>1.8</v>
      </c>
      <c r="P381" s="51">
        <f t="shared" si="287"/>
        <v>2.7</v>
      </c>
      <c r="Q381" s="51">
        <f>MROUND(IF(AND(J381 = "", L381 = ""), I381 * recipe11DayScale, IF(ISNA(CONVERT(O381, "kg", L381)), CONVERT(P381 * recipe11DayScale, "l", L381), CONVERT(O381 * recipe11DayScale, "kg", L381))), roundTo)</f>
        <v>5</v>
      </c>
      <c r="R381" s="52">
        <f>recipe11TotScale * IF(L381 = "", Q381 * M381, IF(ISNA(CONVERT(Q381, L381, "kg")), CONVERT(Q381, L381, "l") * IF(N381 &lt;&gt; 0, M381 / N381, 0), CONVERT(Q381, L381, "kg")))</f>
        <v>1.125</v>
      </c>
      <c r="S381" s="52">
        <f>recipe11TotScale * IF(R381 = 0, IF(L381 = "", Q381 * N381, IF(ISNA(CONVERT(Q381, L381, "l")), CONVERT(Q381, L381, "kg") * IF(M381 &lt;&gt; 0, N381 / M381, 0), CONVERT(Q381, L381, "l"))), 0)</f>
        <v>0</v>
      </c>
      <c r="T381" s="51">
        <f>recipe11TotScale * IF(AND(R381 = 0, S381 = 0, J381 = "", L381 = ""), Q381, 0)</f>
        <v>0</v>
      </c>
      <c r="V381" s="48" t="b">
        <f>INDEX(itemPrepMethods, MATCH(K381, itemNames, 0))="chop"</f>
        <v>1</v>
      </c>
      <c r="W381" s="62">
        <f>IF(V381, Q381, "")</f>
        <v>5</v>
      </c>
      <c r="X381" s="63" t="str">
        <f>IF(V381, IF(L381 = "", "", L381), "")</f>
        <v/>
      </c>
      <c r="Y381" s="63" t="str">
        <f>IF(V381, K381, "")</f>
        <v>chopped potatoes</v>
      </c>
      <c r="Z381" s="64"/>
      <c r="AA381" s="48" t="b">
        <f>INDEX(itemPrepMethods, MATCH(K381, itemNames, 0))="soak"</f>
        <v>0</v>
      </c>
      <c r="AB381" s="63" t="str">
        <f>IF(AA381, Q381, "")</f>
        <v/>
      </c>
      <c r="AC381" s="63" t="str">
        <f>IF(AA381, IF(L381 = "", "", L381), "")</f>
        <v/>
      </c>
      <c r="AD381" s="63" t="str">
        <f>IF(AA381, K381, "")</f>
        <v/>
      </c>
    </row>
    <row r="382" spans="1:30" x14ac:dyDescent="0.25">
      <c r="A382" s="44" t="s">
        <v>21</v>
      </c>
      <c r="B382" s="57">
        <f t="shared" si="284"/>
        <v>7</v>
      </c>
      <c r="C382" s="43" t="str">
        <f t="shared" si="285"/>
        <v/>
      </c>
      <c r="D382" s="44" t="str">
        <f>_xlfn.CONCAT(K382, U382)</f>
        <v>chopped celery stalks</v>
      </c>
      <c r="I382" s="67">
        <v>11</v>
      </c>
      <c r="J382" s="60"/>
      <c r="K382" s="60" t="s">
        <v>160</v>
      </c>
      <c r="L382" s="61"/>
      <c r="M382" s="51">
        <f>INDEX(itemGPerQty, MATCH(K382, itemNames, 0))</f>
        <v>0</v>
      </c>
      <c r="N382" s="51">
        <f>INDEX(itemMlPerQty, MATCH(K382, itemNames, 0))</f>
        <v>0</v>
      </c>
      <c r="O382" s="51">
        <f t="shared" si="286"/>
        <v>0</v>
      </c>
      <c r="P382" s="51">
        <f t="shared" si="287"/>
        <v>0</v>
      </c>
      <c r="Q382" s="51">
        <f>MROUND(IF(AND(J382 = "", L382 = ""), I382 * recipe11DayScale, IF(ISNA(CONVERT(O382, "kg", L382)), CONVERT(P382 * recipe11DayScale, "l", L382), CONVERT(O382 * recipe11DayScale, "kg", L382))), roundTo)</f>
        <v>7</v>
      </c>
      <c r="R382" s="52">
        <f>recipe11TotScale * IF(L382 = "", Q382 * M382, IF(ISNA(CONVERT(Q382, L382, "kg")), CONVERT(Q382, L382, "l") * IF(N382 &lt;&gt; 0, M382 / N382, 0), CONVERT(Q382, L382, "kg")))</f>
        <v>0</v>
      </c>
      <c r="S382" s="52">
        <f>recipe11TotScale * IF(R382 = 0, IF(L382 = "", Q382 * N382, IF(ISNA(CONVERT(Q382, L382, "l")), CONVERT(Q382, L382, "kg") * IF(M382 &lt;&gt; 0, N382 / M382, 0), CONVERT(Q382, L382, "l"))), 0)</f>
        <v>0</v>
      </c>
      <c r="T382" s="51">
        <f>recipe11TotScale * IF(AND(R382 = 0, S382 = 0, J382 = "", L382 = ""), Q382, 0)</f>
        <v>7</v>
      </c>
      <c r="V382" s="48" t="b">
        <f>INDEX(itemPrepMethods, MATCH(K382, itemNames, 0))="chop"</f>
        <v>1</v>
      </c>
      <c r="W382" s="62">
        <f>IF(V382, Q382, "")</f>
        <v>7</v>
      </c>
      <c r="X382" s="63" t="str">
        <f>IF(V382, IF(L382 = "", "", L382), "")</f>
        <v/>
      </c>
      <c r="Y382" s="63" t="str">
        <f>IF(V382, K382, "")</f>
        <v>chopped celery stalks</v>
      </c>
      <c r="Z382" s="64"/>
      <c r="AA382" s="48" t="b">
        <f>INDEX(itemPrepMethods, MATCH(K382, itemNames, 0))="soak"</f>
        <v>0</v>
      </c>
      <c r="AB382" s="63" t="str">
        <f>IF(AA382, Q382, "")</f>
        <v/>
      </c>
      <c r="AC382" s="63" t="str">
        <f>IF(AA382, IF(L382 = "", "", L382), "")</f>
        <v/>
      </c>
      <c r="AD382" s="63" t="str">
        <f>IF(AA382, K382, "")</f>
        <v/>
      </c>
    </row>
    <row r="383" spans="1:30" x14ac:dyDescent="0.25">
      <c r="A383" s="44" t="s">
        <v>21</v>
      </c>
      <c r="B383" s="57">
        <f t="shared" ref="B383" si="288">Q383</f>
        <v>7</v>
      </c>
      <c r="C383" s="43" t="str">
        <f t="shared" ref="C383" si="289">IF(L383="","",L383)</f>
        <v/>
      </c>
      <c r="D383" s="44" t="str">
        <f>_xlfn.CONCAT(K383, U383)</f>
        <v>chopped silverbeet leaves</v>
      </c>
      <c r="I383" s="67">
        <v>11</v>
      </c>
      <c r="J383" s="60"/>
      <c r="K383" s="60" t="s">
        <v>196</v>
      </c>
      <c r="L383" s="61"/>
      <c r="M383" s="51">
        <f>INDEX(itemGPerQty, MATCH(K383, itemNames, 0))</f>
        <v>0</v>
      </c>
      <c r="N383" s="51">
        <f>INDEX(itemMlPerQty, MATCH(K383, itemNames, 0))</f>
        <v>0</v>
      </c>
      <c r="O383" s="51">
        <f t="shared" si="286"/>
        <v>0</v>
      </c>
      <c r="P383" s="51">
        <f t="shared" si="287"/>
        <v>0</v>
      </c>
      <c r="Q383" s="51">
        <f>MROUND(IF(AND(J383 = "", L383 = ""), I383 * recipe11DayScale, IF(ISNA(CONVERT(O383, "kg", L383)), CONVERT(P383 * recipe11DayScale, "l", L383), CONVERT(O383 * recipe11DayScale, "kg", L383))), roundTo)</f>
        <v>7</v>
      </c>
      <c r="R383" s="52">
        <f>recipe11TotScale * IF(L383 = "", Q383 * M383, IF(ISNA(CONVERT(Q383, L383, "kg")), CONVERT(Q383, L383, "l") * IF(N383 &lt;&gt; 0, M383 / N383, 0), CONVERT(Q383, L383, "kg")))</f>
        <v>0</v>
      </c>
      <c r="S383" s="52">
        <f>recipe11TotScale * IF(R383 = 0, IF(L383 = "", Q383 * N383, IF(ISNA(CONVERT(Q383, L383, "l")), CONVERT(Q383, L383, "kg") * IF(M383 &lt;&gt; 0, N383 / M383, 0), CONVERT(Q383, L383, "l"))), 0)</f>
        <v>0</v>
      </c>
      <c r="T383" s="51">
        <f>recipe11TotScale * IF(AND(R383 = 0, S383 = 0, J383 = "", L383 = ""), Q383, 0)</f>
        <v>7</v>
      </c>
      <c r="V383" s="48" t="b">
        <f>INDEX(itemPrepMethods, MATCH(K383, itemNames, 0))="chop"</f>
        <v>1</v>
      </c>
      <c r="W383" s="62">
        <f>IF(V383, Q383, "")</f>
        <v>7</v>
      </c>
      <c r="X383" s="63" t="str">
        <f>IF(V383, IF(L383 = "", "", L383), "")</f>
        <v/>
      </c>
      <c r="Y383" s="63" t="str">
        <f>IF(V383, K383, "")</f>
        <v>chopped silverbeet leaves</v>
      </c>
      <c r="Z383" s="64"/>
      <c r="AA383" s="48" t="b">
        <f>INDEX(itemPrepMethods, MATCH(K383, itemNames, 0))="soak"</f>
        <v>0</v>
      </c>
      <c r="AB383" s="63" t="str">
        <f>IF(AA383, Q383, "")</f>
        <v/>
      </c>
      <c r="AC383" s="63" t="str">
        <f>IF(AA383, IF(L383 = "", "", L383), "")</f>
        <v/>
      </c>
      <c r="AD383" s="63" t="str">
        <f>IF(AA383, K383, "")</f>
        <v/>
      </c>
    </row>
    <row r="384" spans="1:30" x14ac:dyDescent="0.25">
      <c r="A384" s="110"/>
      <c r="B384" s="110"/>
      <c r="C384" s="110"/>
      <c r="D384" s="110"/>
      <c r="I384" s="51"/>
      <c r="L384" s="48"/>
      <c r="M384" s="48"/>
      <c r="N384" s="48"/>
      <c r="W384" s="81"/>
      <c r="X384" s="82"/>
      <c r="Y384" s="82"/>
      <c r="Z384" s="83"/>
      <c r="AB384" s="81"/>
      <c r="AC384" s="81"/>
      <c r="AD384" s="81"/>
    </row>
    <row r="385" spans="1:30" x14ac:dyDescent="0.25">
      <c r="A385" s="110" t="s">
        <v>166</v>
      </c>
      <c r="B385" s="110"/>
      <c r="C385" s="110"/>
      <c r="D385" s="110"/>
      <c r="I385" s="51"/>
      <c r="L385" s="48"/>
      <c r="M385" s="48"/>
      <c r="N385" s="48"/>
      <c r="W385" s="81"/>
      <c r="X385" s="82"/>
      <c r="Y385" s="82"/>
      <c r="Z385" s="83"/>
      <c r="AB385" s="81"/>
      <c r="AC385" s="81"/>
      <c r="AD385" s="81"/>
    </row>
    <row r="386" spans="1:30" x14ac:dyDescent="0.25">
      <c r="A386" s="44" t="s">
        <v>21</v>
      </c>
      <c r="B386" s="57">
        <f t="shared" ref="B386" si="290">Q386</f>
        <v>1.25</v>
      </c>
      <c r="C386" s="43" t="str">
        <f t="shared" ref="C386:C387" si="291">IF(L386="","",L386)</f>
        <v/>
      </c>
      <c r="D386" s="44" t="str">
        <f>_xlfn.CONCAT(K386, U386)</f>
        <v>tins coconut cream</v>
      </c>
      <c r="I386" s="67">
        <v>2</v>
      </c>
      <c r="J386" s="60"/>
      <c r="K386" s="60" t="s">
        <v>114</v>
      </c>
      <c r="L386" s="61"/>
      <c r="M386" s="51">
        <f>INDEX(itemGPerQty, MATCH(K386, itemNames, 0))</f>
        <v>0</v>
      </c>
      <c r="N386" s="51">
        <f>INDEX(itemMlPerQty, MATCH(K386, itemNames, 0))</f>
        <v>0</v>
      </c>
      <c r="O386" s="51">
        <f>IF(J386 = "", I386 * M386, IF(ISNA(CONVERT(I386, J386, "kg")), CONVERT(I386, J386, "l") * IF(N386 &lt;&gt; 0, M386 / N386, 0), CONVERT(I386, J386, "kg")))</f>
        <v>0</v>
      </c>
      <c r="P386" s="51">
        <f>IF(J386 = "", I386 * N386, IF(ISNA(CONVERT(I386, J386, "l")), CONVERT(I386, J386, "kg") * IF(M386 &lt;&gt; 0, N386 / M386, 0), CONVERT(I386, J386, "l")))</f>
        <v>0</v>
      </c>
      <c r="Q386" s="51">
        <f>MROUND(IF(AND(J386 = "", L386 = ""), I386 * recipe11DayScale, IF(ISNA(CONVERT(O386, "kg", L386)), CONVERT(P386 * recipe11DayScale, "l", L386), CONVERT(O386 * recipe11DayScale, "kg", L386))), roundTo)</f>
        <v>1.25</v>
      </c>
      <c r="R386" s="52">
        <f>recipe11TotScale * IF(L386 = "", Q386 * M386, IF(ISNA(CONVERT(Q386, L386, "kg")), CONVERT(Q386, L386, "l") * IF(N386 &lt;&gt; 0, M386 / N386, 0), CONVERT(Q386, L386, "kg")))</f>
        <v>0</v>
      </c>
      <c r="S386" s="52">
        <f>recipe11TotScale * IF(R386 = 0, IF(L386 = "", Q386 * N386, IF(ISNA(CONVERT(Q386, L386, "l")), CONVERT(Q386, L386, "kg") * IF(M386 &lt;&gt; 0, N386 / M386, 0), CONVERT(Q386, L386, "l"))), 0)</f>
        <v>0</v>
      </c>
      <c r="T386" s="51">
        <f>recipe11TotScale * IF(AND(R386 = 0, S386 = 0, J386 = "", L386 = ""), Q386, 0)</f>
        <v>1.25</v>
      </c>
      <c r="V386" s="48" t="b">
        <f>INDEX(itemPrepMethods, MATCH(K386, itemNames, 0))="chop"</f>
        <v>0</v>
      </c>
      <c r="W386" s="62" t="str">
        <f>IF(V386, Q386, "")</f>
        <v/>
      </c>
      <c r="X386" s="63" t="str">
        <f>IF(V386, IF(L386 = "", "", L386), "")</f>
        <v/>
      </c>
      <c r="Y386" s="63" t="str">
        <f>IF(V386, K386, "")</f>
        <v/>
      </c>
      <c r="Z386" s="64"/>
      <c r="AA386" s="48" t="b">
        <f>INDEX(itemPrepMethods, MATCH(K386, itemNames, 0))="soak"</f>
        <v>0</v>
      </c>
      <c r="AB386" s="63" t="str">
        <f>IF(AA386, Q386, "")</f>
        <v/>
      </c>
      <c r="AC386" s="63" t="str">
        <f>IF(AA386, IF(L386 = "", "", L386), "")</f>
        <v/>
      </c>
      <c r="AD386" s="63" t="str">
        <f>IF(AA386, K386, "")</f>
        <v/>
      </c>
    </row>
    <row r="387" spans="1:30" x14ac:dyDescent="0.25">
      <c r="A387" s="44" t="s">
        <v>21</v>
      </c>
      <c r="B387" s="57"/>
      <c r="C387" s="43" t="str">
        <f t="shared" si="291"/>
        <v/>
      </c>
      <c r="D387" s="44" t="str">
        <f>_xlfn.CONCAT(K387, U387)</f>
        <v>cooked split peas from step 1</v>
      </c>
      <c r="I387" s="51"/>
      <c r="L387" s="48"/>
      <c r="M387" s="48"/>
      <c r="N387" s="48"/>
      <c r="O387" s="48"/>
      <c r="P387" s="48"/>
      <c r="Q387" s="48"/>
      <c r="R387" s="48"/>
      <c r="S387" s="48"/>
      <c r="T387" s="48"/>
      <c r="U387" s="48" t="s">
        <v>247</v>
      </c>
      <c r="W387" s="62"/>
      <c r="X387" s="63"/>
      <c r="Y387" s="63"/>
      <c r="Z387" s="64"/>
      <c r="AB387" s="63"/>
      <c r="AC387" s="63"/>
      <c r="AD387" s="63"/>
    </row>
    <row r="388" spans="1:30" x14ac:dyDescent="0.25">
      <c r="A388" s="44" t="s">
        <v>21</v>
      </c>
      <c r="B388" s="57"/>
      <c r="C388" s="43" t="str">
        <f>IF(L388="","",L388)</f>
        <v/>
      </c>
      <c r="D388" s="44" t="str">
        <f>_xlfn.CONCAT(K388, U388)</f>
        <v>water, if required</v>
      </c>
      <c r="I388" s="51"/>
      <c r="K388" s="60" t="s">
        <v>48</v>
      </c>
      <c r="L388" s="48"/>
      <c r="M388" s="48"/>
      <c r="N388" s="48"/>
      <c r="O388" s="48"/>
      <c r="P388" s="48"/>
      <c r="U388" s="48" t="s">
        <v>223</v>
      </c>
      <c r="V388" s="48" t="b">
        <f>INDEX(itemPrepMethods, MATCH(K388, itemNames, 0))="chop"</f>
        <v>0</v>
      </c>
      <c r="W388" s="62" t="str">
        <f>IF(V388, Q388, "")</f>
        <v/>
      </c>
      <c r="X388" s="63" t="str">
        <f>IF(V388, IF(L388 = "", "", L388), "")</f>
        <v/>
      </c>
      <c r="Y388" s="63" t="str">
        <f>IF(V388, K388, "")</f>
        <v/>
      </c>
      <c r="Z388" s="64"/>
      <c r="AA388" s="48" t="b">
        <f>INDEX(itemPrepMethods, MATCH(K388, itemNames, 0))="soak"</f>
        <v>0</v>
      </c>
      <c r="AB388" s="63" t="str">
        <f>IF(AA388, Q388, "")</f>
        <v/>
      </c>
      <c r="AC388" s="63" t="str">
        <f>IF(AA388, IF(L388 = "", "", L388), "")</f>
        <v/>
      </c>
      <c r="AD388" s="63" t="str">
        <f>IF(AA388, K388, "")</f>
        <v/>
      </c>
    </row>
    <row r="389" spans="1:30" x14ac:dyDescent="0.25">
      <c r="A389" s="44" t="s">
        <v>21</v>
      </c>
      <c r="D389" s="44" t="str">
        <f>_xlfn.CONCAT(K389, U389)</f>
        <v>salt, to taste</v>
      </c>
      <c r="I389" s="51"/>
      <c r="K389" s="60" t="s">
        <v>11</v>
      </c>
      <c r="U389" s="50" t="s">
        <v>222</v>
      </c>
      <c r="V389" s="48" t="b">
        <f>INDEX(itemPrepMethods, MATCH(K389, itemNames, 0))="chop"</f>
        <v>0</v>
      </c>
      <c r="W389" s="62" t="str">
        <f>IF(V389, Q389, "")</f>
        <v/>
      </c>
      <c r="X389" s="63" t="str">
        <f>IF(V389, IF(L389 = "", "", L389), "")</f>
        <v/>
      </c>
      <c r="Y389" s="63" t="str">
        <f>IF(V389, K389, "")</f>
        <v/>
      </c>
      <c r="Z389" s="64"/>
      <c r="AA389" s="48" t="b">
        <f>INDEX(itemPrepMethods, MATCH(K389, itemNames, 0))="soak"</f>
        <v>0</v>
      </c>
      <c r="AB389" s="63" t="str">
        <f>IF(AA389, Q389, "")</f>
        <v/>
      </c>
      <c r="AC389" s="63" t="str">
        <f>IF(AA389, IF(L389 = "", "", L389), "")</f>
        <v/>
      </c>
      <c r="AD389" s="63" t="str">
        <f>IF(AA389, K389, "")</f>
        <v/>
      </c>
    </row>
    <row r="390" spans="1:30" x14ac:dyDescent="0.25">
      <c r="A390" s="110"/>
      <c r="B390" s="110"/>
      <c r="C390" s="110"/>
      <c r="D390" s="110"/>
      <c r="I390" s="48"/>
      <c r="L390" s="48"/>
    </row>
    <row r="391" spans="1:30" x14ac:dyDescent="0.25">
      <c r="A391" s="110" t="s">
        <v>309</v>
      </c>
      <c r="B391" s="110"/>
      <c r="C391" s="110"/>
      <c r="D391" s="110"/>
      <c r="I391" s="48"/>
      <c r="L391" s="48"/>
    </row>
    <row r="392" spans="1:30" ht="15.75" x14ac:dyDescent="0.25">
      <c r="A392" s="113" t="s">
        <v>37</v>
      </c>
      <c r="B392" s="113"/>
      <c r="C392" s="113"/>
      <c r="D392" s="113"/>
    </row>
    <row r="393" spans="1:30" ht="15.75" x14ac:dyDescent="0.25">
      <c r="A393" s="117" t="s">
        <v>44</v>
      </c>
      <c r="B393" s="117"/>
      <c r="C393" s="117"/>
      <c r="D393" s="117"/>
    </row>
    <row r="398" spans="1:30" ht="15.75" x14ac:dyDescent="0.25">
      <c r="A398" s="113" t="s">
        <v>157</v>
      </c>
      <c r="B398" s="113"/>
      <c r="C398" s="113"/>
      <c r="D398" s="113"/>
    </row>
    <row r="400" spans="1:30" x14ac:dyDescent="0.25">
      <c r="C400" s="100" t="s">
        <v>427</v>
      </c>
      <c r="D400" s="44" t="s">
        <v>426</v>
      </c>
    </row>
    <row r="401" spans="3:4" x14ac:dyDescent="0.25">
      <c r="C401" s="100" t="s">
        <v>429</v>
      </c>
      <c r="D401" s="44" t="s">
        <v>428</v>
      </c>
    </row>
    <row r="402" spans="3:4" x14ac:dyDescent="0.25">
      <c r="C402" s="100" t="s">
        <v>430</v>
      </c>
      <c r="D402" s="44" t="s">
        <v>431</v>
      </c>
    </row>
    <row r="403" spans="3:4" x14ac:dyDescent="0.25">
      <c r="C403" s="100" t="s">
        <v>433</v>
      </c>
      <c r="D403" s="44" t="s">
        <v>432</v>
      </c>
    </row>
  </sheetData>
  <mergeCells count="213">
    <mergeCell ref="A32:D32"/>
    <mergeCell ref="A33:D33"/>
    <mergeCell ref="A35:D35"/>
    <mergeCell ref="A36:D36"/>
    <mergeCell ref="A13:D13"/>
    <mergeCell ref="A14:D14"/>
    <mergeCell ref="F18:G18"/>
    <mergeCell ref="A19:D19"/>
    <mergeCell ref="A20:D20"/>
    <mergeCell ref="A21:D21"/>
    <mergeCell ref="A26:D26"/>
    <mergeCell ref="A27:D27"/>
    <mergeCell ref="A378:D378"/>
    <mergeCell ref="A379:D379"/>
    <mergeCell ref="A368:D368"/>
    <mergeCell ref="A369:D369"/>
    <mergeCell ref="A65:D65"/>
    <mergeCell ref="A67:D67"/>
    <mergeCell ref="A68:D68"/>
    <mergeCell ref="A72:D72"/>
    <mergeCell ref="A73:D73"/>
    <mergeCell ref="A90:D90"/>
    <mergeCell ref="A108:D108"/>
    <mergeCell ref="A109:D109"/>
    <mergeCell ref="A113:D113"/>
    <mergeCell ref="A116:D116"/>
    <mergeCell ref="A117:D117"/>
    <mergeCell ref="A143:D143"/>
    <mergeCell ref="A144:D144"/>
    <mergeCell ref="A139:D139"/>
    <mergeCell ref="A140:D140"/>
    <mergeCell ref="A345:D345"/>
    <mergeCell ref="A342:D342"/>
    <mergeCell ref="A371:D371"/>
    <mergeCell ref="A322:D322"/>
    <mergeCell ref="A323:D323"/>
    <mergeCell ref="A40:D40"/>
    <mergeCell ref="F40:G40"/>
    <mergeCell ref="F62:G62"/>
    <mergeCell ref="A41:D41"/>
    <mergeCell ref="A42:D42"/>
    <mergeCell ref="A64:D64"/>
    <mergeCell ref="A18:D18"/>
    <mergeCell ref="A175:D175"/>
    <mergeCell ref="A372:D372"/>
    <mergeCell ref="A335:D335"/>
    <mergeCell ref="A366:D366"/>
    <mergeCell ref="A367:D367"/>
    <mergeCell ref="A80:D80"/>
    <mergeCell ref="A81:D81"/>
    <mergeCell ref="A82:D82"/>
    <mergeCell ref="A83:D83"/>
    <mergeCell ref="A85:D85"/>
    <mergeCell ref="A184:D184"/>
    <mergeCell ref="A114:D114"/>
    <mergeCell ref="A346:D346"/>
    <mergeCell ref="A349:D349"/>
    <mergeCell ref="A350:D350"/>
    <mergeCell ref="A215:D215"/>
    <mergeCell ref="A241:D241"/>
    <mergeCell ref="A51:D51"/>
    <mergeCell ref="A46:D46"/>
    <mergeCell ref="A50:D50"/>
    <mergeCell ref="A43:D43"/>
    <mergeCell ref="A47:D47"/>
    <mergeCell ref="A62:D62"/>
    <mergeCell ref="A63:D63"/>
    <mergeCell ref="A392:D392"/>
    <mergeCell ref="A365:D365"/>
    <mergeCell ref="A265:D265"/>
    <mergeCell ref="A89:D89"/>
    <mergeCell ref="A298:D298"/>
    <mergeCell ref="A299:D299"/>
    <mergeCell ref="A182:D182"/>
    <mergeCell ref="A213:D213"/>
    <mergeCell ref="A214:D214"/>
    <mergeCell ref="A216:D216"/>
    <mergeCell ref="A219:D219"/>
    <mergeCell ref="A239:D239"/>
    <mergeCell ref="A240:D240"/>
    <mergeCell ref="A355:D355"/>
    <mergeCell ref="A356:D356"/>
    <mergeCell ref="A362:D362"/>
    <mergeCell ref="A363:D363"/>
    <mergeCell ref="A384:D384"/>
    <mergeCell ref="A385:D385"/>
    <mergeCell ref="A390:D390"/>
    <mergeCell ref="A391:D391"/>
    <mergeCell ref="A398:D398"/>
    <mergeCell ref="F298:G298"/>
    <mergeCell ref="F265:G265"/>
    <mergeCell ref="F364:G364"/>
    <mergeCell ref="F148:G148"/>
    <mergeCell ref="A151:D151"/>
    <mergeCell ref="A155:D155"/>
    <mergeCell ref="A156:D156"/>
    <mergeCell ref="A393:D393"/>
    <mergeCell ref="A331:D331"/>
    <mergeCell ref="A300:D300"/>
    <mergeCell ref="A305:D305"/>
    <mergeCell ref="A281:D281"/>
    <mergeCell ref="A282:D282"/>
    <mergeCell ref="A284:D284"/>
    <mergeCell ref="A283:D283"/>
    <mergeCell ref="A285:D285"/>
    <mergeCell ref="A286:D286"/>
    <mergeCell ref="A334:D334"/>
    <mergeCell ref="A341:D341"/>
    <mergeCell ref="F125:G125"/>
    <mergeCell ref="F332:G332"/>
    <mergeCell ref="F181:G181"/>
    <mergeCell ref="F213:G213"/>
    <mergeCell ref="F239:G239"/>
    <mergeCell ref="A332:D332"/>
    <mergeCell ref="A333:D333"/>
    <mergeCell ref="A181:D181"/>
    <mergeCell ref="A220:D220"/>
    <mergeCell ref="A223:D223"/>
    <mergeCell ref="A224:D224"/>
    <mergeCell ref="A226:D226"/>
    <mergeCell ref="A227:D227"/>
    <mergeCell ref="A231:D231"/>
    <mergeCell ref="A232:D232"/>
    <mergeCell ref="A125:D125"/>
    <mergeCell ref="A126:D126"/>
    <mergeCell ref="A145:D145"/>
    <mergeCell ref="A150:D150"/>
    <mergeCell ref="A301:D301"/>
    <mergeCell ref="A306:D306"/>
    <mergeCell ref="A316:D316"/>
    <mergeCell ref="A315:D315"/>
    <mergeCell ref="A321:D321"/>
    <mergeCell ref="A324:D324"/>
    <mergeCell ref="A330:D330"/>
    <mergeCell ref="A162:D162"/>
    <mergeCell ref="A163:D163"/>
    <mergeCell ref="A169:D169"/>
    <mergeCell ref="A170:D170"/>
    <mergeCell ref="A174:D174"/>
    <mergeCell ref="A302:D302"/>
    <mergeCell ref="A303:D303"/>
    <mergeCell ref="A259:D259"/>
    <mergeCell ref="A261:D261"/>
    <mergeCell ref="A262:D262"/>
    <mergeCell ref="A266:D266"/>
    <mergeCell ref="A267:D267"/>
    <mergeCell ref="A268:D268"/>
    <mergeCell ref="A270:D270"/>
    <mergeCell ref="A269:D269"/>
    <mergeCell ref="A273:D273"/>
    <mergeCell ref="A274:D274"/>
    <mergeCell ref="A278:D278"/>
    <mergeCell ref="A279:D279"/>
    <mergeCell ref="A287:D287"/>
    <mergeCell ref="A288:D288"/>
    <mergeCell ref="A294:D294"/>
    <mergeCell ref="A148:D148"/>
    <mergeCell ref="A149:D149"/>
    <mergeCell ref="A364:D364"/>
    <mergeCell ref="A176:D176"/>
    <mergeCell ref="A177:D177"/>
    <mergeCell ref="A196:D196"/>
    <mergeCell ref="A200:D200"/>
    <mergeCell ref="A201:D201"/>
    <mergeCell ref="A58:D58"/>
    <mergeCell ref="A142:D142"/>
    <mergeCell ref="A183:D183"/>
    <mergeCell ref="A186:D186"/>
    <mergeCell ref="A120:D120"/>
    <mergeCell ref="A121:D121"/>
    <mergeCell ref="A123:D123"/>
    <mergeCell ref="A127:D127"/>
    <mergeCell ref="A128:D128"/>
    <mergeCell ref="A132:D132"/>
    <mergeCell ref="A133:D133"/>
    <mergeCell ref="A297:D297"/>
    <mergeCell ref="A251:D251"/>
    <mergeCell ref="A252:D252"/>
    <mergeCell ref="A253:D253"/>
    <mergeCell ref="A258:D258"/>
    <mergeCell ref="A91:D91"/>
    <mergeCell ref="A93:D93"/>
    <mergeCell ref="A94:D94"/>
    <mergeCell ref="A98:D98"/>
    <mergeCell ref="A99:D99"/>
    <mergeCell ref="A102:D102"/>
    <mergeCell ref="A103:D103"/>
    <mergeCell ref="A86:D86"/>
    <mergeCell ref="A88:D88"/>
    <mergeCell ref="A295:D295"/>
    <mergeCell ref="A296:D296"/>
    <mergeCell ref="A1:D1"/>
    <mergeCell ref="F1:G1"/>
    <mergeCell ref="A2:D2"/>
    <mergeCell ref="A3:D3"/>
    <mergeCell ref="A4:D4"/>
    <mergeCell ref="A16:D16"/>
    <mergeCell ref="A17:D17"/>
    <mergeCell ref="A256:D256"/>
    <mergeCell ref="A205:D205"/>
    <mergeCell ref="A207:D207"/>
    <mergeCell ref="A211:D211"/>
    <mergeCell ref="A242:D242"/>
    <mergeCell ref="A247:D247"/>
    <mergeCell ref="A248:D248"/>
    <mergeCell ref="A250:D250"/>
    <mergeCell ref="A187:D187"/>
    <mergeCell ref="A191:D191"/>
    <mergeCell ref="A192:D192"/>
    <mergeCell ref="A193:D193"/>
    <mergeCell ref="A194:D194"/>
    <mergeCell ref="A195:D195"/>
    <mergeCell ref="F88:G88"/>
  </mergeCells>
  <conditionalFormatting sqref="M18:T18 M42:T62 M64:T88 M90:T125 M183:T213 M215:T239 M241:T265 M267:T298 M366:T1048576 M20:T31 M34:T34 M39:T40 M1:T12 M15:T15 M300:T332 M127:T148 M334:T364 M150:T181">
    <cfRule type="cellIs" dxfId="95" priority="223" operator="equal">
      <formula>0</formula>
    </cfRule>
    <cfRule type="cellIs" dxfId="94" priority="224" operator="equal">
      <formula>0</formula>
    </cfRule>
  </conditionalFormatting>
  <conditionalFormatting sqref="M19:T19">
    <cfRule type="cellIs" dxfId="93" priority="37" operator="equal">
      <formula>0</formula>
    </cfRule>
    <cfRule type="cellIs" dxfId="92" priority="38" operator="equal">
      <formula>0</formula>
    </cfRule>
  </conditionalFormatting>
  <conditionalFormatting sqref="M41:T41">
    <cfRule type="cellIs" dxfId="91" priority="35" operator="equal">
      <formula>0</formula>
    </cfRule>
    <cfRule type="cellIs" dxfId="90" priority="36" operator="equal">
      <formula>0</formula>
    </cfRule>
  </conditionalFormatting>
  <conditionalFormatting sqref="M63:T63">
    <cfRule type="cellIs" dxfId="89" priority="33" operator="equal">
      <formula>0</formula>
    </cfRule>
    <cfRule type="cellIs" dxfId="88" priority="34" operator="equal">
      <formula>0</formula>
    </cfRule>
  </conditionalFormatting>
  <conditionalFormatting sqref="M89:T89">
    <cfRule type="cellIs" dxfId="87" priority="31" operator="equal">
      <formula>0</formula>
    </cfRule>
    <cfRule type="cellIs" dxfId="86" priority="32" operator="equal">
      <formula>0</formula>
    </cfRule>
  </conditionalFormatting>
  <conditionalFormatting sqref="M126:T126">
    <cfRule type="cellIs" dxfId="85" priority="29" operator="equal">
      <formula>0</formula>
    </cfRule>
    <cfRule type="cellIs" dxfId="84" priority="30" operator="equal">
      <formula>0</formula>
    </cfRule>
  </conditionalFormatting>
  <conditionalFormatting sqref="M214:T214">
    <cfRule type="cellIs" dxfId="83" priority="23" operator="equal">
      <formula>0</formula>
    </cfRule>
    <cfRule type="cellIs" dxfId="82" priority="24" operator="equal">
      <formula>0</formula>
    </cfRule>
  </conditionalFormatting>
  <conditionalFormatting sqref="M182:T182">
    <cfRule type="cellIs" dxfId="81" priority="25" operator="equal">
      <formula>0</formula>
    </cfRule>
    <cfRule type="cellIs" dxfId="80" priority="26" operator="equal">
      <formula>0</formula>
    </cfRule>
  </conditionalFormatting>
  <conditionalFormatting sqref="M240:T240">
    <cfRule type="cellIs" dxfId="79" priority="21" operator="equal">
      <formula>0</formula>
    </cfRule>
    <cfRule type="cellIs" dxfId="78" priority="22" operator="equal">
      <formula>0</formula>
    </cfRule>
  </conditionalFormatting>
  <conditionalFormatting sqref="M266:T266">
    <cfRule type="cellIs" dxfId="77" priority="19" operator="equal">
      <formula>0</formula>
    </cfRule>
    <cfRule type="cellIs" dxfId="76" priority="20" operator="equal">
      <formula>0</formula>
    </cfRule>
  </conditionalFormatting>
  <conditionalFormatting sqref="M299:T299">
    <cfRule type="cellIs" dxfId="75" priority="17" operator="equal">
      <formula>0</formula>
    </cfRule>
    <cfRule type="cellIs" dxfId="74" priority="18" operator="equal">
      <formula>0</formula>
    </cfRule>
  </conditionalFormatting>
  <conditionalFormatting sqref="M365:T365">
    <cfRule type="cellIs" dxfId="73" priority="13" operator="equal">
      <formula>0</formula>
    </cfRule>
    <cfRule type="cellIs" dxfId="72" priority="14" operator="equal">
      <formula>0</formula>
    </cfRule>
  </conditionalFormatting>
  <conditionalFormatting sqref="M32:T33">
    <cfRule type="cellIs" dxfId="71" priority="11" operator="equal">
      <formula>0</formula>
    </cfRule>
    <cfRule type="cellIs" dxfId="70" priority="12" operator="equal">
      <formula>0</formula>
    </cfRule>
  </conditionalFormatting>
  <conditionalFormatting sqref="M35:T36">
    <cfRule type="cellIs" dxfId="69" priority="9" operator="equal">
      <formula>0</formula>
    </cfRule>
    <cfRule type="cellIs" dxfId="68" priority="10" operator="equal">
      <formula>0</formula>
    </cfRule>
  </conditionalFormatting>
  <conditionalFormatting sqref="M38:T38">
    <cfRule type="cellIs" dxfId="67" priority="7" operator="equal">
      <formula>0</formula>
    </cfRule>
    <cfRule type="cellIs" dxfId="66" priority="8" operator="equal">
      <formula>0</formula>
    </cfRule>
  </conditionalFormatting>
  <conditionalFormatting sqref="M37:T37">
    <cfRule type="cellIs" dxfId="65" priority="5" operator="equal">
      <formula>0</formula>
    </cfRule>
    <cfRule type="cellIs" dxfId="64" priority="6" operator="equal">
      <formula>0</formula>
    </cfRule>
  </conditionalFormatting>
  <conditionalFormatting sqref="M333:T333">
    <cfRule type="cellIs" dxfId="63" priority="3" operator="equal">
      <formula>0</formula>
    </cfRule>
    <cfRule type="cellIs" dxfId="62" priority="4" operator="equal">
      <formula>0</formula>
    </cfRule>
  </conditionalFormatting>
  <conditionalFormatting sqref="M149:T149">
    <cfRule type="cellIs" dxfId="61" priority="1" operator="equal">
      <formula>0</formula>
    </cfRule>
    <cfRule type="cellIs" dxfId="60" priority="2" operator="equal">
      <formula>0</formula>
    </cfRule>
  </conditionalFormatting>
  <dataValidations count="2">
    <dataValidation type="list" allowBlank="1" showInputMessage="1" showErrorMessage="1" sqref="K44:K45 K233:K236 K48:K49 K124:L124 L60 K66 K69:K71 K74:K79 K217:K218 K221:K222 K225 K84 K228:K230 L359:L361 L315 L321 L323 L327:L330 K370 K386 K388:L389 K22:K25 L387:T387 K373:K384 K52:K56 K92 K96:K97 K100:K101 K104:K107 K115 K118:K119 K129:K131 K134:K138 L139:L140 K141 K145 K185 L190 K188:K190 K202:K203 K197:K199 K208:L212 K243:K246 K249 K254:K257 K260 L263:L264 K271:K272 K275:K277 K280 K289:K293 K304 K5:K12 K334:K363 K37:K39 M179:T179 L152:U152 K28:K31 K34 K15 K307:K332 K146:L148 L142:L148 K150:K180 L150:L152 L155:L156 L162:L163 L169:L170 L174:L177 L179:L180" xr:uid="{E7201FAD-AA48-42E3-BC0A-8F8918B06E93}">
      <formula1>itemNames</formula1>
    </dataValidation>
    <dataValidation type="list" allowBlank="1" showInputMessage="1" showErrorMessage="1" sqref="J44:J45 L221:L222 L217:L218 L74:L79 L225 L52:L56 L69:L71 L66 L48:L49 J66 L228:L230 J69:J71 J74:J79 L44:L45 J118:J119 J233:J236 J217:J218 J221:J222 L233:L236 J225 J84 J134:J138 J324:J326 L316:L320 J316:J320 J322 L322 J5:J12 L324:L326 L37:L39 J150:J180 L370 J370 J386 L386 J22:J25 L22:L25 J48:J49 J52:J56 L84 L92 J92 J96:J97 L96:L97 L100:L101 J100:J101 L118:L119 L104:L107 J104:J107 J115 L115 J129:J131 L129:L131 L134:L138 J141 L141 L334:L363 J334:J363 L185 J185 J188:J189 L188:L189 J202:J203 L197:L199 J197:J199 L202:L203 J228:J230 L243:L246 J243:J246 J249 L249 L254:L257 J254:J257 L260 J260 L271:L272 J271:J272 L275:L277 J275:J277 J280 L280 J289:J293 L289:L293 J304 L304 J307:J314 L307:L314 J373:J384 L373:L384 J37:J39 J28:J31 L28:L31 L34 J34 L15 L5:L12 J15 J331:J332 L331:L332 L145:L148 J145:J148 L150:L18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5" manualBreakCount="15">
    <brk id="17" max="16383" man="1"/>
    <brk id="39" max="16383" man="1"/>
    <brk id="61" max="16383" man="1"/>
    <brk id="87" max="16383" man="1"/>
    <brk id="124" max="16383" man="1"/>
    <brk id="147" max="16383" man="1"/>
    <brk id="180" max="16383" man="1"/>
    <brk id="212" max="16383" man="1"/>
    <brk id="238" max="16383" man="1"/>
    <brk id="264" max="16383" man="1"/>
    <brk id="297" max="16383" man="1"/>
    <brk id="331" max="16383" man="1"/>
    <brk id="363" max="16383" man="1"/>
    <brk id="391" max="16383" man="1"/>
    <brk id="39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2"/>
  <sheetViews>
    <sheetView workbookViewId="0">
      <selection activeCell="A13" sqref="A13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203</v>
      </c>
      <c r="B1" t="s">
        <v>320</v>
      </c>
    </row>
    <row r="2" spans="1:2" x14ac:dyDescent="0.25">
      <c r="A2" t="s">
        <v>204</v>
      </c>
      <c r="B2" t="s">
        <v>318</v>
      </c>
    </row>
    <row r="3" spans="1:2" x14ac:dyDescent="0.25">
      <c r="A3" t="s">
        <v>205</v>
      </c>
    </row>
    <row r="4" spans="1:2" x14ac:dyDescent="0.25">
      <c r="A4" t="s">
        <v>206</v>
      </c>
    </row>
    <row r="5" spans="1:2" x14ac:dyDescent="0.25">
      <c r="A5" t="s">
        <v>207</v>
      </c>
    </row>
    <row r="6" spans="1:2" x14ac:dyDescent="0.25">
      <c r="A6" t="s">
        <v>208</v>
      </c>
    </row>
    <row r="7" spans="1:2" x14ac:dyDescent="0.25">
      <c r="A7" t="s">
        <v>314</v>
      </c>
    </row>
    <row r="8" spans="1:2" x14ac:dyDescent="0.25">
      <c r="A8" t="s">
        <v>315</v>
      </c>
    </row>
    <row r="9" spans="1:2" x14ac:dyDescent="0.25">
      <c r="A9" t="s">
        <v>316</v>
      </c>
    </row>
    <row r="10" spans="1:2" x14ac:dyDescent="0.25">
      <c r="A10" t="s">
        <v>317</v>
      </c>
    </row>
    <row r="11" spans="1:2" x14ac:dyDescent="0.25">
      <c r="A11" t="s">
        <v>319</v>
      </c>
      <c r="B11" t="s">
        <v>318</v>
      </c>
    </row>
    <row r="12" spans="1:2" x14ac:dyDescent="0.25">
      <c r="A12" t="s"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1"/>
  <sheetViews>
    <sheetView zoomScale="70" zoomScaleNormal="70" workbookViewId="0">
      <selection activeCell="O22" sqref="O22"/>
    </sheetView>
  </sheetViews>
  <sheetFormatPr defaultRowHeight="12.75" x14ac:dyDescent="0.2"/>
  <cols>
    <col min="1" max="1" width="28.85546875" style="1" bestFit="1" customWidth="1"/>
    <col min="2" max="2" width="7.42578125" style="42" bestFit="1" customWidth="1"/>
    <col min="3" max="3" width="19.85546875" style="1" bestFit="1" customWidth="1"/>
    <col min="4" max="5" width="8.85546875" style="2" bestFit="1" customWidth="1"/>
    <col min="6" max="6" width="10.28515625" style="2" bestFit="1" customWidth="1"/>
    <col min="7" max="8" width="9.28515625" style="2" bestFit="1" customWidth="1"/>
    <col min="9" max="10" width="6" style="2" bestFit="1" customWidth="1"/>
    <col min="11" max="11" width="6.7109375" style="2" bestFit="1" customWidth="1"/>
    <col min="12" max="12" width="7.42578125" style="105" bestFit="1" customWidth="1"/>
    <col min="13" max="13" width="6.7109375" style="2" customWidth="1"/>
    <col min="14" max="14" width="9.85546875" style="1" bestFit="1" customWidth="1"/>
    <col min="15" max="15" width="9.140625" style="1"/>
    <col min="16" max="16" width="7.7109375" style="1" bestFit="1" customWidth="1"/>
    <col min="17" max="17" width="9.140625" style="1"/>
    <col min="18" max="18" width="11.85546875" style="1" bestFit="1" customWidth="1"/>
    <col min="19" max="16384" width="9.140625" style="1"/>
  </cols>
  <sheetData>
    <row r="1" spans="1:18" ht="26.25" thickBot="1" x14ac:dyDescent="0.25">
      <c r="A1" s="14" t="s">
        <v>155</v>
      </c>
      <c r="B1" s="37" t="s">
        <v>211</v>
      </c>
      <c r="C1" s="14" t="s">
        <v>156</v>
      </c>
      <c r="D1" s="13" t="s">
        <v>55</v>
      </c>
      <c r="E1" s="13" t="s">
        <v>147</v>
      </c>
      <c r="F1" s="13" t="s">
        <v>148</v>
      </c>
      <c r="G1" s="15" t="s">
        <v>149</v>
      </c>
      <c r="H1" s="15" t="s">
        <v>150</v>
      </c>
      <c r="I1" s="15" t="s">
        <v>118</v>
      </c>
      <c r="J1" s="15" t="s">
        <v>119</v>
      </c>
      <c r="K1" s="15" t="s">
        <v>117</v>
      </c>
      <c r="L1" s="101" t="s">
        <v>434</v>
      </c>
      <c r="M1" s="15"/>
      <c r="N1" s="14" t="s">
        <v>215</v>
      </c>
      <c r="P1" s="14" t="s">
        <v>133</v>
      </c>
      <c r="R1" s="14" t="s">
        <v>210</v>
      </c>
    </row>
    <row r="2" spans="1:18" ht="14.25" thickTop="1" thickBot="1" x14ac:dyDescent="0.25">
      <c r="A2" s="21" t="s">
        <v>93</v>
      </c>
      <c r="B2" s="38"/>
      <c r="C2" s="19" t="s">
        <v>93</v>
      </c>
      <c r="D2" s="8"/>
      <c r="E2" s="8"/>
      <c r="F2" s="8"/>
      <c r="G2" s="18">
        <f t="shared" ref="G2:G31" si="0">IF(D2&lt;&gt;0, E2/D2, 0)</f>
        <v>0</v>
      </c>
      <c r="H2" s="18">
        <f t="shared" ref="H2:H31" si="1">IF(D2&lt;&gt;0, F2/D2, 0)</f>
        <v>0</v>
      </c>
      <c r="I2" s="18">
        <f>SUMIF(recipes!K:K,A2,recipes!R:R)</f>
        <v>0</v>
      </c>
      <c r="J2" s="18">
        <f>SUMIF(recipes!K:K,A2,recipes!S:S)</f>
        <v>0</v>
      </c>
      <c r="K2" s="18">
        <f>SUMIF(recipes!K:K,A2,recipes!T:T)</f>
        <v>4.25</v>
      </c>
      <c r="L2" s="102">
        <f>COUNTIF(recipes!K:K,A2)</f>
        <v>2</v>
      </c>
      <c r="M2" s="3"/>
      <c r="N2" s="11" t="s">
        <v>16</v>
      </c>
      <c r="P2" s="11">
        <v>0.25</v>
      </c>
      <c r="R2" s="11" t="s">
        <v>212</v>
      </c>
    </row>
    <row r="3" spans="1:18" ht="13.5" thickBot="1" x14ac:dyDescent="0.25">
      <c r="A3" s="22" t="s">
        <v>51</v>
      </c>
      <c r="B3" s="39"/>
      <c r="C3" s="4" t="s">
        <v>51</v>
      </c>
      <c r="D3" s="16">
        <v>1</v>
      </c>
      <c r="E3" s="16">
        <v>1.6E-2</v>
      </c>
      <c r="F3" s="16">
        <v>2.2180100000000001E-2</v>
      </c>
      <c r="G3" s="3">
        <f t="shared" si="0"/>
        <v>1.6E-2</v>
      </c>
      <c r="H3" s="3">
        <f t="shared" si="1"/>
        <v>2.2180100000000001E-2</v>
      </c>
      <c r="I3" s="3">
        <f>SUMIF(recipes!K:K,A3,recipes!R:R)</f>
        <v>3.7333412732584614E-2</v>
      </c>
      <c r="J3" s="3">
        <f>SUMIF(recipes!K:K,A3,recipes!S:S)</f>
        <v>0</v>
      </c>
      <c r="K3" s="3">
        <f>SUMIF(recipes!K:K,A3,recipes!T:T)</f>
        <v>0</v>
      </c>
      <c r="L3" s="103">
        <f>COUNTIF(recipes!K:K,A3)</f>
        <v>1</v>
      </c>
      <c r="M3" s="3"/>
      <c r="N3" s="12" t="s">
        <v>200</v>
      </c>
      <c r="P3" s="10" t="s">
        <v>134</v>
      </c>
      <c r="R3" s="11" t="s">
        <v>213</v>
      </c>
    </row>
    <row r="4" spans="1:18" ht="13.5" thickBot="1" x14ac:dyDescent="0.25">
      <c r="A4" s="22" t="s">
        <v>123</v>
      </c>
      <c r="B4" s="39" t="s">
        <v>212</v>
      </c>
      <c r="C4" s="4" t="s">
        <v>2</v>
      </c>
      <c r="D4" s="5">
        <v>1</v>
      </c>
      <c r="E4" s="5">
        <v>0.313</v>
      </c>
      <c r="F4" s="7"/>
      <c r="G4" s="3">
        <f t="shared" si="0"/>
        <v>0.313</v>
      </c>
      <c r="H4" s="3">
        <f t="shared" si="1"/>
        <v>0</v>
      </c>
      <c r="I4" s="3">
        <f>SUMIF(recipes!K:K,A4,recipes!R:R)</f>
        <v>1.0954999999999999</v>
      </c>
      <c r="J4" s="3">
        <f>SUMIF(recipes!K:K,A4,recipes!S:S)</f>
        <v>0.53232353212499994</v>
      </c>
      <c r="K4" s="3">
        <f>SUMIF(recipes!K:K,A4,recipes!T:T)</f>
        <v>0</v>
      </c>
      <c r="L4" s="103">
        <f>COUNTIF(recipes!K:K,A4)</f>
        <v>3</v>
      </c>
      <c r="M4" s="3"/>
      <c r="N4" s="12" t="s">
        <v>0</v>
      </c>
      <c r="R4" s="10" t="s">
        <v>214</v>
      </c>
    </row>
    <row r="5" spans="1:18" x14ac:dyDescent="0.2">
      <c r="A5" s="22" t="s">
        <v>5</v>
      </c>
      <c r="B5" s="39" t="s">
        <v>212</v>
      </c>
      <c r="C5" s="4" t="s">
        <v>68</v>
      </c>
      <c r="D5" s="5">
        <v>3</v>
      </c>
      <c r="E5" s="5">
        <v>0.44500000000000001</v>
      </c>
      <c r="F5" s="5">
        <v>0.6</v>
      </c>
      <c r="G5" s="3">
        <f t="shared" si="0"/>
        <v>0.14833333333333334</v>
      </c>
      <c r="H5" s="3">
        <f t="shared" si="1"/>
        <v>0.19999999999999998</v>
      </c>
      <c r="I5" s="3">
        <f>SUMIF(recipes!K:K,A5,recipes!R:R)</f>
        <v>3.1186210797729168</v>
      </c>
      <c r="J5" s="3">
        <f>SUMIF(recipes!K:K,A5,recipes!S:S)</f>
        <v>0</v>
      </c>
      <c r="K5" s="3">
        <f>SUMIF(recipes!K:K,A5,recipes!T:T)</f>
        <v>0</v>
      </c>
      <c r="L5" s="103">
        <f>COUNTIF(recipes!K:K,A5)</f>
        <v>4</v>
      </c>
      <c r="M5" s="3"/>
      <c r="N5" s="12" t="s">
        <v>12</v>
      </c>
    </row>
    <row r="6" spans="1:18" x14ac:dyDescent="0.2">
      <c r="A6" s="22" t="s">
        <v>104</v>
      </c>
      <c r="B6" s="39" t="s">
        <v>212</v>
      </c>
      <c r="C6" s="4" t="s">
        <v>68</v>
      </c>
      <c r="D6" s="6"/>
      <c r="E6" s="6"/>
      <c r="F6" s="6"/>
      <c r="G6" s="3">
        <f t="shared" si="0"/>
        <v>0</v>
      </c>
      <c r="H6" s="3">
        <f t="shared" si="1"/>
        <v>0</v>
      </c>
      <c r="I6" s="3">
        <f>SUMIF(recipes!K:K,A6,recipes!R:R)</f>
        <v>0</v>
      </c>
      <c r="J6" s="3">
        <f>SUMIF(recipes!K:K,A6,recipes!S:S)</f>
        <v>0</v>
      </c>
      <c r="K6" s="3">
        <f>SUMIF(recipes!K:K,A6,recipes!T:T)</f>
        <v>18.5</v>
      </c>
      <c r="L6" s="103">
        <f>COUNTIF(recipes!K:K,A6)</f>
        <v>3</v>
      </c>
      <c r="M6" s="3"/>
      <c r="N6" s="12" t="s">
        <v>60</v>
      </c>
    </row>
    <row r="7" spans="1:18" x14ac:dyDescent="0.2">
      <c r="A7" s="22" t="s">
        <v>328</v>
      </c>
      <c r="B7" s="39" t="s">
        <v>212</v>
      </c>
      <c r="C7" s="4" t="s">
        <v>68</v>
      </c>
      <c r="D7" s="6"/>
      <c r="E7" s="6"/>
      <c r="F7" s="6"/>
      <c r="G7" s="3">
        <f t="shared" si="0"/>
        <v>0</v>
      </c>
      <c r="H7" s="3">
        <f t="shared" si="1"/>
        <v>0</v>
      </c>
      <c r="I7" s="3">
        <f>SUMIF(recipes!K:K,A7,recipes!R:R)</f>
        <v>0</v>
      </c>
      <c r="J7" s="3">
        <f>SUMIF(recipes!K:K,A7,recipes!S:S)</f>
        <v>0</v>
      </c>
      <c r="K7" s="3">
        <f>SUMIF(recipes!K:K,A7,recipes!T:T)</f>
        <v>3.3</v>
      </c>
      <c r="L7" s="103">
        <f>COUNTIF(recipes!K:K,A7)</f>
        <v>1</v>
      </c>
      <c r="M7" s="3"/>
      <c r="N7" s="12" t="s">
        <v>1</v>
      </c>
    </row>
    <row r="8" spans="1:18" x14ac:dyDescent="0.2">
      <c r="A8" s="22" t="s">
        <v>64</v>
      </c>
      <c r="B8" s="39" t="s">
        <v>212</v>
      </c>
      <c r="C8" s="4" t="s">
        <v>68</v>
      </c>
      <c r="D8" s="6"/>
      <c r="E8" s="6"/>
      <c r="F8" s="6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6.75</v>
      </c>
      <c r="L8" s="103">
        <f>COUNTIF(recipes!K:K,A8)</f>
        <v>1</v>
      </c>
      <c r="M8" s="3"/>
      <c r="N8" s="12" t="s">
        <v>15</v>
      </c>
    </row>
    <row r="9" spans="1:18" x14ac:dyDescent="0.2">
      <c r="A9" s="22" t="s">
        <v>192</v>
      </c>
      <c r="B9" s="39"/>
      <c r="C9" s="4" t="s">
        <v>192</v>
      </c>
      <c r="D9" s="6"/>
      <c r="E9" s="6"/>
      <c r="F9" s="6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0.47317647299999999</v>
      </c>
      <c r="K9" s="3">
        <f>SUMIF(recipes!K:K,A9,recipes!T:T)</f>
        <v>0</v>
      </c>
      <c r="L9" s="103">
        <f>COUNTIF(recipes!K:K,A9)</f>
        <v>1</v>
      </c>
      <c r="M9" s="3"/>
      <c r="N9" s="12" t="s">
        <v>13</v>
      </c>
    </row>
    <row r="10" spans="1:18" ht="13.5" thickBot="1" x14ac:dyDescent="0.25">
      <c r="A10" s="22" t="s">
        <v>172</v>
      </c>
      <c r="B10" s="39" t="s">
        <v>212</v>
      </c>
      <c r="C10" s="4" t="s">
        <v>169</v>
      </c>
      <c r="D10" s="6"/>
      <c r="E10" s="6"/>
      <c r="F10" s="6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3</v>
      </c>
      <c r="L10" s="103">
        <f>COUNTIF(recipes!K:K,A10)</f>
        <v>3</v>
      </c>
      <c r="M10" s="3"/>
      <c r="N10" s="10" t="s">
        <v>54</v>
      </c>
    </row>
    <row r="11" spans="1:18" s="35" customFormat="1" x14ac:dyDescent="0.2">
      <c r="A11" s="22" t="s">
        <v>160</v>
      </c>
      <c r="B11" s="39" t="s">
        <v>212</v>
      </c>
      <c r="C11" s="4" t="s">
        <v>67</v>
      </c>
      <c r="D11" s="6"/>
      <c r="E11" s="6"/>
      <c r="F11" s="6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</v>
      </c>
      <c r="K11" s="3">
        <f>SUMIF(recipes!K:K,A11,recipes!T:T)</f>
        <v>14.25</v>
      </c>
      <c r="L11" s="103">
        <f>COUNTIF(recipes!K:K,A11)</f>
        <v>2</v>
      </c>
      <c r="M11" s="3"/>
      <c r="N11" s="1"/>
    </row>
    <row r="12" spans="1:18" x14ac:dyDescent="0.2">
      <c r="A12" s="22" t="s">
        <v>105</v>
      </c>
      <c r="B12" s="39" t="s">
        <v>212</v>
      </c>
      <c r="C12" s="4" t="s">
        <v>67</v>
      </c>
      <c r="D12" s="6"/>
      <c r="E12" s="6"/>
      <c r="F12" s="6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9.5</v>
      </c>
      <c r="L12" s="103">
        <f>COUNTIF(recipes!K:K,A12)</f>
        <v>3</v>
      </c>
      <c r="M12" s="3"/>
      <c r="N12" s="35"/>
    </row>
    <row r="13" spans="1:18" s="35" customFormat="1" x14ac:dyDescent="0.2">
      <c r="A13" s="22" t="s">
        <v>182</v>
      </c>
      <c r="B13" s="39" t="s">
        <v>212</v>
      </c>
      <c r="C13" s="4" t="s">
        <v>67</v>
      </c>
      <c r="D13" s="6"/>
      <c r="E13" s="6"/>
      <c r="F13" s="6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16.149999999999999</v>
      </c>
      <c r="L13" s="103">
        <f>COUNTIF(recipes!K:K,A13)</f>
        <v>2</v>
      </c>
      <c r="M13" s="3"/>
    </row>
    <row r="14" spans="1:18" x14ac:dyDescent="0.2">
      <c r="A14" s="22" t="s">
        <v>65</v>
      </c>
      <c r="B14" s="39" t="s">
        <v>212</v>
      </c>
      <c r="C14" s="4" t="s">
        <v>67</v>
      </c>
      <c r="D14" s="6"/>
      <c r="E14" s="6"/>
      <c r="F14" s="6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3.25</v>
      </c>
      <c r="L14" s="103">
        <f>COUNTIF(recipes!K:K,A14)</f>
        <v>1</v>
      </c>
      <c r="M14" s="3"/>
    </row>
    <row r="15" spans="1:18" s="35" customFormat="1" x14ac:dyDescent="0.2">
      <c r="A15" s="22" t="s">
        <v>121</v>
      </c>
      <c r="B15" s="39"/>
      <c r="C15" s="4" t="s">
        <v>121</v>
      </c>
      <c r="D15" s="6"/>
      <c r="E15" s="6"/>
      <c r="F15" s="6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5.9147059124999998E-2</v>
      </c>
      <c r="K15" s="3">
        <f>SUMIF(recipes!K:K,A15,recipes!T:T)</f>
        <v>0</v>
      </c>
      <c r="L15" s="103">
        <f>COUNTIF(recipes!K:K,A15)</f>
        <v>1</v>
      </c>
      <c r="M15" s="3"/>
    </row>
    <row r="16" spans="1:18" x14ac:dyDescent="0.2">
      <c r="A16" s="22" t="s">
        <v>109</v>
      </c>
      <c r="B16" s="39"/>
      <c r="C16" s="4" t="s">
        <v>109</v>
      </c>
      <c r="D16" s="16">
        <v>1</v>
      </c>
      <c r="E16" s="16">
        <v>1.0999999999999999E-2</v>
      </c>
      <c r="F16" s="16">
        <v>2.2180100000000001E-2</v>
      </c>
      <c r="G16" s="3">
        <f t="shared" si="0"/>
        <v>1.0999999999999999E-2</v>
      </c>
      <c r="H16" s="3">
        <f t="shared" si="1"/>
        <v>2.2180100000000001E-2</v>
      </c>
      <c r="I16" s="3">
        <f>SUMIF(recipes!K:K,A16,recipes!R:R)</f>
        <v>1.0388910983621014E-2</v>
      </c>
      <c r="J16" s="3">
        <f>SUMIF(recipes!K:K,A16,recipes!S:S)</f>
        <v>0</v>
      </c>
      <c r="K16" s="3">
        <f>SUMIF(recipes!K:K,A16,recipes!T:T)</f>
        <v>0</v>
      </c>
      <c r="L16" s="103">
        <f>COUNTIF(recipes!K:K,A16)</f>
        <v>3</v>
      </c>
      <c r="M16" s="3"/>
    </row>
    <row r="17" spans="1:13" x14ac:dyDescent="0.2">
      <c r="A17" s="22" t="s">
        <v>327</v>
      </c>
      <c r="B17" s="39" t="s">
        <v>212</v>
      </c>
      <c r="C17" s="4" t="s">
        <v>168</v>
      </c>
      <c r="D17" s="5">
        <v>1</v>
      </c>
      <c r="E17" s="5">
        <v>0.30599999999999999</v>
      </c>
      <c r="F17" s="7"/>
      <c r="G17" s="3">
        <f t="shared" si="0"/>
        <v>0.30599999999999999</v>
      </c>
      <c r="H17" s="3">
        <f t="shared" si="1"/>
        <v>0</v>
      </c>
      <c r="I17" s="3">
        <f>SUMIF(recipes!K:K,A17,recipes!R:R)</f>
        <v>1.0098</v>
      </c>
      <c r="J17" s="3">
        <f>SUMIF(recipes!K:K,A17,recipes!S:S)</f>
        <v>0</v>
      </c>
      <c r="K17" s="3">
        <f>SUMIF(recipes!K:K,A17,recipes!T:T)</f>
        <v>0</v>
      </c>
      <c r="L17" s="103">
        <f>COUNTIF(recipes!K:K,A17)</f>
        <v>1</v>
      </c>
      <c r="M17" s="3"/>
    </row>
    <row r="18" spans="1:13" x14ac:dyDescent="0.2">
      <c r="A18" s="22" t="s">
        <v>52</v>
      </c>
      <c r="B18" s="39"/>
      <c r="C18" s="4" t="s">
        <v>52</v>
      </c>
      <c r="D18" s="16">
        <v>1</v>
      </c>
      <c r="E18" s="16">
        <v>1.0999999999999999E-2</v>
      </c>
      <c r="F18" s="16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2.5666721253651919E-2</v>
      </c>
      <c r="J18" s="3">
        <f>SUMIF(recipes!K:K,A18,recipes!S:S)</f>
        <v>0</v>
      </c>
      <c r="K18" s="3">
        <f>SUMIF(recipes!K:K,A18,recipes!T:T)</f>
        <v>0</v>
      </c>
      <c r="L18" s="103">
        <f>COUNTIF(recipes!K:K,A18)</f>
        <v>1</v>
      </c>
      <c r="M18" s="3"/>
    </row>
    <row r="19" spans="1:13" x14ac:dyDescent="0.2">
      <c r="A19" s="22" t="s">
        <v>9</v>
      </c>
      <c r="B19" s="39"/>
      <c r="C19" s="4" t="s">
        <v>9</v>
      </c>
      <c r="D19" s="16">
        <v>1</v>
      </c>
      <c r="E19" s="16">
        <v>1.2E-2</v>
      </c>
      <c r="F19" s="16">
        <v>2.2180100000000001E-2</v>
      </c>
      <c r="G19" s="3">
        <f t="shared" si="0"/>
        <v>1.2E-2</v>
      </c>
      <c r="H19" s="3">
        <f t="shared" si="1"/>
        <v>2.2180100000000001E-2</v>
      </c>
      <c r="I19" s="3">
        <f>SUMIF(recipes!K:K,A19,recipes!R:R)</f>
        <v>4.2000089324157684E-2</v>
      </c>
      <c r="J19" s="3">
        <f>SUMIF(recipes!K:K,A19,recipes!S:S)</f>
        <v>0</v>
      </c>
      <c r="K19" s="3">
        <f>SUMIF(recipes!K:K,A19,recipes!T:T)</f>
        <v>0</v>
      </c>
      <c r="L19" s="103">
        <f>COUNTIF(recipes!K:K,A19)</f>
        <v>2</v>
      </c>
      <c r="M19" s="3"/>
    </row>
    <row r="20" spans="1:13" x14ac:dyDescent="0.2">
      <c r="A20" s="22" t="s">
        <v>78</v>
      </c>
      <c r="B20" s="39"/>
      <c r="C20" s="4" t="s">
        <v>78</v>
      </c>
      <c r="D20" s="6"/>
      <c r="E20" s="6"/>
      <c r="F20" s="6"/>
      <c r="G20" s="3">
        <f t="shared" si="0"/>
        <v>0</v>
      </c>
      <c r="H20" s="3">
        <f t="shared" si="1"/>
        <v>0</v>
      </c>
      <c r="I20" s="3">
        <f>SUMIF(recipes!K:K,A20,recipes!R:R)</f>
        <v>0</v>
      </c>
      <c r="J20" s="3">
        <f>SUMIF(recipes!K:K,A20,recipes!S:S)</f>
        <v>8.7488358289062484E-2</v>
      </c>
      <c r="K20" s="3">
        <f>SUMIF(recipes!K:K,A20,recipes!T:T)</f>
        <v>0</v>
      </c>
      <c r="L20" s="103">
        <f>COUNTIF(recipes!K:K,A20)</f>
        <v>2</v>
      </c>
      <c r="M20" s="3"/>
    </row>
    <row r="21" spans="1:13" x14ac:dyDescent="0.2">
      <c r="A21" s="22" t="s">
        <v>108</v>
      </c>
      <c r="B21" s="39"/>
      <c r="C21" s="4" t="s">
        <v>108</v>
      </c>
      <c r="D21" s="16">
        <v>1</v>
      </c>
      <c r="E21" s="16">
        <v>3.0000000000000001E-3</v>
      </c>
      <c r="F21" s="16">
        <v>2.2180100000000001E-2</v>
      </c>
      <c r="G21" s="3">
        <f t="shared" si="0"/>
        <v>3.0000000000000001E-3</v>
      </c>
      <c r="H21" s="3">
        <f t="shared" si="1"/>
        <v>2.2180100000000001E-2</v>
      </c>
      <c r="I21" s="3">
        <f>SUMIF(recipes!K:K,A21,recipes!R:R)</f>
        <v>1.1666691478932692E-3</v>
      </c>
      <c r="J21" s="3">
        <f>SUMIF(recipes!K:K,A21,recipes!S:S)</f>
        <v>0</v>
      </c>
      <c r="K21" s="3">
        <f>SUMIF(recipes!K:K,A21,recipes!T:T)</f>
        <v>0</v>
      </c>
      <c r="L21" s="103">
        <f>COUNTIF(recipes!K:K,A21)</f>
        <v>1</v>
      </c>
      <c r="M21" s="3"/>
    </row>
    <row r="22" spans="1:13" s="35" customFormat="1" x14ac:dyDescent="0.2">
      <c r="A22" s="22" t="s">
        <v>293</v>
      </c>
      <c r="B22" s="39"/>
      <c r="C22" s="4" t="s">
        <v>293</v>
      </c>
      <c r="D22" s="6"/>
      <c r="E22" s="6"/>
      <c r="F22" s="6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0.47317647299999999</v>
      </c>
      <c r="K22" s="3">
        <f>SUMIF(recipes!K:K,A22,recipes!T:T)</f>
        <v>0</v>
      </c>
      <c r="L22" s="103">
        <f>COUNTIF(recipes!K:K,A22)</f>
        <v>1</v>
      </c>
      <c r="M22" s="3"/>
    </row>
    <row r="23" spans="1:13" s="35" customFormat="1" x14ac:dyDescent="0.2">
      <c r="A23" s="22" t="s">
        <v>101</v>
      </c>
      <c r="B23" s="39" t="s">
        <v>213</v>
      </c>
      <c r="C23" s="4" t="s">
        <v>102</v>
      </c>
      <c r="D23" s="16">
        <v>1</v>
      </c>
      <c r="E23" s="16">
        <v>0.76300000000000001</v>
      </c>
      <c r="F23" s="16">
        <v>0.946353</v>
      </c>
      <c r="G23" s="3">
        <f t="shared" si="0"/>
        <v>0.76300000000000001</v>
      </c>
      <c r="H23" s="3">
        <f t="shared" si="1"/>
        <v>0.946353</v>
      </c>
      <c r="I23" s="3">
        <f>SUMIF(recipes!K:K,A23,recipes!R:R)</f>
        <v>0.28612498367337558</v>
      </c>
      <c r="J23" s="3">
        <f>SUMIF(recipes!K:K,A23,recipes!S:S)</f>
        <v>0</v>
      </c>
      <c r="K23" s="3">
        <f>SUMIF(recipes!K:K,A23,recipes!T:T)</f>
        <v>0</v>
      </c>
      <c r="L23" s="103">
        <f>COUNTIF(recipes!K:K,A23)</f>
        <v>1</v>
      </c>
      <c r="M23" s="3"/>
    </row>
    <row r="24" spans="1:13" x14ac:dyDescent="0.2">
      <c r="A24" s="22" t="s">
        <v>45</v>
      </c>
      <c r="B24" s="39" t="s">
        <v>213</v>
      </c>
      <c r="C24" s="4" t="s">
        <v>103</v>
      </c>
      <c r="D24" s="16">
        <v>1</v>
      </c>
      <c r="E24" s="16">
        <v>0.80800000000000005</v>
      </c>
      <c r="F24" s="16">
        <v>0.946353</v>
      </c>
      <c r="G24" s="3">
        <f t="shared" si="0"/>
        <v>0.80800000000000005</v>
      </c>
      <c r="H24" s="3">
        <f t="shared" si="1"/>
        <v>0.946353</v>
      </c>
      <c r="I24" s="3">
        <f>SUMIF(recipes!K:K,A24,recipes!R:R)</f>
        <v>0.70699995965775986</v>
      </c>
      <c r="J24" s="3">
        <f>SUMIF(recipes!K:K,A24,recipes!S:S)</f>
        <v>0</v>
      </c>
      <c r="K24" s="3">
        <f>SUMIF(recipes!K:K,A24,recipes!T:T)</f>
        <v>0</v>
      </c>
      <c r="L24" s="103">
        <f>COUNTIF(recipes!K:K,A24)</f>
        <v>1</v>
      </c>
      <c r="M24" s="3"/>
    </row>
    <row r="25" spans="1:13" s="35" customFormat="1" x14ac:dyDescent="0.2">
      <c r="A25" s="22" t="s">
        <v>295</v>
      </c>
      <c r="B25" s="39"/>
      <c r="C25" s="4" t="s">
        <v>295</v>
      </c>
      <c r="D25" s="6"/>
      <c r="E25" s="6"/>
      <c r="F25" s="6"/>
      <c r="G25" s="3">
        <f t="shared" si="0"/>
        <v>0</v>
      </c>
      <c r="H25" s="3">
        <f t="shared" si="1"/>
        <v>0</v>
      </c>
      <c r="I25" s="3">
        <f>SUMIF(recipes!K:K,A25,recipes!R:R)</f>
        <v>0</v>
      </c>
      <c r="J25" s="3">
        <f>SUMIF(recipes!K:K,A25,recipes!S:S)</f>
        <v>1.478676478125E-2</v>
      </c>
      <c r="K25" s="3">
        <f>SUMIF(recipes!K:K,A25,recipes!T:T)</f>
        <v>0</v>
      </c>
      <c r="L25" s="103">
        <f>COUNTIF(recipes!K:K,A25)</f>
        <v>1</v>
      </c>
      <c r="M25" s="3"/>
    </row>
    <row r="26" spans="1:13" x14ac:dyDescent="0.2">
      <c r="A26" s="22" t="s">
        <v>7</v>
      </c>
      <c r="B26" s="39" t="s">
        <v>213</v>
      </c>
      <c r="C26" s="4" t="s">
        <v>209</v>
      </c>
      <c r="D26" s="16">
        <v>1</v>
      </c>
      <c r="E26" s="16">
        <v>0.84699999999999998</v>
      </c>
      <c r="F26" s="16">
        <v>0.946353</v>
      </c>
      <c r="G26" s="3">
        <f t="shared" si="0"/>
        <v>0.84699999999999998</v>
      </c>
      <c r="H26" s="3">
        <f t="shared" si="1"/>
        <v>0.946353</v>
      </c>
      <c r="I26" s="3">
        <f>SUMIF(recipes!K:K,A26,recipes!R:R)</f>
        <v>1.0587499395864968</v>
      </c>
      <c r="J26" s="3">
        <f>SUMIF(recipes!K:K,A26,recipes!S:S)</f>
        <v>0</v>
      </c>
      <c r="K26" s="3">
        <f>SUMIF(recipes!K:K,A26,recipes!T:T)</f>
        <v>0</v>
      </c>
      <c r="L26" s="103">
        <f>COUNTIF(recipes!K:K,A26)</f>
        <v>2</v>
      </c>
      <c r="M26" s="3"/>
    </row>
    <row r="27" spans="1:13" x14ac:dyDescent="0.2">
      <c r="A27" s="22" t="s">
        <v>86</v>
      </c>
      <c r="B27" s="39" t="s">
        <v>212</v>
      </c>
      <c r="C27" s="4" t="s">
        <v>87</v>
      </c>
      <c r="D27" s="6"/>
      <c r="E27" s="6"/>
      <c r="F27" s="6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0</v>
      </c>
      <c r="K27" s="3">
        <f>SUMIF(recipes!K:K,A27,recipes!T:T)</f>
        <v>0</v>
      </c>
      <c r="L27" s="103">
        <f>COUNTIF(recipes!K:K,A27)</f>
        <v>1</v>
      </c>
      <c r="M27" s="3"/>
    </row>
    <row r="28" spans="1:13" x14ac:dyDescent="0.2">
      <c r="A28" s="22" t="s">
        <v>408</v>
      </c>
      <c r="B28" s="39" t="s">
        <v>212</v>
      </c>
      <c r="C28" s="4" t="s">
        <v>82</v>
      </c>
      <c r="D28" s="6"/>
      <c r="E28" s="6"/>
      <c r="F28" s="6"/>
      <c r="G28" s="3">
        <f t="shared" si="0"/>
        <v>0</v>
      </c>
      <c r="H28" s="3">
        <f t="shared" si="1"/>
        <v>0</v>
      </c>
      <c r="I28" s="3">
        <f>SUMIF(recipes!K:K,A28,recipes!R:R)</f>
        <v>0</v>
      </c>
      <c r="J28" s="3">
        <f>SUMIF(recipes!K:K,A28,recipes!S:S)</f>
        <v>2.2180147171874998E-2</v>
      </c>
      <c r="K28" s="3">
        <f>SUMIF(recipes!K:K,A28,recipes!T:T)</f>
        <v>0</v>
      </c>
      <c r="L28" s="103">
        <f>COUNTIF(recipes!K:K,A28)</f>
        <v>1</v>
      </c>
      <c r="M28" s="3"/>
    </row>
    <row r="29" spans="1:13" s="35" customFormat="1" x14ac:dyDescent="0.2">
      <c r="A29" s="22" t="s">
        <v>90</v>
      </c>
      <c r="B29" s="39"/>
      <c r="C29" s="4" t="s">
        <v>82</v>
      </c>
      <c r="D29" s="6"/>
      <c r="E29" s="6"/>
      <c r="F29" s="6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103">
        <f>COUNTIF(recipes!K:K,A29)</f>
        <v>2</v>
      </c>
      <c r="M29" s="3"/>
    </row>
    <row r="30" spans="1:13" s="35" customFormat="1" x14ac:dyDescent="0.2">
      <c r="A30" s="22" t="s">
        <v>331</v>
      </c>
      <c r="B30" s="39"/>
      <c r="C30" s="4" t="s">
        <v>331</v>
      </c>
      <c r="D30" s="6"/>
      <c r="E30" s="6"/>
      <c r="F30" s="6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0</v>
      </c>
      <c r="K30" s="3">
        <f>SUMIF(recipes!K:K,A30,recipes!T:T)</f>
        <v>0</v>
      </c>
      <c r="L30" s="103">
        <f>COUNTIF(recipes!K:K,A30)</f>
        <v>1</v>
      </c>
      <c r="M30" s="3"/>
    </row>
    <row r="31" spans="1:13" x14ac:dyDescent="0.2">
      <c r="A31" s="22" t="s">
        <v>91</v>
      </c>
      <c r="B31" s="39"/>
      <c r="C31" s="4" t="s">
        <v>94</v>
      </c>
      <c r="D31" s="6"/>
      <c r="E31" s="6"/>
      <c r="F31" s="6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2.5</v>
      </c>
      <c r="L31" s="103">
        <f>COUNTIF(recipes!K:K,A31)</f>
        <v>1</v>
      </c>
      <c r="M31" s="3"/>
    </row>
    <row r="32" spans="1:13" x14ac:dyDescent="0.2">
      <c r="A32" s="22" t="s">
        <v>330</v>
      </c>
      <c r="B32" s="39"/>
      <c r="C32" s="4" t="s">
        <v>330</v>
      </c>
      <c r="D32" s="6"/>
      <c r="E32" s="6"/>
      <c r="F32" s="6"/>
      <c r="G32" s="3">
        <f t="shared" ref="G32:G59" si="2">IF(D32&lt;&gt;0, E32/D32, 0)</f>
        <v>0</v>
      </c>
      <c r="H32" s="3">
        <f t="shared" ref="H32:H59" si="3">IF(D32&lt;&gt;0, F32/D32, 0)</f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103">
        <f>COUNTIF(recipes!K:K,A32)</f>
        <v>1</v>
      </c>
      <c r="M32" s="3"/>
    </row>
    <row r="33" spans="1:14" x14ac:dyDescent="0.2">
      <c r="A33" s="22" t="s">
        <v>92</v>
      </c>
      <c r="B33" s="39"/>
      <c r="C33" s="4" t="s">
        <v>95</v>
      </c>
      <c r="D33" s="6"/>
      <c r="E33" s="6"/>
      <c r="F33" s="6"/>
      <c r="G33" s="3">
        <f t="shared" si="2"/>
        <v>0</v>
      </c>
      <c r="H33" s="3">
        <f t="shared" si="3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103">
        <f>COUNTIF(recipes!K:K,A33)</f>
        <v>1</v>
      </c>
      <c r="M33" s="3"/>
    </row>
    <row r="34" spans="1:14" x14ac:dyDescent="0.2">
      <c r="A34" s="22" t="s">
        <v>10</v>
      </c>
      <c r="B34" s="39"/>
      <c r="C34" s="4" t="s">
        <v>10</v>
      </c>
      <c r="D34" s="16">
        <v>1</v>
      </c>
      <c r="E34" s="16">
        <v>0.01</v>
      </c>
      <c r="F34" s="16">
        <v>2.2180100000000001E-2</v>
      </c>
      <c r="G34" s="3">
        <f t="shared" si="2"/>
        <v>0.01</v>
      </c>
      <c r="H34" s="3">
        <f t="shared" si="3"/>
        <v>2.2180100000000001E-2</v>
      </c>
      <c r="I34" s="3">
        <f>SUMIF(recipes!K:K,A34,recipes!R:R)</f>
        <v>2.5000053169141483E-2</v>
      </c>
      <c r="J34" s="3">
        <f>SUMIF(recipes!K:K,A34,recipes!S:S)</f>
        <v>0</v>
      </c>
      <c r="K34" s="3">
        <f>SUMIF(recipes!K:K,A34,recipes!T:T)</f>
        <v>0</v>
      </c>
      <c r="L34" s="103">
        <f>COUNTIF(recipes!K:K,A34)</f>
        <v>1</v>
      </c>
      <c r="M34" s="3"/>
    </row>
    <row r="35" spans="1:14" x14ac:dyDescent="0.2">
      <c r="A35" s="22" t="s">
        <v>8</v>
      </c>
      <c r="B35" s="39"/>
      <c r="C35" s="4" t="s">
        <v>72</v>
      </c>
      <c r="D35" s="6"/>
      <c r="E35" s="6"/>
      <c r="F35" s="6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29</v>
      </c>
      <c r="L35" s="103">
        <f>COUNTIF(recipes!K:K,A35)</f>
        <v>6</v>
      </c>
      <c r="M35" s="3"/>
    </row>
    <row r="36" spans="1:14" x14ac:dyDescent="0.2">
      <c r="A36" s="22" t="s">
        <v>237</v>
      </c>
      <c r="B36" s="39" t="s">
        <v>212</v>
      </c>
      <c r="C36" s="4" t="s">
        <v>73</v>
      </c>
      <c r="D36" s="7"/>
      <c r="E36" s="7"/>
      <c r="F36" s="7"/>
      <c r="G36" s="3">
        <f t="shared" si="2"/>
        <v>0</v>
      </c>
      <c r="H36" s="3">
        <f t="shared" si="3"/>
        <v>0</v>
      </c>
      <c r="I36" s="3">
        <f>SUMIF(recipes!K:K,A36,recipes!R:R)</f>
        <v>0</v>
      </c>
      <c r="J36" s="3">
        <f>SUMIF(recipes!K:K,A36,recipes!S:S)</f>
        <v>0.42142279626562501</v>
      </c>
      <c r="K36" s="3">
        <f>SUMIF(recipes!K:K,A36,recipes!T:T)</f>
        <v>0</v>
      </c>
      <c r="L36" s="103">
        <f>COUNTIF(recipes!K:K,A36)</f>
        <v>8</v>
      </c>
      <c r="M36" s="3"/>
    </row>
    <row r="37" spans="1:14" x14ac:dyDescent="0.2">
      <c r="A37" s="22" t="s">
        <v>201</v>
      </c>
      <c r="B37" s="39"/>
      <c r="C37" s="4" t="s">
        <v>201</v>
      </c>
      <c r="D37" s="6"/>
      <c r="E37" s="6"/>
      <c r="F37" s="6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0.17744117737499998</v>
      </c>
      <c r="K37" s="3">
        <f>SUMIF(recipes!K:K,A37,recipes!T:T)</f>
        <v>0</v>
      </c>
      <c r="L37" s="103">
        <f>COUNTIF(recipes!K:K,A37)</f>
        <v>1</v>
      </c>
      <c r="M37" s="3"/>
    </row>
    <row r="38" spans="1:14" x14ac:dyDescent="0.2">
      <c r="A38" s="22" t="s">
        <v>187</v>
      </c>
      <c r="B38" s="39"/>
      <c r="C38" s="4" t="s">
        <v>187</v>
      </c>
      <c r="D38" s="6"/>
      <c r="E38" s="6"/>
      <c r="F38" s="6"/>
      <c r="G38" s="3">
        <f t="shared" si="2"/>
        <v>0</v>
      </c>
      <c r="H38" s="3">
        <f t="shared" si="3"/>
        <v>0</v>
      </c>
      <c r="I38" s="3">
        <f>SUMIF(recipes!K:K,A38,recipes!R:R)</f>
        <v>0.75</v>
      </c>
      <c r="J38" s="3">
        <f>SUMIF(recipes!K:K,A38,recipes!S:S)</f>
        <v>0</v>
      </c>
      <c r="K38" s="3">
        <f>SUMIF(recipes!K:K,A38,recipes!T:T)</f>
        <v>0</v>
      </c>
      <c r="L38" s="103">
        <f>COUNTIF(recipes!K:K,A38)</f>
        <v>1</v>
      </c>
      <c r="M38" s="3"/>
    </row>
    <row r="39" spans="1:14" s="35" customFormat="1" x14ac:dyDescent="0.2">
      <c r="A39" s="22" t="s">
        <v>231</v>
      </c>
      <c r="B39" s="39" t="s">
        <v>212</v>
      </c>
      <c r="C39" s="4" t="s">
        <v>170</v>
      </c>
      <c r="D39" s="6"/>
      <c r="E39" s="6"/>
      <c r="F39" s="6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</v>
      </c>
      <c r="K39" s="3">
        <f>SUMIF(recipes!K:K,A39,recipes!T:T)</f>
        <v>0</v>
      </c>
      <c r="L39" s="103">
        <f>COUNTIF(recipes!K:K,A39)</f>
        <v>1</v>
      </c>
      <c r="M39" s="3"/>
    </row>
    <row r="40" spans="1:14" x14ac:dyDescent="0.2">
      <c r="A40" s="22" t="s">
        <v>329</v>
      </c>
      <c r="B40" s="39" t="s">
        <v>212</v>
      </c>
      <c r="C40" s="4" t="s">
        <v>170</v>
      </c>
      <c r="D40" s="6"/>
      <c r="E40" s="6"/>
      <c r="F40" s="6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3.3</v>
      </c>
      <c r="L40" s="103">
        <f>COUNTIF(recipes!K:K,A40)</f>
        <v>1</v>
      </c>
      <c r="M40" s="3"/>
    </row>
    <row r="41" spans="1:14" s="35" customFormat="1" x14ac:dyDescent="0.2">
      <c r="A41" s="22" t="s">
        <v>50</v>
      </c>
      <c r="B41" s="39" t="s">
        <v>212</v>
      </c>
      <c r="C41" s="4" t="s">
        <v>49</v>
      </c>
      <c r="D41" s="6"/>
      <c r="E41" s="6"/>
      <c r="F41" s="6"/>
      <c r="G41" s="3">
        <f t="shared" si="2"/>
        <v>0</v>
      </c>
      <c r="H41" s="3">
        <f t="shared" si="3"/>
        <v>0</v>
      </c>
      <c r="I41" s="3">
        <f>SUMIF(recipes!K:K,A41,recipes!R:R)</f>
        <v>0</v>
      </c>
      <c r="J41" s="3">
        <f>SUMIF(recipes!K:K,A41,recipes!S:S)</f>
        <v>0</v>
      </c>
      <c r="K41" s="3">
        <f>SUMIF(recipes!K:K,A41,recipes!T:T)</f>
        <v>2.5</v>
      </c>
      <c r="L41" s="103">
        <f>COUNTIF(recipes!K:K,A41)</f>
        <v>1</v>
      </c>
      <c r="M41" s="3"/>
      <c r="N41" s="1"/>
    </row>
    <row r="42" spans="1:14" s="35" customFormat="1" x14ac:dyDescent="0.2">
      <c r="A42" s="22" t="s">
        <v>83</v>
      </c>
      <c r="B42" s="39"/>
      <c r="C42" s="4" t="s">
        <v>83</v>
      </c>
      <c r="D42" s="16">
        <v>1</v>
      </c>
      <c r="E42" s="16">
        <v>1.0999999999999999E-2</v>
      </c>
      <c r="F42" s="16">
        <v>2.2180100000000001E-2</v>
      </c>
      <c r="G42" s="3">
        <f t="shared" si="2"/>
        <v>1.0999999999999999E-2</v>
      </c>
      <c r="H42" s="3">
        <f t="shared" si="3"/>
        <v>2.2180100000000001E-2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103">
        <f>COUNTIF(recipes!K:K,A42)</f>
        <v>4</v>
      </c>
      <c r="M42" s="3"/>
    </row>
    <row r="43" spans="1:14" x14ac:dyDescent="0.2">
      <c r="A43" s="22" t="s">
        <v>161</v>
      </c>
      <c r="B43" s="39"/>
      <c r="C43" s="4" t="s">
        <v>161</v>
      </c>
      <c r="D43" s="6"/>
      <c r="E43" s="6"/>
      <c r="F43" s="6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3.3270220757812496E-2</v>
      </c>
      <c r="K43" s="3">
        <f>SUMIF(recipes!K:K,A43,recipes!T:T)</f>
        <v>0</v>
      </c>
      <c r="L43" s="103">
        <f>COUNTIF(recipes!K:K,A43)</f>
        <v>2</v>
      </c>
      <c r="M43" s="3"/>
      <c r="N43" s="35"/>
    </row>
    <row r="44" spans="1:14" x14ac:dyDescent="0.2">
      <c r="A44" s="22" t="s">
        <v>14</v>
      </c>
      <c r="B44" s="39"/>
      <c r="C44" s="4" t="s">
        <v>14</v>
      </c>
      <c r="D44" s="16">
        <v>1</v>
      </c>
      <c r="E44" s="16">
        <v>1.0999999999999999E-2</v>
      </c>
      <c r="F44" s="16">
        <v>2.2180100000000001E-2</v>
      </c>
      <c r="G44" s="3">
        <f t="shared" si="2"/>
        <v>1.0999999999999999E-2</v>
      </c>
      <c r="H44" s="3">
        <f t="shared" si="3"/>
        <v>2.2180100000000001E-2</v>
      </c>
      <c r="I44" s="3">
        <f>SUMIF(recipes!K:K,A44,recipes!R:R)</f>
        <v>2.5666721253651922E-2</v>
      </c>
      <c r="J44" s="3">
        <f>SUMIF(recipes!K:K,A44,recipes!S:S)</f>
        <v>0</v>
      </c>
      <c r="K44" s="3">
        <f>SUMIF(recipes!K:K,A44,recipes!T:T)</f>
        <v>0</v>
      </c>
      <c r="L44" s="103">
        <f>COUNTIF(recipes!K:K,A44)</f>
        <v>3</v>
      </c>
      <c r="M44" s="3"/>
    </row>
    <row r="45" spans="1:14" x14ac:dyDescent="0.2">
      <c r="A45" s="22" t="s">
        <v>326</v>
      </c>
      <c r="B45" s="39"/>
      <c r="C45" s="4" t="s">
        <v>326</v>
      </c>
      <c r="D45" s="16">
        <v>1</v>
      </c>
      <c r="E45" s="16">
        <v>1.4E-2</v>
      </c>
      <c r="F45" s="16">
        <v>2.2180100000000001E-2</v>
      </c>
      <c r="G45" s="3">
        <f t="shared" si="2"/>
        <v>1.4E-2</v>
      </c>
      <c r="H45" s="3">
        <f t="shared" si="3"/>
        <v>2.2180100000000001E-2</v>
      </c>
      <c r="I45" s="3">
        <f>SUMIF(recipes!K:K,A45,recipes!R:R)</f>
        <v>6.9222369441667306E-2</v>
      </c>
      <c r="J45" s="3">
        <f>SUMIF(recipes!K:K,A45,recipes!S:S)</f>
        <v>0</v>
      </c>
      <c r="K45" s="3">
        <f>SUMIF(recipes!K:K,A45,recipes!T:T)</f>
        <v>0</v>
      </c>
      <c r="L45" s="103">
        <f>COUNTIF(recipes!K:K,A45)</f>
        <v>6</v>
      </c>
      <c r="M45" s="3"/>
    </row>
    <row r="46" spans="1:14" x14ac:dyDescent="0.2">
      <c r="A46" s="22" t="s">
        <v>163</v>
      </c>
      <c r="B46" s="39" t="s">
        <v>212</v>
      </c>
      <c r="C46" s="4" t="s">
        <v>3</v>
      </c>
      <c r="D46" s="5">
        <v>1</v>
      </c>
      <c r="E46" s="5">
        <v>0.34</v>
      </c>
      <c r="F46" s="7"/>
      <c r="G46" s="3">
        <f t="shared" si="2"/>
        <v>0.34</v>
      </c>
      <c r="H46" s="3">
        <f t="shared" si="3"/>
        <v>0</v>
      </c>
      <c r="I46" s="3">
        <f>SUMIF(recipes!K:K,A46,recipes!R:R)</f>
        <v>7.2249999999999996</v>
      </c>
      <c r="J46" s="3">
        <f>SUMIF(recipes!K:K,A46,recipes!S:S)</f>
        <v>0.70976470949999992</v>
      </c>
      <c r="K46" s="3">
        <f>SUMIF(recipes!K:K,A46,recipes!T:T)</f>
        <v>0</v>
      </c>
      <c r="L46" s="103">
        <f>COUNTIF(recipes!K:K,A46)</f>
        <v>4</v>
      </c>
      <c r="M46" s="3"/>
    </row>
    <row r="47" spans="1:14" x14ac:dyDescent="0.2">
      <c r="A47" s="22" t="s">
        <v>404</v>
      </c>
      <c r="B47" s="39"/>
      <c r="C47" s="4" t="s">
        <v>167</v>
      </c>
      <c r="D47" s="6"/>
      <c r="E47" s="6"/>
      <c r="F47" s="6"/>
      <c r="G47" s="3">
        <f t="shared" si="2"/>
        <v>0</v>
      </c>
      <c r="H47" s="3">
        <f t="shared" si="3"/>
        <v>0</v>
      </c>
      <c r="I47" s="3">
        <f>SUMIF(recipes!K:K,A47,recipes!R:R)</f>
        <v>0</v>
      </c>
      <c r="J47" s="3">
        <f>SUMIF(recipes!K:K,A47,recipes!S:S)</f>
        <v>0</v>
      </c>
      <c r="K47" s="3">
        <f>SUMIF(recipes!K:K,A47,recipes!T:T)</f>
        <v>1.25</v>
      </c>
      <c r="L47" s="103">
        <f>COUNTIF(recipes!K:K,A47)</f>
        <v>1</v>
      </c>
      <c r="M47" s="3"/>
    </row>
    <row r="48" spans="1:14" s="35" customFormat="1" x14ac:dyDescent="0.2">
      <c r="A48" s="22" t="s">
        <v>425</v>
      </c>
      <c r="B48" s="39" t="s">
        <v>212</v>
      </c>
      <c r="C48" s="4" t="s">
        <v>171</v>
      </c>
      <c r="D48" s="5">
        <v>1</v>
      </c>
      <c r="E48" s="5">
        <v>0.84399999999999997</v>
      </c>
      <c r="F48" s="7"/>
      <c r="G48" s="3">
        <f t="shared" si="2"/>
        <v>0.84399999999999997</v>
      </c>
      <c r="H48" s="3">
        <f t="shared" si="3"/>
        <v>0</v>
      </c>
      <c r="I48" s="3">
        <f>SUMIF(recipes!K:K,A48,recipes!R:R)</f>
        <v>5.5703999999999994</v>
      </c>
      <c r="J48" s="3">
        <f>SUMIF(recipes!K:K,A48,recipes!S:S)</f>
        <v>0</v>
      </c>
      <c r="K48" s="3">
        <f>SUMIF(recipes!K:K,A48,recipes!T:T)</f>
        <v>0</v>
      </c>
      <c r="L48" s="103">
        <f>COUNTIF(recipes!K:K,A48)</f>
        <v>1</v>
      </c>
      <c r="M48" s="3"/>
    </row>
    <row r="49" spans="1:14" s="35" customFormat="1" x14ac:dyDescent="0.2">
      <c r="A49" s="22" t="s">
        <v>405</v>
      </c>
      <c r="B49" s="39" t="s">
        <v>212</v>
      </c>
      <c r="C49" s="4" t="s">
        <v>186</v>
      </c>
      <c r="D49" s="6"/>
      <c r="E49" s="6"/>
      <c r="F49" s="6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3</v>
      </c>
      <c r="L49" s="103">
        <f>COUNTIF(recipes!K:K,A49)</f>
        <v>1</v>
      </c>
      <c r="M49" s="3"/>
    </row>
    <row r="50" spans="1:14" x14ac:dyDescent="0.2">
      <c r="A50" s="22" t="s">
        <v>63</v>
      </c>
      <c r="B50" s="39"/>
      <c r="C50" s="4" t="s">
        <v>63</v>
      </c>
      <c r="D50" s="6"/>
      <c r="E50" s="6"/>
      <c r="F50" s="6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4.8056985539062499E-2</v>
      </c>
      <c r="K50" s="3">
        <f>SUMIF(recipes!K:K,A50,recipes!T:T)</f>
        <v>0</v>
      </c>
      <c r="L50" s="103">
        <f>COUNTIF(recipes!K:K,A50)</f>
        <v>1</v>
      </c>
      <c r="M50" s="3"/>
      <c r="N50" s="35"/>
    </row>
    <row r="51" spans="1:14" s="35" customFormat="1" x14ac:dyDescent="0.2">
      <c r="A51" s="22" t="s">
        <v>79</v>
      </c>
      <c r="B51" s="39"/>
      <c r="C51" s="4" t="s">
        <v>79</v>
      </c>
      <c r="D51" s="6"/>
      <c r="E51" s="6"/>
      <c r="F51" s="6"/>
      <c r="G51" s="3">
        <f t="shared" si="2"/>
        <v>0</v>
      </c>
      <c r="H51" s="3">
        <f t="shared" si="3"/>
        <v>0</v>
      </c>
      <c r="I51" s="3">
        <f>SUMIF(recipes!K:K,A51,recipes!R:R)</f>
        <v>0</v>
      </c>
      <c r="J51" s="3">
        <f>SUMIF(recipes!K:K,A51,recipes!S:S)</f>
        <v>5.9147059124999998E-2</v>
      </c>
      <c r="K51" s="3">
        <f>SUMIF(recipes!K:K,A51,recipes!T:T)</f>
        <v>0</v>
      </c>
      <c r="L51" s="103">
        <f>COUNTIF(recipes!K:K,A51)</f>
        <v>1</v>
      </c>
      <c r="M51" s="3"/>
    </row>
    <row r="52" spans="1:14" x14ac:dyDescent="0.2">
      <c r="A52" s="22" t="s">
        <v>46</v>
      </c>
      <c r="B52" s="39"/>
      <c r="C52" s="4" t="s">
        <v>46</v>
      </c>
      <c r="D52" s="6"/>
      <c r="E52" s="6"/>
      <c r="F52" s="6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0.46578309060937501</v>
      </c>
      <c r="K52" s="3">
        <f>SUMIF(recipes!K:K,A52,recipes!T:T)</f>
        <v>0</v>
      </c>
      <c r="L52" s="103">
        <f>COUNTIF(recipes!K:K,A52)</f>
        <v>7</v>
      </c>
      <c r="M52" s="3"/>
    </row>
    <row r="53" spans="1:14" s="35" customFormat="1" x14ac:dyDescent="0.2">
      <c r="A53" s="22" t="s">
        <v>80</v>
      </c>
      <c r="B53" s="39"/>
      <c r="C53" s="4" t="s">
        <v>80</v>
      </c>
      <c r="D53" s="6"/>
      <c r="E53" s="6"/>
      <c r="F53" s="6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5.9147059124999998E-2</v>
      </c>
      <c r="K53" s="3">
        <f>SUMIF(recipes!K:K,A53,recipes!T:T)</f>
        <v>0</v>
      </c>
      <c r="L53" s="103">
        <f>COUNTIF(recipes!K:K,A53)</f>
        <v>1</v>
      </c>
      <c r="M53" s="3"/>
    </row>
    <row r="54" spans="1:14" s="35" customFormat="1" x14ac:dyDescent="0.2">
      <c r="A54" s="22" t="s">
        <v>6</v>
      </c>
      <c r="B54" s="39" t="s">
        <v>212</v>
      </c>
      <c r="C54" s="4" t="s">
        <v>69</v>
      </c>
      <c r="D54" s="5">
        <v>2</v>
      </c>
      <c r="E54" s="5">
        <v>0.37</v>
      </c>
      <c r="F54" s="5">
        <v>0.6</v>
      </c>
      <c r="G54" s="3">
        <f t="shared" si="2"/>
        <v>0.185</v>
      </c>
      <c r="H54" s="3">
        <f t="shared" si="3"/>
        <v>0.3</v>
      </c>
      <c r="I54" s="3">
        <f>SUMIF(recipes!K:K,A54,recipes!R:R)</f>
        <v>1.5725000000000002</v>
      </c>
      <c r="J54" s="3">
        <f>SUMIF(recipes!K:K,A54,recipes!S:S)</f>
        <v>0</v>
      </c>
      <c r="K54" s="3">
        <f>SUMIF(recipes!K:K,A54,recipes!T:T)</f>
        <v>0</v>
      </c>
      <c r="L54" s="103">
        <f>COUNTIF(recipes!K:K,A54)</f>
        <v>4</v>
      </c>
      <c r="M54" s="3"/>
    </row>
    <row r="55" spans="1:14" s="35" customFormat="1" x14ac:dyDescent="0.2">
      <c r="A55" s="22" t="s">
        <v>107</v>
      </c>
      <c r="B55" s="39"/>
      <c r="C55" s="4" t="s">
        <v>107</v>
      </c>
      <c r="D55" s="16">
        <v>1</v>
      </c>
      <c r="E55" s="16">
        <v>1.2E-2</v>
      </c>
      <c r="F55" s="16">
        <v>2.2180100000000001E-2</v>
      </c>
      <c r="G55" s="3">
        <f t="shared" si="2"/>
        <v>1.2E-2</v>
      </c>
      <c r="H55" s="3">
        <f t="shared" si="3"/>
        <v>2.2180100000000001E-2</v>
      </c>
      <c r="I55" s="3">
        <f>SUMIF(recipes!K:K,A55,recipes!R:R)</f>
        <v>7.3333489296148356E-3</v>
      </c>
      <c r="J55" s="3">
        <f>SUMIF(recipes!K:K,A55,recipes!S:S)</f>
        <v>0</v>
      </c>
      <c r="K55" s="3">
        <f>SUMIF(recipes!K:K,A55,recipes!T:T)</f>
        <v>0</v>
      </c>
      <c r="L55" s="103">
        <f>COUNTIF(recipes!K:K,A55)</f>
        <v>1</v>
      </c>
      <c r="M55" s="3"/>
    </row>
    <row r="56" spans="1:14" s="35" customFormat="1" x14ac:dyDescent="0.2">
      <c r="A56" s="22" t="s">
        <v>112</v>
      </c>
      <c r="B56" s="39"/>
      <c r="C56" s="4" t="s">
        <v>112</v>
      </c>
      <c r="D56" s="6"/>
      <c r="E56" s="6"/>
      <c r="F56" s="6"/>
      <c r="G56" s="3">
        <f t="shared" si="2"/>
        <v>0</v>
      </c>
      <c r="H56" s="3">
        <f t="shared" si="3"/>
        <v>0</v>
      </c>
      <c r="I56" s="3">
        <f>SUMIF(recipes!K:K,A56,recipes!R:R)</f>
        <v>0</v>
      </c>
      <c r="J56" s="3">
        <f>SUMIF(recipes!K:K,A56,recipes!S:S)</f>
        <v>0.70976470949999992</v>
      </c>
      <c r="K56" s="3">
        <f>SUMIF(recipes!K:K,A56,recipes!T:T)</f>
        <v>0</v>
      </c>
      <c r="L56" s="103">
        <f>COUNTIF(recipes!K:K,A56)</f>
        <v>2</v>
      </c>
      <c r="M56" s="3"/>
    </row>
    <row r="57" spans="1:14" s="35" customFormat="1" x14ac:dyDescent="0.2">
      <c r="A57" s="22" t="s">
        <v>124</v>
      </c>
      <c r="B57" s="39"/>
      <c r="C57" s="4" t="s">
        <v>124</v>
      </c>
      <c r="D57" s="6"/>
      <c r="E57" s="6"/>
      <c r="F57" s="6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0.23658823649999999</v>
      </c>
      <c r="K57" s="3">
        <f>SUMIF(recipes!K:K,A57,recipes!T:T)</f>
        <v>0</v>
      </c>
      <c r="L57" s="103">
        <f>COUNTIF(recipes!K:K,A57)</f>
        <v>1</v>
      </c>
      <c r="M57" s="3"/>
    </row>
    <row r="58" spans="1:14" x14ac:dyDescent="0.2">
      <c r="A58" s="22" t="s">
        <v>4</v>
      </c>
      <c r="B58" s="39" t="s">
        <v>212</v>
      </c>
      <c r="C58" s="4" t="s">
        <v>70</v>
      </c>
      <c r="D58" s="5">
        <v>4</v>
      </c>
      <c r="E58" s="5">
        <v>0.9</v>
      </c>
      <c r="F58" s="5">
        <v>1.35</v>
      </c>
      <c r="G58" s="3">
        <f t="shared" si="2"/>
        <v>0.22500000000000001</v>
      </c>
      <c r="H58" s="3">
        <f t="shared" si="3"/>
        <v>0.33750000000000002</v>
      </c>
      <c r="I58" s="3">
        <f>SUMIF(recipes!K:K,A58,recipes!R:R)</f>
        <v>4.6749999999999998</v>
      </c>
      <c r="J58" s="3">
        <f>SUMIF(recipes!K:K,A58,recipes!S:S)</f>
        <v>0</v>
      </c>
      <c r="K58" s="3">
        <f>SUMIF(recipes!K:K,A58,recipes!T:T)</f>
        <v>0</v>
      </c>
      <c r="L58" s="103">
        <f>COUNTIF(recipes!K:K,A58)</f>
        <v>3</v>
      </c>
      <c r="M58" s="3"/>
    </row>
    <row r="59" spans="1:14" x14ac:dyDescent="0.2">
      <c r="A59" s="22" t="s">
        <v>409</v>
      </c>
      <c r="B59" s="39" t="s">
        <v>212</v>
      </c>
      <c r="C59" s="4" t="s">
        <v>410</v>
      </c>
      <c r="D59" s="5">
        <v>2</v>
      </c>
      <c r="E59" s="5">
        <v>0.377</v>
      </c>
      <c r="F59" s="5">
        <v>0.5</v>
      </c>
      <c r="G59" s="3">
        <f t="shared" si="2"/>
        <v>0.1885</v>
      </c>
      <c r="H59" s="3">
        <f t="shared" si="3"/>
        <v>0.25</v>
      </c>
      <c r="I59" s="3">
        <f>SUMIF(recipes!K:K,A59,recipes!R:R)</f>
        <v>0.2675812954815</v>
      </c>
      <c r="J59" s="3">
        <f>SUMIF(recipes!K:K,A59,recipes!S:S)</f>
        <v>0</v>
      </c>
      <c r="K59" s="3">
        <f>SUMIF(recipes!K:K,A59,recipes!T:T)</f>
        <v>0</v>
      </c>
      <c r="L59" s="103">
        <f>COUNTIF(recipes!K:K,A59)</f>
        <v>1</v>
      </c>
      <c r="M59" s="3"/>
    </row>
    <row r="60" spans="1:14" x14ac:dyDescent="0.2">
      <c r="A60" s="22" t="s">
        <v>11</v>
      </c>
      <c r="B60" s="39"/>
      <c r="C60" s="4" t="s">
        <v>11</v>
      </c>
      <c r="D60" s="16">
        <v>1</v>
      </c>
      <c r="E60" s="16">
        <v>2.5000000000000001E-2</v>
      </c>
      <c r="F60" s="16">
        <v>2.2180100000000001E-2</v>
      </c>
      <c r="G60" s="3">
        <f t="shared" ref="G60:G90" si="4">IF(D60&lt;&gt;0, E60/D60, 0)</f>
        <v>2.5000000000000001E-2</v>
      </c>
      <c r="H60" s="3">
        <f t="shared" ref="H60:H90" si="5">IF(D60&lt;&gt;0, F60/D60, 0)</f>
        <v>2.2180100000000001E-2</v>
      </c>
      <c r="I60" s="3">
        <f>SUMIF(recipes!K:K,A60,recipes!R:R)</f>
        <v>5.6944565551933383E-2</v>
      </c>
      <c r="J60" s="3">
        <f>SUMIF(recipes!K:K,A60,recipes!S:S)</f>
        <v>0</v>
      </c>
      <c r="K60" s="3">
        <f>SUMIF(recipes!K:K,A60,recipes!T:T)</f>
        <v>0</v>
      </c>
      <c r="L60" s="103">
        <f>COUNTIF(recipes!K:K,A60)</f>
        <v>10</v>
      </c>
      <c r="M60" s="3"/>
    </row>
    <row r="61" spans="1:14" x14ac:dyDescent="0.2">
      <c r="A61" s="22" t="s">
        <v>178</v>
      </c>
      <c r="B61" s="39"/>
      <c r="C61" s="4" t="s">
        <v>178</v>
      </c>
      <c r="D61" s="6"/>
      <c r="E61" s="6"/>
      <c r="F61" s="6"/>
      <c r="G61" s="3">
        <f t="shared" si="4"/>
        <v>0</v>
      </c>
      <c r="H61" s="3">
        <f t="shared" si="5"/>
        <v>0</v>
      </c>
      <c r="I61" s="3">
        <f>SUMIF(recipes!K:K,A61,recipes!R:R)</f>
        <v>0</v>
      </c>
      <c r="J61" s="3">
        <f>SUMIF(recipes!K:K,A61,recipes!S:S)</f>
        <v>9.2417279882812495E-2</v>
      </c>
      <c r="K61" s="3">
        <f>SUMIF(recipes!K:K,A61,recipes!T:T)</f>
        <v>0</v>
      </c>
      <c r="L61" s="103">
        <f>COUNTIF(recipes!K:K,A61)</f>
        <v>1</v>
      </c>
      <c r="M61" s="3"/>
    </row>
    <row r="62" spans="1:14" s="35" customFormat="1" x14ac:dyDescent="0.2">
      <c r="A62" s="22" t="s">
        <v>196</v>
      </c>
      <c r="B62" s="39" t="s">
        <v>212</v>
      </c>
      <c r="C62" s="4" t="s">
        <v>96</v>
      </c>
      <c r="D62" s="6"/>
      <c r="E62" s="6"/>
      <c r="F62" s="6"/>
      <c r="G62" s="3">
        <f t="shared" si="4"/>
        <v>0</v>
      </c>
      <c r="H62" s="3">
        <f t="shared" si="5"/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7</v>
      </c>
      <c r="L62" s="103">
        <f>COUNTIF(recipes!K:K,A62)</f>
        <v>1</v>
      </c>
      <c r="M62" s="3"/>
    </row>
    <row r="63" spans="1:14" x14ac:dyDescent="0.2">
      <c r="A63" s="22" t="s">
        <v>115</v>
      </c>
      <c r="B63" s="39" t="s">
        <v>212</v>
      </c>
      <c r="C63" s="4" t="s">
        <v>96</v>
      </c>
      <c r="D63" s="6"/>
      <c r="E63" s="6"/>
      <c r="F63" s="6"/>
      <c r="G63" s="3">
        <f t="shared" si="4"/>
        <v>0</v>
      </c>
      <c r="H63" s="3">
        <f t="shared" si="5"/>
        <v>0</v>
      </c>
      <c r="I63" s="3">
        <f>SUMIF(recipes!K:K,A63,recipes!R:R)</f>
        <v>0</v>
      </c>
      <c r="J63" s="3">
        <f>SUMIF(recipes!K:K,A63,recipes!S:S)</f>
        <v>0</v>
      </c>
      <c r="K63" s="3">
        <f>SUMIF(recipes!K:K,A63,recipes!T:T)</f>
        <v>7.25</v>
      </c>
      <c r="L63" s="103">
        <f>COUNTIF(recipes!K:K,A63)</f>
        <v>1</v>
      </c>
      <c r="M63" s="3"/>
    </row>
    <row r="64" spans="1:14" x14ac:dyDescent="0.2">
      <c r="A64" s="22" t="s">
        <v>97</v>
      </c>
      <c r="B64" s="39" t="s">
        <v>212</v>
      </c>
      <c r="C64" s="4" t="s">
        <v>96</v>
      </c>
      <c r="D64" s="6"/>
      <c r="E64" s="6"/>
      <c r="F64" s="6"/>
      <c r="G64" s="3">
        <f t="shared" si="4"/>
        <v>0</v>
      </c>
      <c r="H64" s="3">
        <f t="shared" si="5"/>
        <v>0</v>
      </c>
      <c r="I64" s="3">
        <f>SUMIF(recipes!K:K,A64,recipes!R:R)</f>
        <v>0.75</v>
      </c>
      <c r="J64" s="3">
        <f>SUMIF(recipes!K:K,A64,recipes!S:S)</f>
        <v>0</v>
      </c>
      <c r="K64" s="3">
        <f>SUMIF(recipes!K:K,A64,recipes!T:T)</f>
        <v>0</v>
      </c>
      <c r="L64" s="103">
        <f>COUNTIF(recipes!K:K,A64)</f>
        <v>1</v>
      </c>
      <c r="M64" s="3"/>
    </row>
    <row r="65" spans="1:14" x14ac:dyDescent="0.2">
      <c r="A65" s="22" t="s">
        <v>122</v>
      </c>
      <c r="B65" s="39"/>
      <c r="C65" s="4" t="s">
        <v>122</v>
      </c>
      <c r="D65" s="6"/>
      <c r="E65" s="6"/>
      <c r="F65" s="6"/>
      <c r="G65" s="3">
        <f t="shared" si="4"/>
        <v>0</v>
      </c>
      <c r="H65" s="3">
        <f t="shared" si="5"/>
        <v>0</v>
      </c>
      <c r="I65" s="3">
        <f>SUMIF(recipes!K:K,A65,recipes!R:R)</f>
        <v>0</v>
      </c>
      <c r="J65" s="3">
        <f>SUMIF(recipes!K:K,A65,recipes!S:S)</f>
        <v>5.9147059124999998E-2</v>
      </c>
      <c r="K65" s="3">
        <f>SUMIF(recipes!K:K,A65,recipes!T:T)</f>
        <v>0</v>
      </c>
      <c r="L65" s="103">
        <f>COUNTIF(recipes!K:K,A65)</f>
        <v>1</v>
      </c>
      <c r="M65" s="3"/>
    </row>
    <row r="66" spans="1:14" s="35" customFormat="1" x14ac:dyDescent="0.2">
      <c r="A66" s="22" t="s">
        <v>302</v>
      </c>
      <c r="B66" s="39"/>
      <c r="C66" s="4" t="s">
        <v>302</v>
      </c>
      <c r="D66" s="6"/>
      <c r="E66" s="6"/>
      <c r="F66" s="6"/>
      <c r="G66" s="3">
        <f t="shared" si="4"/>
        <v>0</v>
      </c>
      <c r="H66" s="3">
        <f t="shared" si="5"/>
        <v>0</v>
      </c>
      <c r="I66" s="3">
        <f>SUMIF(recipes!K:K,A66,recipes!R:R)</f>
        <v>0</v>
      </c>
      <c r="J66" s="3">
        <f>SUMIF(recipes!K:K,A66,recipes!S:S)</f>
        <v>0.47317647299999999</v>
      </c>
      <c r="K66" s="3">
        <f>SUMIF(recipes!K:K,A66,recipes!T:T)</f>
        <v>0</v>
      </c>
      <c r="L66" s="103">
        <f>COUNTIF(recipes!K:K,A66)</f>
        <v>1</v>
      </c>
      <c r="M66" s="3"/>
      <c r="N66" s="1"/>
    </row>
    <row r="67" spans="1:14" x14ac:dyDescent="0.2">
      <c r="A67" s="22" t="s">
        <v>414</v>
      </c>
      <c r="B67" s="39" t="s">
        <v>212</v>
      </c>
      <c r="C67" s="4" t="s">
        <v>413</v>
      </c>
      <c r="D67" s="6"/>
      <c r="E67" s="6"/>
      <c r="F67" s="6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0.35488235474999996</v>
      </c>
      <c r="K67" s="3">
        <f>SUMIF(recipes!K:K,A67,recipes!T:T)</f>
        <v>0</v>
      </c>
      <c r="L67" s="103">
        <f>COUNTIF(recipes!K:K,A67)</f>
        <v>1</v>
      </c>
      <c r="M67" s="3"/>
      <c r="N67" s="35"/>
    </row>
    <row r="68" spans="1:14" x14ac:dyDescent="0.2">
      <c r="A68" s="22" t="s">
        <v>332</v>
      </c>
      <c r="B68" s="39"/>
      <c r="C68" s="4" t="s">
        <v>332</v>
      </c>
      <c r="D68" s="6"/>
      <c r="E68" s="6"/>
      <c r="F68" s="6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0</v>
      </c>
      <c r="L68" s="103">
        <f>COUNTIF(recipes!K:K,A68)</f>
        <v>1</v>
      </c>
      <c r="M68" s="3"/>
    </row>
    <row r="69" spans="1:14" s="35" customFormat="1" x14ac:dyDescent="0.2">
      <c r="A69" s="22" t="s">
        <v>301</v>
      </c>
      <c r="B69" s="39"/>
      <c r="C69" s="4" t="s">
        <v>301</v>
      </c>
      <c r="D69" s="6"/>
      <c r="E69" s="6"/>
      <c r="F69" s="6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2.9573529562499999E-2</v>
      </c>
      <c r="K69" s="3">
        <f>SUMIF(recipes!K:K,A69,recipes!T:T)</f>
        <v>0</v>
      </c>
      <c r="L69" s="103">
        <f>COUNTIF(recipes!K:K,A69)</f>
        <v>1</v>
      </c>
      <c r="M69" s="3"/>
      <c r="N69" s="1"/>
    </row>
    <row r="70" spans="1:14" s="35" customFormat="1" x14ac:dyDescent="0.2">
      <c r="A70" s="22" t="s">
        <v>176</v>
      </c>
      <c r="B70" s="39"/>
      <c r="C70" s="4" t="s">
        <v>176</v>
      </c>
      <c r="D70" s="6"/>
      <c r="E70" s="6"/>
      <c r="F70" s="6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4.4360294343749995E-2</v>
      </c>
      <c r="K70" s="3">
        <f>SUMIF(recipes!K:K,A70,recipes!T:T)</f>
        <v>0</v>
      </c>
      <c r="L70" s="103">
        <f>COUNTIF(recipes!K:K,A70)</f>
        <v>1</v>
      </c>
      <c r="M70" s="3"/>
    </row>
    <row r="71" spans="1:14" x14ac:dyDescent="0.2">
      <c r="A71" s="22" t="s">
        <v>179</v>
      </c>
      <c r="B71" s="39"/>
      <c r="C71" s="4" t="s">
        <v>179</v>
      </c>
      <c r="D71" s="6"/>
      <c r="E71" s="6"/>
      <c r="F71" s="6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4.4360294343749995E-2</v>
      </c>
      <c r="K71" s="3">
        <f>SUMIF(recipes!K:K,A71,recipes!T:T)</f>
        <v>0</v>
      </c>
      <c r="L71" s="103">
        <f>COUNTIF(recipes!K:K,A71)</f>
        <v>2</v>
      </c>
      <c r="M71" s="3"/>
      <c r="N71" s="35"/>
    </row>
    <row r="72" spans="1:14" s="35" customFormat="1" x14ac:dyDescent="0.2">
      <c r="A72" s="22" t="s">
        <v>184</v>
      </c>
      <c r="B72" s="39"/>
      <c r="C72" s="4" t="s">
        <v>184</v>
      </c>
      <c r="D72" s="6"/>
      <c r="E72" s="6"/>
      <c r="F72" s="6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</v>
      </c>
      <c r="K72" s="3">
        <f>SUMIF(recipes!K:K,A72,recipes!T:T)</f>
        <v>3.75</v>
      </c>
      <c r="L72" s="103">
        <f>COUNTIF(recipes!K:K,A72)</f>
        <v>1</v>
      </c>
      <c r="M72" s="3"/>
    </row>
    <row r="73" spans="1:14" s="35" customFormat="1" x14ac:dyDescent="0.2">
      <c r="A73" s="22" t="s">
        <v>164</v>
      </c>
      <c r="B73" s="39"/>
      <c r="C73" s="4" t="s">
        <v>164</v>
      </c>
      <c r="D73" s="6"/>
      <c r="E73" s="6"/>
      <c r="F73" s="6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0</v>
      </c>
      <c r="K73" s="3">
        <f>SUMIF(recipes!K:K,A73,recipes!T:T)</f>
        <v>2</v>
      </c>
      <c r="L73" s="103">
        <f>COUNTIF(recipes!K:K,A73)</f>
        <v>1</v>
      </c>
      <c r="M73" s="3"/>
      <c r="N73" s="1"/>
    </row>
    <row r="74" spans="1:14" s="35" customFormat="1" x14ac:dyDescent="0.2">
      <c r="A74" s="22" t="s">
        <v>89</v>
      </c>
      <c r="B74" s="39"/>
      <c r="C74" s="4" t="s">
        <v>89</v>
      </c>
      <c r="D74" s="6"/>
      <c r="E74" s="6"/>
      <c r="F74" s="6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4</v>
      </c>
      <c r="L74" s="103">
        <f>COUNTIF(recipes!K:K,A74)</f>
        <v>1</v>
      </c>
      <c r="M74" s="3"/>
    </row>
    <row r="75" spans="1:14" x14ac:dyDescent="0.2">
      <c r="A75" s="22" t="s">
        <v>47</v>
      </c>
      <c r="B75" s="39"/>
      <c r="C75" s="4" t="s">
        <v>47</v>
      </c>
      <c r="D75" s="6"/>
      <c r="E75" s="6"/>
      <c r="F75" s="6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4</v>
      </c>
      <c r="L75" s="103">
        <f>COUNTIF(recipes!K:K,A75)</f>
        <v>2</v>
      </c>
      <c r="M75" s="3"/>
      <c r="N75" s="35"/>
    </row>
    <row r="76" spans="1:14" s="35" customFormat="1" x14ac:dyDescent="0.2">
      <c r="A76" s="22" t="s">
        <v>114</v>
      </c>
      <c r="B76" s="39"/>
      <c r="C76" s="4" t="s">
        <v>114</v>
      </c>
      <c r="D76" s="6"/>
      <c r="E76" s="6"/>
      <c r="F76" s="6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4.75</v>
      </c>
      <c r="L76" s="103">
        <f>COUNTIF(recipes!K:K,A76)</f>
        <v>4</v>
      </c>
      <c r="M76" s="3"/>
      <c r="N76" s="1"/>
    </row>
    <row r="77" spans="1:14" x14ac:dyDescent="0.2">
      <c r="A77" s="22" t="s">
        <v>125</v>
      </c>
      <c r="B77" s="39"/>
      <c r="C77" s="4" t="s">
        <v>125</v>
      </c>
      <c r="D77" s="6"/>
      <c r="E77" s="6"/>
      <c r="F77" s="6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0.8872058868749999</v>
      </c>
      <c r="K77" s="3">
        <f>SUMIF(recipes!K:K,A77,recipes!T:T)</f>
        <v>0</v>
      </c>
      <c r="L77" s="103">
        <f>COUNTIF(recipes!K:K,A77)</f>
        <v>2</v>
      </c>
      <c r="M77" s="3"/>
      <c r="N77" s="35"/>
    </row>
    <row r="78" spans="1:14" x14ac:dyDescent="0.2">
      <c r="A78" s="22" t="s">
        <v>77</v>
      </c>
      <c r="B78" s="39"/>
      <c r="C78" s="4" t="s">
        <v>77</v>
      </c>
      <c r="D78" s="6"/>
      <c r="E78" s="6"/>
      <c r="F78" s="6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2</v>
      </c>
      <c r="L78" s="103">
        <f>COUNTIF(recipes!K:K,A78)</f>
        <v>1</v>
      </c>
      <c r="M78" s="3"/>
    </row>
    <row r="79" spans="1:14" s="35" customFormat="1" x14ac:dyDescent="0.2">
      <c r="A79" s="22" t="s">
        <v>296</v>
      </c>
      <c r="B79" s="39"/>
      <c r="C79" s="4" t="s">
        <v>296</v>
      </c>
      <c r="D79" s="6"/>
      <c r="E79" s="6"/>
      <c r="F79" s="6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0.94635294599999997</v>
      </c>
      <c r="K79" s="3">
        <f>SUMIF(recipes!K:K,A79,recipes!T:T)</f>
        <v>0</v>
      </c>
      <c r="L79" s="103">
        <f>COUNTIF(recipes!K:K,A79)</f>
        <v>1</v>
      </c>
      <c r="M79" s="3"/>
    </row>
    <row r="80" spans="1:14" x14ac:dyDescent="0.2">
      <c r="A80" s="22" t="s">
        <v>276</v>
      </c>
      <c r="B80" s="39" t="s">
        <v>212</v>
      </c>
      <c r="C80" s="4" t="s">
        <v>66</v>
      </c>
      <c r="D80" s="6"/>
      <c r="E80" s="6"/>
      <c r="F80" s="6"/>
      <c r="G80" s="3">
        <f t="shared" si="4"/>
        <v>0</v>
      </c>
      <c r="H80" s="3">
        <f t="shared" si="5"/>
        <v>0</v>
      </c>
      <c r="I80" s="3">
        <f>SUMIF(recipes!K:K,A80,recipes!R:R)</f>
        <v>0.5</v>
      </c>
      <c r="J80" s="3">
        <f>SUMIF(recipes!K:K,A80,recipes!S:S)</f>
        <v>1.0646470642499999</v>
      </c>
      <c r="K80" s="3">
        <f>SUMIF(recipes!K:K,A80,recipes!T:T)</f>
        <v>2.25</v>
      </c>
      <c r="L80" s="103">
        <f>COUNTIF(recipes!K:K,A80)</f>
        <v>3</v>
      </c>
      <c r="M80" s="3"/>
    </row>
    <row r="81" spans="1:13" x14ac:dyDescent="0.2">
      <c r="A81" s="22" t="s">
        <v>277</v>
      </c>
      <c r="B81" s="39" t="s">
        <v>212</v>
      </c>
      <c r="C81" s="4" t="s">
        <v>66</v>
      </c>
      <c r="D81" s="6"/>
      <c r="E81" s="6"/>
      <c r="F81" s="6"/>
      <c r="G81" s="3">
        <f t="shared" si="4"/>
        <v>0</v>
      </c>
      <c r="H81" s="3">
        <f t="shared" si="5"/>
        <v>0</v>
      </c>
      <c r="I81" s="3">
        <f>SUMIF(recipes!K:K,A81,recipes!R:R)</f>
        <v>0.75</v>
      </c>
      <c r="J81" s="3">
        <f>SUMIF(recipes!K:K,A81,recipes!S:S)</f>
        <v>0</v>
      </c>
      <c r="K81" s="3">
        <f>SUMIF(recipes!K:K,A81,recipes!T:T)</f>
        <v>0</v>
      </c>
      <c r="L81" s="103">
        <f>COUNTIF(recipes!K:K,A81)</f>
        <v>1</v>
      </c>
      <c r="M81" s="3"/>
    </row>
    <row r="82" spans="1:13" x14ac:dyDescent="0.2">
      <c r="A82" s="22" t="s">
        <v>325</v>
      </c>
      <c r="B82" s="39" t="s">
        <v>212</v>
      </c>
      <c r="C82" s="4" t="s">
        <v>74</v>
      </c>
      <c r="D82" s="5">
        <v>4</v>
      </c>
      <c r="E82" s="5">
        <v>0.53</v>
      </c>
      <c r="F82" s="7"/>
      <c r="G82" s="3">
        <f t="shared" si="4"/>
        <v>0.13250000000000001</v>
      </c>
      <c r="H82" s="3">
        <f t="shared" si="5"/>
        <v>0</v>
      </c>
      <c r="I82" s="3">
        <f>SUMIF(recipes!K:K,A82,recipes!R:R)</f>
        <v>1.7489999999999999</v>
      </c>
      <c r="J82" s="3">
        <f>SUMIF(recipes!K:K,A82,recipes!S:S)</f>
        <v>0</v>
      </c>
      <c r="K82" s="3">
        <f>SUMIF(recipes!K:K,A82,recipes!T:T)</f>
        <v>0</v>
      </c>
      <c r="L82" s="103">
        <f>COUNTIF(recipes!K:K,A82)</f>
        <v>1</v>
      </c>
      <c r="M82" s="3"/>
    </row>
    <row r="83" spans="1:13" x14ac:dyDescent="0.2">
      <c r="A83" s="22" t="s">
        <v>61</v>
      </c>
      <c r="B83" s="39"/>
      <c r="C83" s="4" t="s">
        <v>61</v>
      </c>
      <c r="D83" s="6"/>
      <c r="E83" s="6"/>
      <c r="F83" s="6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9.9012941489999999</v>
      </c>
      <c r="K83" s="3">
        <f>SUMIF(recipes!K:K,A83,recipes!T:T)</f>
        <v>0</v>
      </c>
      <c r="L83" s="103">
        <f>COUNTIF(recipes!K:K,A83)</f>
        <v>5</v>
      </c>
      <c r="M83" s="3"/>
    </row>
    <row r="84" spans="1:13" x14ac:dyDescent="0.2">
      <c r="A84" s="22" t="s">
        <v>62</v>
      </c>
      <c r="B84" s="39"/>
      <c r="C84" s="4" t="s">
        <v>62</v>
      </c>
      <c r="D84" s="6"/>
      <c r="E84" s="6"/>
      <c r="F84" s="6"/>
      <c r="G84" s="3">
        <f t="shared" si="4"/>
        <v>0</v>
      </c>
      <c r="H84" s="3">
        <f t="shared" si="5"/>
        <v>0</v>
      </c>
      <c r="I84" s="3">
        <f>SUMIF(recipes!K:K,A84,recipes!R:R)</f>
        <v>4.675E-2</v>
      </c>
      <c r="J84" s="3">
        <f>SUMIF(recipes!K:K,A84,recipes!S:S)</f>
        <v>0</v>
      </c>
      <c r="K84" s="3">
        <f>SUMIF(recipes!K:K,A84,recipes!T:T)</f>
        <v>0</v>
      </c>
      <c r="L84" s="103">
        <f>COUNTIF(recipes!K:K,A84)</f>
        <v>1</v>
      </c>
      <c r="M84" s="3"/>
    </row>
    <row r="85" spans="1:13" x14ac:dyDescent="0.2">
      <c r="A85" s="22" t="s">
        <v>120</v>
      </c>
      <c r="B85" s="39"/>
      <c r="C85" s="4" t="s">
        <v>48</v>
      </c>
      <c r="D85" s="16">
        <v>1</v>
      </c>
      <c r="E85" s="16">
        <v>1</v>
      </c>
      <c r="F85" s="16">
        <v>1</v>
      </c>
      <c r="G85" s="3">
        <f t="shared" si="4"/>
        <v>1</v>
      </c>
      <c r="H85" s="3">
        <f t="shared" si="5"/>
        <v>1</v>
      </c>
      <c r="I85" s="3">
        <f>SUMIF(recipes!K:K,A85,recipes!R:R)</f>
        <v>0.65061765037499997</v>
      </c>
      <c r="J85" s="3">
        <f>SUMIF(recipes!K:K,A85,recipes!S:S)</f>
        <v>0</v>
      </c>
      <c r="K85" s="3">
        <f>SUMIF(recipes!K:K,A85,recipes!T:T)</f>
        <v>0</v>
      </c>
      <c r="L85" s="103">
        <f>COUNTIF(recipes!K:K,A85)</f>
        <v>1</v>
      </c>
      <c r="M85" s="3"/>
    </row>
    <row r="86" spans="1:13" x14ac:dyDescent="0.2">
      <c r="A86" s="22" t="s">
        <v>48</v>
      </c>
      <c r="B86" s="39"/>
      <c r="C86" s="4" t="s">
        <v>48</v>
      </c>
      <c r="D86" s="16">
        <v>1</v>
      </c>
      <c r="E86" s="16">
        <v>1</v>
      </c>
      <c r="F86" s="16">
        <v>1</v>
      </c>
      <c r="G86" s="3">
        <f t="shared" si="4"/>
        <v>1</v>
      </c>
      <c r="H86" s="3">
        <f t="shared" si="5"/>
        <v>1</v>
      </c>
      <c r="I86" s="3">
        <f>SUMIF(recipes!K:K,A86,recipes!R:R)</f>
        <v>5.5811470796249996</v>
      </c>
      <c r="J86" s="3">
        <f>SUMIF(recipes!K:K,A86,recipes!S:S)</f>
        <v>0</v>
      </c>
      <c r="K86" s="3">
        <f>SUMIF(recipes!K:K,A86,recipes!T:T)</f>
        <v>0</v>
      </c>
      <c r="L86" s="103">
        <f>COUNTIF(recipes!K:K,A86)</f>
        <v>8</v>
      </c>
      <c r="M86" s="3"/>
    </row>
    <row r="87" spans="1:13" x14ac:dyDescent="0.2">
      <c r="A87" s="22" t="s">
        <v>106</v>
      </c>
      <c r="B87" s="39" t="s">
        <v>212</v>
      </c>
      <c r="C87" s="4" t="s">
        <v>75</v>
      </c>
      <c r="D87" s="6"/>
      <c r="E87" s="6"/>
      <c r="F87" s="7"/>
      <c r="G87" s="3">
        <f t="shared" si="4"/>
        <v>0</v>
      </c>
      <c r="H87" s="3">
        <f t="shared" si="5"/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13.25</v>
      </c>
      <c r="L87" s="103">
        <f>COUNTIF(recipes!K:K,A87)</f>
        <v>1</v>
      </c>
      <c r="M87" s="3"/>
    </row>
    <row r="88" spans="1:13" x14ac:dyDescent="0.2">
      <c r="A88" s="22" t="s">
        <v>181</v>
      </c>
      <c r="B88" s="39" t="s">
        <v>212</v>
      </c>
      <c r="C88" s="4" t="s">
        <v>180</v>
      </c>
      <c r="D88" s="5">
        <v>2</v>
      </c>
      <c r="E88" s="5">
        <v>0.377</v>
      </c>
      <c r="F88" s="5">
        <v>0.5</v>
      </c>
      <c r="G88" s="3">
        <f t="shared" si="4"/>
        <v>0.1885</v>
      </c>
      <c r="H88" s="3">
        <f t="shared" si="5"/>
        <v>0.25</v>
      </c>
      <c r="I88" s="3">
        <f>SUMIF(recipes!K:K,A88,recipes!R:R)</f>
        <v>0.47125</v>
      </c>
      <c r="J88" s="3">
        <f>SUMIF(recipes!K:K,A88,recipes!S:S)</f>
        <v>0</v>
      </c>
      <c r="K88" s="3">
        <f>SUMIF(recipes!K:K,A88,recipes!T:T)</f>
        <v>0</v>
      </c>
      <c r="L88" s="103">
        <f>COUNTIF(recipes!K:K,A88)</f>
        <v>1</v>
      </c>
      <c r="M88" s="3"/>
    </row>
    <row r="89" spans="1:13" s="35" customFormat="1" x14ac:dyDescent="0.2">
      <c r="A89" s="22" t="s">
        <v>202</v>
      </c>
      <c r="B89" s="39" t="s">
        <v>212</v>
      </c>
      <c r="C89" s="4" t="s">
        <v>71</v>
      </c>
      <c r="D89" s="6"/>
      <c r="E89" s="6"/>
      <c r="F89" s="6"/>
      <c r="G89" s="3">
        <f t="shared" si="4"/>
        <v>0</v>
      </c>
      <c r="H89" s="3">
        <f t="shared" si="5"/>
        <v>0</v>
      </c>
      <c r="I89" s="3">
        <f>SUMIF(recipes!K:K,A89,recipes!R:R)</f>
        <v>0</v>
      </c>
      <c r="J89" s="3">
        <f>SUMIF(recipes!K:K,A89,recipes!S:S)</f>
        <v>0</v>
      </c>
      <c r="K89" s="3">
        <f>SUMIF(recipes!K:K,A89,recipes!T:T)</f>
        <v>4.75</v>
      </c>
      <c r="L89" s="103">
        <f>COUNTIF(recipes!K:K,A89)</f>
        <v>1</v>
      </c>
      <c r="M89" s="3"/>
    </row>
    <row r="90" spans="1:13" ht="13.5" thickBot="1" x14ac:dyDescent="0.25">
      <c r="A90" s="23" t="s">
        <v>113</v>
      </c>
      <c r="B90" s="40" t="s">
        <v>212</v>
      </c>
      <c r="C90" s="20" t="s">
        <v>71</v>
      </c>
      <c r="D90" s="17"/>
      <c r="E90" s="17"/>
      <c r="F90" s="17"/>
      <c r="G90" s="9">
        <f t="shared" si="4"/>
        <v>0</v>
      </c>
      <c r="H90" s="9">
        <f t="shared" si="5"/>
        <v>0</v>
      </c>
      <c r="I90" s="9">
        <f>SUMIF(recipes!K:K,A90,recipes!R:R)</f>
        <v>0</v>
      </c>
      <c r="J90" s="9">
        <f>SUMIF(recipes!K:K,A90,recipes!S:S)</f>
        <v>0</v>
      </c>
      <c r="K90" s="9">
        <f>SUMIF(recipes!K:K,A90,recipes!T:T)</f>
        <v>5.25</v>
      </c>
      <c r="L90" s="104">
        <f>COUNTIF(recipes!K:K,A90)</f>
        <v>1</v>
      </c>
      <c r="M90" s="3"/>
    </row>
    <row r="91" spans="1:13" ht="14.25" thickTop="1" thickBot="1" x14ac:dyDescent="0.25">
      <c r="A91" s="10" t="s">
        <v>53</v>
      </c>
      <c r="B91" s="41"/>
      <c r="M91" s="3"/>
    </row>
  </sheetData>
  <sortState ref="A2:L90">
    <sortCondition ref="C2:C90"/>
    <sortCondition ref="A2:A90"/>
  </sortState>
  <conditionalFormatting sqref="G25:J27 G62:J77 G22:J23 G51:J51 G39:J40 G30:J37 G42:J49 M43:M50 M31:M41 M52 M23:M24 M63:M78 M26:M28 M2:M12 G2:L11 M80:M91 G79:L90 M58:M61 G57:L60 M14:M21 G13:L20">
    <cfRule type="cellIs" dxfId="59" priority="54" operator="equal">
      <formula>0</formula>
    </cfRule>
  </conditionalFormatting>
  <conditionalFormatting sqref="G24:J24 M25">
    <cfRule type="cellIs" dxfId="58" priority="52" operator="equal">
      <formula>0</formula>
    </cfRule>
  </conditionalFormatting>
  <conditionalFormatting sqref="G61:J61 M62">
    <cfRule type="cellIs" dxfId="57" priority="51" operator="equal">
      <formula>0</formula>
    </cfRule>
  </conditionalFormatting>
  <conditionalFormatting sqref="G21:J21 M22">
    <cfRule type="cellIs" dxfId="56" priority="50" operator="equal">
      <formula>0</formula>
    </cfRule>
  </conditionalFormatting>
  <conditionalFormatting sqref="G78:J78 M79">
    <cfRule type="cellIs" dxfId="55" priority="49" operator="equal">
      <formula>0</formula>
    </cfRule>
  </conditionalFormatting>
  <conditionalFormatting sqref="G52:J52 M53">
    <cfRule type="cellIs" dxfId="54" priority="47" operator="equal">
      <formula>0</formula>
    </cfRule>
  </conditionalFormatting>
  <conditionalFormatting sqref="G55:J55 M56">
    <cfRule type="cellIs" dxfId="53" priority="46" operator="equal">
      <formula>0</formula>
    </cfRule>
  </conditionalFormatting>
  <conditionalFormatting sqref="G56:J56 M57">
    <cfRule type="cellIs" dxfId="52" priority="45" operator="equal">
      <formula>0</formula>
    </cfRule>
  </conditionalFormatting>
  <conditionalFormatting sqref="G12:J12 M13">
    <cfRule type="cellIs" dxfId="51" priority="44" operator="equal">
      <formula>0</formula>
    </cfRule>
  </conditionalFormatting>
  <conditionalFormatting sqref="G38:J38">
    <cfRule type="cellIs" dxfId="50" priority="43" operator="equal">
      <formula>0</formula>
    </cfRule>
  </conditionalFormatting>
  <conditionalFormatting sqref="G50:J50 M51">
    <cfRule type="cellIs" dxfId="49" priority="42" operator="equal">
      <formula>0</formula>
    </cfRule>
  </conditionalFormatting>
  <conditionalFormatting sqref="G53:J53 M54">
    <cfRule type="cellIs" dxfId="48" priority="41" operator="equal">
      <formula>0</formula>
    </cfRule>
  </conditionalFormatting>
  <conditionalFormatting sqref="G54:J54 M55">
    <cfRule type="cellIs" dxfId="47" priority="40" operator="equal">
      <formula>0</formula>
    </cfRule>
  </conditionalFormatting>
  <conditionalFormatting sqref="G29:J29 M30">
    <cfRule type="cellIs" dxfId="46" priority="39" operator="equal">
      <formula>0</formula>
    </cfRule>
  </conditionalFormatting>
  <conditionalFormatting sqref="G41:J41 M42">
    <cfRule type="cellIs" dxfId="45" priority="38" operator="equal">
      <formula>0</formula>
    </cfRule>
  </conditionalFormatting>
  <conditionalFormatting sqref="G28:J28 M29">
    <cfRule type="cellIs" dxfId="44" priority="37" operator="equal">
      <formula>0</formula>
    </cfRule>
  </conditionalFormatting>
  <conditionalFormatting sqref="K28">
    <cfRule type="cellIs" dxfId="43" priority="2" operator="equal">
      <formula>0</formula>
    </cfRule>
  </conditionalFormatting>
  <conditionalFormatting sqref="L25:L27 L62:L77 L22:L23 L51 L39:L40 L30:L37 L42:L49">
    <cfRule type="cellIs" dxfId="42" priority="35" operator="equal">
      <formula>0</formula>
    </cfRule>
  </conditionalFormatting>
  <conditionalFormatting sqref="L24">
    <cfRule type="cellIs" dxfId="41" priority="33" operator="equal">
      <formula>0</formula>
    </cfRule>
  </conditionalFormatting>
  <conditionalFormatting sqref="L61">
    <cfRule type="cellIs" dxfId="40" priority="32" operator="equal">
      <formula>0</formula>
    </cfRule>
  </conditionalFormatting>
  <conditionalFormatting sqref="L21">
    <cfRule type="cellIs" dxfId="39" priority="31" operator="equal">
      <formula>0</formula>
    </cfRule>
  </conditionalFormatting>
  <conditionalFormatting sqref="L78">
    <cfRule type="cellIs" dxfId="38" priority="30" operator="equal">
      <formula>0</formula>
    </cfRule>
  </conditionalFormatting>
  <conditionalFormatting sqref="L52">
    <cfRule type="cellIs" dxfId="37" priority="29" operator="equal">
      <formula>0</formula>
    </cfRule>
  </conditionalFormatting>
  <conditionalFormatting sqref="L55">
    <cfRule type="cellIs" dxfId="36" priority="28" operator="equal">
      <formula>0</formula>
    </cfRule>
  </conditionalFormatting>
  <conditionalFormatting sqref="L56">
    <cfRule type="cellIs" dxfId="35" priority="27" operator="equal">
      <formula>0</formula>
    </cfRule>
  </conditionalFormatting>
  <conditionalFormatting sqref="L12">
    <cfRule type="cellIs" dxfId="34" priority="26" operator="equal">
      <formula>0</formula>
    </cfRule>
  </conditionalFormatting>
  <conditionalFormatting sqref="L38">
    <cfRule type="cellIs" dxfId="33" priority="25" operator="equal">
      <formula>0</formula>
    </cfRule>
  </conditionalFormatting>
  <conditionalFormatting sqref="L50">
    <cfRule type="cellIs" dxfId="32" priority="24" operator="equal">
      <formula>0</formula>
    </cfRule>
  </conditionalFormatting>
  <conditionalFormatting sqref="L53">
    <cfRule type="cellIs" dxfId="31" priority="23" operator="equal">
      <formula>0</formula>
    </cfRule>
  </conditionalFormatting>
  <conditionalFormatting sqref="L54">
    <cfRule type="cellIs" dxfId="30" priority="22" operator="equal">
      <formula>0</formula>
    </cfRule>
  </conditionalFormatting>
  <conditionalFormatting sqref="L29">
    <cfRule type="cellIs" dxfId="29" priority="21" operator="equal">
      <formula>0</formula>
    </cfRule>
  </conditionalFormatting>
  <conditionalFormatting sqref="L41">
    <cfRule type="cellIs" dxfId="28" priority="20" operator="equal">
      <formula>0</formula>
    </cfRule>
  </conditionalFormatting>
  <conditionalFormatting sqref="L28">
    <cfRule type="cellIs" dxfId="27" priority="19" operator="equal">
      <formula>0</formula>
    </cfRule>
  </conditionalFormatting>
  <conditionalFormatting sqref="K25:K27 K62:K77 K22:K23 K51 K39:K40 K30:K37 K42:K49">
    <cfRule type="cellIs" dxfId="26" priority="18" operator="equal">
      <formula>0</formula>
    </cfRule>
  </conditionalFormatting>
  <conditionalFormatting sqref="K24">
    <cfRule type="cellIs" dxfId="25" priority="16" operator="equal">
      <formula>0</formula>
    </cfRule>
  </conditionalFormatting>
  <conditionalFormatting sqref="K61">
    <cfRule type="cellIs" dxfId="24" priority="15" operator="equal">
      <formula>0</formula>
    </cfRule>
  </conditionalFormatting>
  <conditionalFormatting sqref="K21">
    <cfRule type="cellIs" dxfId="23" priority="14" operator="equal">
      <formula>0</formula>
    </cfRule>
  </conditionalFormatting>
  <conditionalFormatting sqref="K78">
    <cfRule type="cellIs" dxfId="22" priority="13" operator="equal">
      <formula>0</formula>
    </cfRule>
  </conditionalFormatting>
  <conditionalFormatting sqref="K52">
    <cfRule type="cellIs" dxfId="21" priority="12" operator="equal">
      <formula>0</formula>
    </cfRule>
  </conditionalFormatting>
  <conditionalFormatting sqref="K55">
    <cfRule type="cellIs" dxfId="20" priority="11" operator="equal">
      <formula>0</formula>
    </cfRule>
  </conditionalFormatting>
  <conditionalFormatting sqref="K56">
    <cfRule type="cellIs" dxfId="19" priority="10" operator="equal">
      <formula>0</formula>
    </cfRule>
  </conditionalFormatting>
  <conditionalFormatting sqref="K12">
    <cfRule type="cellIs" dxfId="18" priority="9" operator="equal">
      <formula>0</formula>
    </cfRule>
  </conditionalFormatting>
  <conditionalFormatting sqref="K38">
    <cfRule type="cellIs" dxfId="17" priority="8" operator="equal">
      <formula>0</formula>
    </cfRule>
  </conditionalFormatting>
  <conditionalFormatting sqref="K50">
    <cfRule type="cellIs" dxfId="16" priority="7" operator="equal">
      <formula>0</formula>
    </cfRule>
  </conditionalFormatting>
  <conditionalFormatting sqref="K53">
    <cfRule type="cellIs" dxfId="15" priority="6" operator="equal">
      <formula>0</formula>
    </cfRule>
  </conditionalFormatting>
  <conditionalFormatting sqref="K54">
    <cfRule type="cellIs" dxfId="14" priority="5" operator="equal">
      <formula>0</formula>
    </cfRule>
  </conditionalFormatting>
  <conditionalFormatting sqref="K29">
    <cfRule type="cellIs" dxfId="13" priority="4" operator="equal">
      <formula>0</formula>
    </cfRule>
  </conditionalFormatting>
  <conditionalFormatting sqref="K41">
    <cfRule type="cellIs" dxfId="12" priority="3" operator="equal">
      <formula>0</formula>
    </cfRule>
  </conditionalFormatting>
  <conditionalFormatting sqref="L2:L90">
    <cfRule type="cellIs" dxfId="11" priority="1" operator="equal">
      <formula>0</formula>
    </cfRule>
  </conditionalFormatting>
  <dataValidations count="2">
    <dataValidation type="list" showInputMessage="1" showErrorMessage="1" sqref="C2:C90" xr:uid="{124AB2BC-86CC-4B23-9BC2-BB9FD1721E5B}">
      <formula1>shoppingNames</formula1>
    </dataValidation>
    <dataValidation type="list" allowBlank="1" showInputMessage="1" showErrorMessage="1" sqref="B2:B90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J78"/>
  <sheetViews>
    <sheetView zoomScale="85" zoomScaleNormal="85" workbookViewId="0">
      <selection activeCell="M20" sqref="M20"/>
    </sheetView>
  </sheetViews>
  <sheetFormatPr defaultRowHeight="12.75" x14ac:dyDescent="0.2"/>
  <cols>
    <col min="1" max="1" width="19.140625" style="1" bestFit="1" customWidth="1"/>
    <col min="2" max="3" width="6" style="2" bestFit="1" customWidth="1"/>
    <col min="4" max="4" width="6.42578125" style="2" bestFit="1" customWidth="1"/>
    <col min="5" max="5" width="6.42578125" style="105" customWidth="1"/>
    <col min="6" max="6" width="26" style="2" bestFit="1" customWidth="1"/>
    <col min="7" max="7" width="6.42578125" style="105" customWidth="1"/>
    <col min="8" max="16384" width="9.140625" style="1"/>
  </cols>
  <sheetData>
    <row r="1" spans="1:10" ht="26.25" thickBot="1" x14ac:dyDescent="0.25">
      <c r="A1" s="14" t="s">
        <v>76</v>
      </c>
      <c r="B1" s="15" t="s">
        <v>118</v>
      </c>
      <c r="C1" s="15" t="s">
        <v>119</v>
      </c>
      <c r="D1" s="15" t="s">
        <v>117</v>
      </c>
      <c r="E1" s="101" t="s">
        <v>434</v>
      </c>
      <c r="F1" s="15" t="s">
        <v>183</v>
      </c>
      <c r="G1" s="101" t="s">
        <v>435</v>
      </c>
    </row>
    <row r="2" spans="1:10" x14ac:dyDescent="0.2">
      <c r="A2" s="24" t="s">
        <v>93</v>
      </c>
      <c r="B2" s="27">
        <f>SUMIF(support!C:C,A2,support!I:I)</f>
        <v>0</v>
      </c>
      <c r="C2" s="28">
        <f>SUMIF(support!C:C,A2,support!J:J)</f>
        <v>0</v>
      </c>
      <c r="D2" s="28">
        <f>SUMIF(support!C:C,A2,support!K:K)</f>
        <v>4.25</v>
      </c>
      <c r="E2" s="106">
        <f>SUMIF(support!C:C,A2,support!L:L)</f>
        <v>2</v>
      </c>
      <c r="F2" s="28"/>
      <c r="G2" s="29" t="b">
        <f>OR(COUNTIF(B2:D2, "&lt;&gt;0") &gt; 1, E2 = 0)</f>
        <v>0</v>
      </c>
      <c r="J2" s="1" t="s">
        <v>417</v>
      </c>
    </row>
    <row r="3" spans="1:10" x14ac:dyDescent="0.2">
      <c r="A3" s="25" t="s">
        <v>51</v>
      </c>
      <c r="B3" s="30">
        <f>SUMIF(support!C:C,A3,support!I:I)</f>
        <v>3.7333412732584614E-2</v>
      </c>
      <c r="C3" s="3">
        <f>SUMIF(support!C:C,A3,support!J:J)</f>
        <v>0</v>
      </c>
      <c r="D3" s="3">
        <f>SUMIF(support!C:C,A3,support!K:K)</f>
        <v>0</v>
      </c>
      <c r="E3" s="107">
        <f>SUMIF(support!C:C,A3,support!L:L)</f>
        <v>1</v>
      </c>
      <c r="F3" s="3"/>
      <c r="G3" s="31" t="b">
        <f t="shared" ref="G3:G63" si="0">OR(COUNTIF(B3:D3, "&lt;&gt;0") &gt; 1, E3 = 0)</f>
        <v>0</v>
      </c>
      <c r="J3" s="1" t="s">
        <v>419</v>
      </c>
    </row>
    <row r="4" spans="1:10" x14ac:dyDescent="0.2">
      <c r="A4" s="25" t="s">
        <v>2</v>
      </c>
      <c r="B4" s="30">
        <f>SUMIF(support!C:C,A4,support!I:I)</f>
        <v>1.0954999999999999</v>
      </c>
      <c r="C4" s="3">
        <f>SUMIF(support!C:C,A4,support!J:J)</f>
        <v>0.53232353212499994</v>
      </c>
      <c r="D4" s="3">
        <f>SUMIF(support!C:C,A4,support!K:K)</f>
        <v>0</v>
      </c>
      <c r="E4" s="107">
        <f>SUMIF(support!C:C,A4,support!L:L)</f>
        <v>3</v>
      </c>
      <c r="F4" s="3"/>
      <c r="G4" s="31" t="b">
        <f t="shared" si="0"/>
        <v>1</v>
      </c>
      <c r="J4" s="1" t="s">
        <v>420</v>
      </c>
    </row>
    <row r="5" spans="1:10" x14ac:dyDescent="0.2">
      <c r="A5" s="25" t="s">
        <v>68</v>
      </c>
      <c r="B5" s="30">
        <f>SUMIF(support!C:C,A5,support!I:I)</f>
        <v>3.1186210797729168</v>
      </c>
      <c r="C5" s="3">
        <f>SUMIF(support!C:C,A5,support!J:J)</f>
        <v>0</v>
      </c>
      <c r="D5" s="3">
        <f>SUMIF(support!C:C,A5,support!K:K)</f>
        <v>28.55</v>
      </c>
      <c r="E5" s="107">
        <f>SUMIF(support!C:C,A5,support!L:L)</f>
        <v>9</v>
      </c>
      <c r="F5" s="3"/>
      <c r="G5" s="31" t="b">
        <f t="shared" si="0"/>
        <v>1</v>
      </c>
      <c r="J5" s="1" t="s">
        <v>421</v>
      </c>
    </row>
    <row r="6" spans="1:10" x14ac:dyDescent="0.2">
      <c r="A6" s="25" t="s">
        <v>192</v>
      </c>
      <c r="B6" s="30">
        <f>SUMIF(support!C:C,A6,support!I:I)</f>
        <v>0</v>
      </c>
      <c r="C6" s="3">
        <f>SUMIF(support!C:C,A6,support!J:J)</f>
        <v>0.47317647299999999</v>
      </c>
      <c r="D6" s="3">
        <f>SUMIF(support!C:C,A6,support!K:K)</f>
        <v>0</v>
      </c>
      <c r="E6" s="107">
        <f>SUMIF(support!C:C,A6,support!L:L)</f>
        <v>1</v>
      </c>
      <c r="F6" s="3"/>
      <c r="G6" s="31" t="b">
        <f t="shared" si="0"/>
        <v>0</v>
      </c>
      <c r="J6" s="35" t="s">
        <v>418</v>
      </c>
    </row>
    <row r="7" spans="1:10" s="35" customFormat="1" x14ac:dyDescent="0.2">
      <c r="A7" s="25" t="s">
        <v>169</v>
      </c>
      <c r="B7" s="30">
        <f>SUMIF(support!C:C,A7,support!I:I)</f>
        <v>0</v>
      </c>
      <c r="C7" s="3">
        <f>SUMIF(support!C:C,A7,support!J:J)</f>
        <v>0</v>
      </c>
      <c r="D7" s="3">
        <f>SUMIF(support!C:C,A7,support!K:K)</f>
        <v>3</v>
      </c>
      <c r="E7" s="107">
        <f>SUMIF(support!C:C,A7,support!L:L)</f>
        <v>3</v>
      </c>
      <c r="F7" s="3"/>
      <c r="G7" s="31" t="b">
        <f t="shared" si="0"/>
        <v>0</v>
      </c>
    </row>
    <row r="8" spans="1:10" x14ac:dyDescent="0.2">
      <c r="A8" s="25" t="s">
        <v>67</v>
      </c>
      <c r="B8" s="30">
        <f>SUMIF(support!C:C,A8,support!I:I)</f>
        <v>0</v>
      </c>
      <c r="C8" s="3">
        <f>SUMIF(support!C:C,A8,support!J:J)</f>
        <v>0</v>
      </c>
      <c r="D8" s="3">
        <f>SUMIF(support!C:C,A8,support!K:K)</f>
        <v>43.15</v>
      </c>
      <c r="E8" s="107">
        <f>SUMIF(support!C:C,A8,support!L:L)</f>
        <v>8</v>
      </c>
      <c r="F8" s="3"/>
      <c r="G8" s="31" t="b">
        <f t="shared" si="0"/>
        <v>0</v>
      </c>
    </row>
    <row r="9" spans="1:10" s="35" customFormat="1" x14ac:dyDescent="0.2">
      <c r="A9" s="25" t="s">
        <v>121</v>
      </c>
      <c r="B9" s="30">
        <f>SUMIF(support!C:C,A9,support!I:I)</f>
        <v>0</v>
      </c>
      <c r="C9" s="3">
        <f>SUMIF(support!C:C,A9,support!J:J)</f>
        <v>5.9147059124999998E-2</v>
      </c>
      <c r="D9" s="3">
        <f>SUMIF(support!C:C,A9,support!K:K)</f>
        <v>0</v>
      </c>
      <c r="E9" s="107">
        <f>SUMIF(support!C:C,A9,support!L:L)</f>
        <v>1</v>
      </c>
      <c r="F9" s="3"/>
      <c r="G9" s="31" t="b">
        <f t="shared" si="0"/>
        <v>0</v>
      </c>
    </row>
    <row r="10" spans="1:10" x14ac:dyDescent="0.2">
      <c r="A10" s="25" t="s">
        <v>109</v>
      </c>
      <c r="B10" s="30">
        <f>SUMIF(support!C:C,A10,support!I:I)</f>
        <v>1.0388910983621014E-2</v>
      </c>
      <c r="C10" s="3">
        <f>SUMIF(support!C:C,A10,support!J:J)</f>
        <v>0</v>
      </c>
      <c r="D10" s="3">
        <f>SUMIF(support!C:C,A10,support!K:K)</f>
        <v>0</v>
      </c>
      <c r="E10" s="107">
        <f>SUMIF(support!C:C,A10,support!L:L)</f>
        <v>3</v>
      </c>
      <c r="F10" s="3"/>
      <c r="G10" s="31" t="b">
        <f t="shared" si="0"/>
        <v>0</v>
      </c>
    </row>
    <row r="11" spans="1:10" x14ac:dyDescent="0.2">
      <c r="A11" s="25" t="s">
        <v>168</v>
      </c>
      <c r="B11" s="30">
        <f>SUMIF(support!C:C,A11,support!I:I)</f>
        <v>1.0098</v>
      </c>
      <c r="C11" s="3">
        <f>SUMIF(support!C:C,A11,support!J:J)</f>
        <v>0</v>
      </c>
      <c r="D11" s="3">
        <f>SUMIF(support!C:C,A11,support!K:K)</f>
        <v>0</v>
      </c>
      <c r="E11" s="107">
        <f>SUMIF(support!C:C,A11,support!L:L)</f>
        <v>1</v>
      </c>
      <c r="F11" s="3"/>
      <c r="G11" s="31" t="b">
        <f t="shared" si="0"/>
        <v>0</v>
      </c>
    </row>
    <row r="12" spans="1:10" x14ac:dyDescent="0.2">
      <c r="A12" s="25" t="s">
        <v>52</v>
      </c>
      <c r="B12" s="30">
        <f>SUMIF(support!C:C,A12,support!I:I)</f>
        <v>2.5666721253651919E-2</v>
      </c>
      <c r="C12" s="3">
        <f>SUMIF(support!C:C,A12,support!J:J)</f>
        <v>0</v>
      </c>
      <c r="D12" s="3">
        <f>SUMIF(support!C:C,A12,support!K:K)</f>
        <v>0</v>
      </c>
      <c r="E12" s="107">
        <f>SUMIF(support!C:C,A12,support!L:L)</f>
        <v>1</v>
      </c>
      <c r="F12" s="3"/>
      <c r="G12" s="31" t="b">
        <f t="shared" si="0"/>
        <v>0</v>
      </c>
    </row>
    <row r="13" spans="1:10" x14ac:dyDescent="0.2">
      <c r="A13" s="25" t="s">
        <v>9</v>
      </c>
      <c r="B13" s="30">
        <f>SUMIF(support!C:C,A13,support!I:I)</f>
        <v>4.2000089324157684E-2</v>
      </c>
      <c r="C13" s="3">
        <f>SUMIF(support!C:C,A13,support!J:J)</f>
        <v>0</v>
      </c>
      <c r="D13" s="3">
        <f>SUMIF(support!C:C,A13,support!K:K)</f>
        <v>0</v>
      </c>
      <c r="E13" s="107">
        <f>SUMIF(support!C:C,A13,support!L:L)</f>
        <v>2</v>
      </c>
      <c r="F13" s="3"/>
      <c r="G13" s="31" t="b">
        <f t="shared" si="0"/>
        <v>0</v>
      </c>
    </row>
    <row r="14" spans="1:10" x14ac:dyDescent="0.2">
      <c r="A14" s="25" t="s">
        <v>78</v>
      </c>
      <c r="B14" s="30">
        <f>SUMIF(support!C:C,A14,support!I:I)</f>
        <v>0</v>
      </c>
      <c r="C14" s="3">
        <f>SUMIF(support!C:C,A14,support!J:J)</f>
        <v>8.7488358289062484E-2</v>
      </c>
      <c r="D14" s="3">
        <f>SUMIF(support!C:C,A14,support!K:K)</f>
        <v>0</v>
      </c>
      <c r="E14" s="107">
        <f>SUMIF(support!C:C,A14,support!L:L)</f>
        <v>2</v>
      </c>
      <c r="F14" s="3"/>
      <c r="G14" s="31" t="b">
        <f t="shared" si="0"/>
        <v>0</v>
      </c>
    </row>
    <row r="15" spans="1:10" s="35" customFormat="1" x14ac:dyDescent="0.2">
      <c r="A15" s="25" t="s">
        <v>108</v>
      </c>
      <c r="B15" s="30">
        <f>SUMIF(support!C:C,A15,support!I:I)</f>
        <v>1.1666691478932692E-3</v>
      </c>
      <c r="C15" s="3">
        <f>SUMIF(support!C:C,A15,support!J:J)</f>
        <v>0</v>
      </c>
      <c r="D15" s="3">
        <f>SUMIF(support!C:C,A15,support!K:K)</f>
        <v>0</v>
      </c>
      <c r="E15" s="107">
        <f>SUMIF(support!C:C,A15,support!L:L)</f>
        <v>1</v>
      </c>
      <c r="F15" s="3"/>
      <c r="G15" s="31" t="b">
        <f t="shared" si="0"/>
        <v>0</v>
      </c>
    </row>
    <row r="16" spans="1:10" s="35" customFormat="1" x14ac:dyDescent="0.2">
      <c r="A16" s="25" t="s">
        <v>293</v>
      </c>
      <c r="B16" s="30">
        <f>SUMIF(support!C:C,A16,support!I:I)</f>
        <v>0</v>
      </c>
      <c r="C16" s="3">
        <f>SUMIF(support!C:C,A16,support!J:J)</f>
        <v>0.47317647299999999</v>
      </c>
      <c r="D16" s="3">
        <f>SUMIF(support!C:C,A16,support!K:K)</f>
        <v>0</v>
      </c>
      <c r="E16" s="107">
        <f>SUMIF(support!C:C,A16,support!L:L)</f>
        <v>1</v>
      </c>
      <c r="F16" s="3"/>
      <c r="G16" s="31" t="b">
        <f t="shared" si="0"/>
        <v>0</v>
      </c>
    </row>
    <row r="17" spans="1:7" x14ac:dyDescent="0.2">
      <c r="A17" s="25" t="s">
        <v>102</v>
      </c>
      <c r="B17" s="30">
        <f>SUMIF(support!C:C,A17,support!I:I)</f>
        <v>0.28612498367337558</v>
      </c>
      <c r="C17" s="3">
        <f>SUMIF(support!C:C,A17,support!J:J)</f>
        <v>0</v>
      </c>
      <c r="D17" s="3">
        <f>SUMIF(support!C:C,A17,support!K:K)</f>
        <v>0</v>
      </c>
      <c r="E17" s="107">
        <f>SUMIF(support!C:C,A17,support!L:L)</f>
        <v>1</v>
      </c>
      <c r="F17" s="3"/>
      <c r="G17" s="31" t="b">
        <f t="shared" si="0"/>
        <v>0</v>
      </c>
    </row>
    <row r="18" spans="1:7" s="35" customFormat="1" x14ac:dyDescent="0.2">
      <c r="A18" s="25" t="s">
        <v>103</v>
      </c>
      <c r="B18" s="30">
        <f>SUMIF(support!C:C,A18,support!I:I)</f>
        <v>0.70699995965775986</v>
      </c>
      <c r="C18" s="3">
        <f>SUMIF(support!C:C,A18,support!J:J)</f>
        <v>0</v>
      </c>
      <c r="D18" s="3">
        <f>SUMIF(support!C:C,A18,support!K:K)</f>
        <v>0</v>
      </c>
      <c r="E18" s="107">
        <f>SUMIF(support!C:C,A18,support!L:L)</f>
        <v>1</v>
      </c>
      <c r="F18" s="3"/>
      <c r="G18" s="31" t="b">
        <f t="shared" si="0"/>
        <v>0</v>
      </c>
    </row>
    <row r="19" spans="1:7" x14ac:dyDescent="0.2">
      <c r="A19" s="25" t="s">
        <v>295</v>
      </c>
      <c r="B19" s="30">
        <f>SUMIF(support!C:C,A19,support!I:I)</f>
        <v>0</v>
      </c>
      <c r="C19" s="3">
        <f>SUMIF(support!C:C,A19,support!J:J)</f>
        <v>1.478676478125E-2</v>
      </c>
      <c r="D19" s="3">
        <f>SUMIF(support!C:C,A19,support!K:K)</f>
        <v>0</v>
      </c>
      <c r="E19" s="107">
        <f>SUMIF(support!C:C,A19,support!L:L)</f>
        <v>1</v>
      </c>
      <c r="F19" s="3"/>
      <c r="G19" s="31" t="b">
        <f t="shared" si="0"/>
        <v>0</v>
      </c>
    </row>
    <row r="20" spans="1:7" x14ac:dyDescent="0.2">
      <c r="A20" s="25" t="s">
        <v>209</v>
      </c>
      <c r="B20" s="30">
        <f>SUMIF(support!C:C,A20,support!I:I)</f>
        <v>1.0587499395864968</v>
      </c>
      <c r="C20" s="3">
        <f>SUMIF(support!C:C,A20,support!J:J)</f>
        <v>0</v>
      </c>
      <c r="D20" s="3">
        <f>SUMIF(support!C:C,A20,support!K:K)</f>
        <v>0</v>
      </c>
      <c r="E20" s="107">
        <f>SUMIF(support!C:C,A20,support!L:L)</f>
        <v>2</v>
      </c>
      <c r="F20" s="3"/>
      <c r="G20" s="31" t="b">
        <f t="shared" si="0"/>
        <v>0</v>
      </c>
    </row>
    <row r="21" spans="1:7" x14ac:dyDescent="0.2">
      <c r="A21" s="25" t="s">
        <v>87</v>
      </c>
      <c r="B21" s="30">
        <f>SUMIF(support!C:C,A21,support!I:I)</f>
        <v>0</v>
      </c>
      <c r="C21" s="3">
        <f>SUMIF(support!C:C,A21,support!J:J)</f>
        <v>0</v>
      </c>
      <c r="D21" s="3">
        <f>SUMIF(support!C:C,A21,support!K:K)</f>
        <v>0</v>
      </c>
      <c r="E21" s="107">
        <f>SUMIF(support!C:C,A21,support!L:L)</f>
        <v>1</v>
      </c>
      <c r="F21" s="3"/>
      <c r="G21" s="31" t="b">
        <f t="shared" si="0"/>
        <v>0</v>
      </c>
    </row>
    <row r="22" spans="1:7" x14ac:dyDescent="0.2">
      <c r="A22" s="25" t="s">
        <v>82</v>
      </c>
      <c r="B22" s="30">
        <f>SUMIF(support!C:C,A22,support!I:I)</f>
        <v>0</v>
      </c>
      <c r="C22" s="3">
        <f>SUMIF(support!C:C,A22,support!J:J)</f>
        <v>2.2180147171874998E-2</v>
      </c>
      <c r="D22" s="3">
        <f>SUMIF(support!C:C,A22,support!K:K)</f>
        <v>0</v>
      </c>
      <c r="E22" s="107">
        <f>SUMIF(support!C:C,A22,support!L:L)</f>
        <v>3</v>
      </c>
      <c r="F22" s="3"/>
      <c r="G22" s="31" t="b">
        <f t="shared" si="0"/>
        <v>0</v>
      </c>
    </row>
    <row r="23" spans="1:7" x14ac:dyDescent="0.2">
      <c r="A23" s="25" t="s">
        <v>331</v>
      </c>
      <c r="B23" s="30">
        <f>SUMIF(support!C:C,A23,support!I:I)</f>
        <v>0</v>
      </c>
      <c r="C23" s="3">
        <f>SUMIF(support!C:C,A23,support!J:J)</f>
        <v>0</v>
      </c>
      <c r="D23" s="3">
        <f>SUMIF(support!C:C,A23,support!K:K)</f>
        <v>0</v>
      </c>
      <c r="E23" s="107">
        <f>SUMIF(support!C:C,A23,support!L:L)</f>
        <v>1</v>
      </c>
      <c r="F23" s="3"/>
      <c r="G23" s="31" t="b">
        <f t="shared" si="0"/>
        <v>0</v>
      </c>
    </row>
    <row r="24" spans="1:7" x14ac:dyDescent="0.2">
      <c r="A24" s="25" t="s">
        <v>94</v>
      </c>
      <c r="B24" s="30">
        <f>SUMIF(support!C:C,A24,support!I:I)</f>
        <v>0</v>
      </c>
      <c r="C24" s="3">
        <f>SUMIF(support!C:C,A24,support!J:J)</f>
        <v>0</v>
      </c>
      <c r="D24" s="3">
        <f>SUMIF(support!C:C,A24,support!K:K)</f>
        <v>2.5</v>
      </c>
      <c r="E24" s="107">
        <f>SUMIF(support!C:C,A24,support!L:L)</f>
        <v>1</v>
      </c>
      <c r="F24" s="3"/>
      <c r="G24" s="31" t="b">
        <f t="shared" si="0"/>
        <v>0</v>
      </c>
    </row>
    <row r="25" spans="1:7" x14ac:dyDescent="0.2">
      <c r="A25" s="25" t="s">
        <v>330</v>
      </c>
      <c r="B25" s="30">
        <f>SUMIF(support!C:C,A25,support!I:I)</f>
        <v>0</v>
      </c>
      <c r="C25" s="3">
        <f>SUMIF(support!C:C,A25,support!J:J)</f>
        <v>0</v>
      </c>
      <c r="D25" s="3">
        <f>SUMIF(support!C:C,A25,support!K:K)</f>
        <v>0</v>
      </c>
      <c r="E25" s="107">
        <f>SUMIF(support!C:C,A25,support!L:L)</f>
        <v>1</v>
      </c>
      <c r="F25" s="3"/>
      <c r="G25" s="31" t="b">
        <f t="shared" si="0"/>
        <v>0</v>
      </c>
    </row>
    <row r="26" spans="1:7" x14ac:dyDescent="0.2">
      <c r="A26" s="25" t="s">
        <v>95</v>
      </c>
      <c r="B26" s="30">
        <f>SUMIF(support!C:C,A26,support!I:I)</f>
        <v>0</v>
      </c>
      <c r="C26" s="3">
        <f>SUMIF(support!C:C,A26,support!J:J)</f>
        <v>0</v>
      </c>
      <c r="D26" s="3">
        <f>SUMIF(support!C:C,A26,support!K:K)</f>
        <v>2.5</v>
      </c>
      <c r="E26" s="107">
        <f>SUMIF(support!C:C,A26,support!L:L)</f>
        <v>1</v>
      </c>
      <c r="F26" s="3"/>
      <c r="G26" s="31" t="b">
        <f t="shared" si="0"/>
        <v>0</v>
      </c>
    </row>
    <row r="27" spans="1:7" x14ac:dyDescent="0.2">
      <c r="A27" s="25" t="s">
        <v>10</v>
      </c>
      <c r="B27" s="30">
        <f>SUMIF(support!C:C,A27,support!I:I)</f>
        <v>2.5000053169141483E-2</v>
      </c>
      <c r="C27" s="3">
        <f>SUMIF(support!C:C,A27,support!J:J)</f>
        <v>0</v>
      </c>
      <c r="D27" s="3">
        <f>SUMIF(support!C:C,A27,support!K:K)</f>
        <v>0</v>
      </c>
      <c r="E27" s="107">
        <f>SUMIF(support!C:C,A27,support!L:L)</f>
        <v>1</v>
      </c>
      <c r="F27" s="3"/>
      <c r="G27" s="31" t="b">
        <f t="shared" si="0"/>
        <v>0</v>
      </c>
    </row>
    <row r="28" spans="1:7" x14ac:dyDescent="0.2">
      <c r="A28" s="25" t="s">
        <v>72</v>
      </c>
      <c r="B28" s="30">
        <f>SUMIF(support!C:C,A28,support!I:I)</f>
        <v>0</v>
      </c>
      <c r="C28" s="3">
        <f>SUMIF(support!C:C,A28,support!J:J)</f>
        <v>0</v>
      </c>
      <c r="D28" s="3">
        <f>SUMIF(support!C:C,A28,support!K:K)</f>
        <v>29</v>
      </c>
      <c r="E28" s="107">
        <f>SUMIF(support!C:C,A28,support!L:L)</f>
        <v>6</v>
      </c>
      <c r="F28" s="3"/>
      <c r="G28" s="31" t="b">
        <f t="shared" si="0"/>
        <v>0</v>
      </c>
    </row>
    <row r="29" spans="1:7" x14ac:dyDescent="0.2">
      <c r="A29" s="25" t="s">
        <v>73</v>
      </c>
      <c r="B29" s="30">
        <f>SUMIF(support!C:C,A29,support!I:I)</f>
        <v>0</v>
      </c>
      <c r="C29" s="3">
        <f>SUMIF(support!C:C,A29,support!J:J)</f>
        <v>0.42142279626562501</v>
      </c>
      <c r="D29" s="3">
        <f>SUMIF(support!C:C,A29,support!K:K)</f>
        <v>0</v>
      </c>
      <c r="E29" s="107">
        <f>SUMIF(support!C:C,A29,support!L:L)</f>
        <v>8</v>
      </c>
      <c r="F29" s="3"/>
      <c r="G29" s="31" t="b">
        <f t="shared" si="0"/>
        <v>0</v>
      </c>
    </row>
    <row r="30" spans="1:7" x14ac:dyDescent="0.2">
      <c r="A30" s="25" t="s">
        <v>201</v>
      </c>
      <c r="B30" s="30">
        <f>SUMIF(support!C:C,A30,support!I:I)</f>
        <v>0</v>
      </c>
      <c r="C30" s="3">
        <f>SUMIF(support!C:C,A30,support!J:J)</f>
        <v>0.17744117737499998</v>
      </c>
      <c r="D30" s="3">
        <f>SUMIF(support!C:C,A30,support!K:K)</f>
        <v>0</v>
      </c>
      <c r="E30" s="107">
        <f>SUMIF(support!C:C,A30,support!L:L)</f>
        <v>1</v>
      </c>
      <c r="F30" s="109" t="s">
        <v>195</v>
      </c>
      <c r="G30" s="36" t="b">
        <f t="shared" si="0"/>
        <v>0</v>
      </c>
    </row>
    <row r="31" spans="1:7" x14ac:dyDescent="0.2">
      <c r="A31" s="25" t="s">
        <v>187</v>
      </c>
      <c r="B31" s="30">
        <f>SUMIF(support!C:C,A31,support!I:I)</f>
        <v>0.75</v>
      </c>
      <c r="C31" s="3">
        <f>SUMIF(support!C:C,A31,support!J:J)</f>
        <v>0</v>
      </c>
      <c r="D31" s="3">
        <f>SUMIF(support!C:C,A31,support!K:K)</f>
        <v>0</v>
      </c>
      <c r="E31" s="107">
        <f>SUMIF(support!C:C,A31,support!L:L)</f>
        <v>1</v>
      </c>
      <c r="F31" s="7" t="s">
        <v>188</v>
      </c>
      <c r="G31" s="31" t="b">
        <f t="shared" si="0"/>
        <v>0</v>
      </c>
    </row>
    <row r="32" spans="1:7" s="35" customFormat="1" x14ac:dyDescent="0.2">
      <c r="A32" s="25" t="s">
        <v>170</v>
      </c>
      <c r="B32" s="30">
        <f>SUMIF(support!C:C,A32,support!I:I)</f>
        <v>0</v>
      </c>
      <c r="C32" s="3">
        <f>SUMIF(support!C:C,A32,support!J:J)</f>
        <v>0</v>
      </c>
      <c r="D32" s="3">
        <f>SUMIF(support!C:C,A32,support!K:K)</f>
        <v>3.3</v>
      </c>
      <c r="E32" s="107">
        <f>SUMIF(support!C:C,A32,support!L:L)</f>
        <v>2</v>
      </c>
      <c r="F32" s="3"/>
      <c r="G32" s="31" t="b">
        <f t="shared" si="0"/>
        <v>0</v>
      </c>
    </row>
    <row r="33" spans="1:7" s="35" customFormat="1" x14ac:dyDescent="0.2">
      <c r="A33" s="25" t="s">
        <v>49</v>
      </c>
      <c r="B33" s="30">
        <f>SUMIF(support!C:C,A33,support!I:I)</f>
        <v>0</v>
      </c>
      <c r="C33" s="3">
        <f>SUMIF(support!C:C,A33,support!J:J)</f>
        <v>0</v>
      </c>
      <c r="D33" s="3">
        <f>SUMIF(support!C:C,A33,support!K:K)</f>
        <v>2.5</v>
      </c>
      <c r="E33" s="107">
        <f>SUMIF(support!C:C,A33,support!L:L)</f>
        <v>1</v>
      </c>
      <c r="F33" s="3"/>
      <c r="G33" s="31" t="b">
        <f t="shared" si="0"/>
        <v>0</v>
      </c>
    </row>
    <row r="34" spans="1:7" x14ac:dyDescent="0.2">
      <c r="A34" s="25" t="s">
        <v>83</v>
      </c>
      <c r="B34" s="30">
        <f>SUMIF(support!C:C,A34,support!I:I)</f>
        <v>0</v>
      </c>
      <c r="C34" s="3">
        <f>SUMIF(support!C:C,A34,support!J:J)</f>
        <v>0</v>
      </c>
      <c r="D34" s="3">
        <f>SUMIF(support!C:C,A34,support!K:K)</f>
        <v>0</v>
      </c>
      <c r="E34" s="107">
        <f>SUMIF(support!C:C,A34,support!L:L)</f>
        <v>4</v>
      </c>
      <c r="F34" s="3"/>
      <c r="G34" s="31" t="b">
        <f t="shared" si="0"/>
        <v>0</v>
      </c>
    </row>
    <row r="35" spans="1:7" x14ac:dyDescent="0.2">
      <c r="A35" s="25" t="s">
        <v>161</v>
      </c>
      <c r="B35" s="30">
        <f>SUMIF(support!C:C,A35,support!I:I)</f>
        <v>0</v>
      </c>
      <c r="C35" s="3">
        <f>SUMIF(support!C:C,A35,support!J:J)</f>
        <v>3.3270220757812496E-2</v>
      </c>
      <c r="D35" s="3">
        <f>SUMIF(support!C:C,A35,support!K:K)</f>
        <v>0</v>
      </c>
      <c r="E35" s="107">
        <f>SUMIF(support!C:C,A35,support!L:L)</f>
        <v>2</v>
      </c>
      <c r="F35" s="3"/>
      <c r="G35" s="31" t="b">
        <f t="shared" si="0"/>
        <v>0</v>
      </c>
    </row>
    <row r="36" spans="1:7" s="35" customFormat="1" x14ac:dyDescent="0.2">
      <c r="A36" s="25" t="s">
        <v>14</v>
      </c>
      <c r="B36" s="30">
        <f>SUMIF(support!C:C,A36,support!I:I)</f>
        <v>2.5666721253651922E-2</v>
      </c>
      <c r="C36" s="3">
        <f>SUMIF(support!C:C,A36,support!J:J)</f>
        <v>0</v>
      </c>
      <c r="D36" s="3">
        <f>SUMIF(support!C:C,A36,support!K:K)</f>
        <v>0</v>
      </c>
      <c r="E36" s="107">
        <f>SUMIF(support!C:C,A36,support!L:L)</f>
        <v>3</v>
      </c>
      <c r="F36" s="3"/>
      <c r="G36" s="31" t="b">
        <f t="shared" si="0"/>
        <v>0</v>
      </c>
    </row>
    <row r="37" spans="1:7" x14ac:dyDescent="0.2">
      <c r="A37" s="25" t="s">
        <v>326</v>
      </c>
      <c r="B37" s="30">
        <f>SUMIF(support!C:C,A37,support!I:I)</f>
        <v>6.9222369441667306E-2</v>
      </c>
      <c r="C37" s="3">
        <f>SUMIF(support!C:C,A37,support!J:J)</f>
        <v>0</v>
      </c>
      <c r="D37" s="3">
        <f>SUMIF(support!C:C,A37,support!K:K)</f>
        <v>0</v>
      </c>
      <c r="E37" s="107">
        <f>SUMIF(support!C:C,A37,support!L:L)</f>
        <v>6</v>
      </c>
      <c r="F37" s="3"/>
      <c r="G37" s="31" t="b">
        <f t="shared" si="0"/>
        <v>0</v>
      </c>
    </row>
    <row r="38" spans="1:7" x14ac:dyDescent="0.2">
      <c r="A38" s="25" t="s">
        <v>3</v>
      </c>
      <c r="B38" s="30">
        <f>SUMIF(support!C:C,A38,support!I:I)</f>
        <v>7.2249999999999996</v>
      </c>
      <c r="C38" s="3">
        <f>SUMIF(support!C:C,A38,support!J:J)</f>
        <v>0.70976470949999992</v>
      </c>
      <c r="D38" s="3">
        <f>SUMIF(support!C:C,A38,support!K:K)</f>
        <v>0</v>
      </c>
      <c r="E38" s="107">
        <f>SUMIF(support!C:C,A38,support!L:L)</f>
        <v>4</v>
      </c>
      <c r="F38" s="3"/>
      <c r="G38" s="31" t="b">
        <f t="shared" si="0"/>
        <v>1</v>
      </c>
    </row>
    <row r="39" spans="1:7" x14ac:dyDescent="0.2">
      <c r="A39" s="25" t="s">
        <v>167</v>
      </c>
      <c r="B39" s="30">
        <f>SUMIF(support!C:C,A39,support!I:I)</f>
        <v>0</v>
      </c>
      <c r="C39" s="3">
        <f>SUMIF(support!C:C,A39,support!J:J)</f>
        <v>0</v>
      </c>
      <c r="D39" s="3">
        <f>SUMIF(support!C:C,A39,support!K:K)</f>
        <v>1.25</v>
      </c>
      <c r="E39" s="107">
        <f>SUMIF(support!C:C,A39,support!L:L)</f>
        <v>1</v>
      </c>
      <c r="F39" s="3"/>
      <c r="G39" s="31" t="b">
        <f t="shared" si="0"/>
        <v>0</v>
      </c>
    </row>
    <row r="40" spans="1:7" x14ac:dyDescent="0.2">
      <c r="A40" s="25" t="s">
        <v>171</v>
      </c>
      <c r="B40" s="30">
        <f>SUMIF(support!C:C,A40,support!I:I)</f>
        <v>5.5703999999999994</v>
      </c>
      <c r="C40" s="3">
        <f>SUMIF(support!C:C,A40,support!J:J)</f>
        <v>0</v>
      </c>
      <c r="D40" s="3">
        <f>SUMIF(support!C:C,A40,support!K:K)</f>
        <v>0</v>
      </c>
      <c r="E40" s="107">
        <f>SUMIF(support!C:C,A40,support!L:L)</f>
        <v>1</v>
      </c>
      <c r="F40" s="3"/>
      <c r="G40" s="31" t="b">
        <f t="shared" si="0"/>
        <v>0</v>
      </c>
    </row>
    <row r="41" spans="1:7" s="35" customFormat="1" x14ac:dyDescent="0.2">
      <c r="A41" s="25" t="s">
        <v>186</v>
      </c>
      <c r="B41" s="30">
        <f>SUMIF(support!C:C,A41,support!I:I)</f>
        <v>0</v>
      </c>
      <c r="C41" s="3">
        <f>SUMIF(support!C:C,A41,support!J:J)</f>
        <v>0</v>
      </c>
      <c r="D41" s="3">
        <f>SUMIF(support!C:C,A41,support!K:K)</f>
        <v>3</v>
      </c>
      <c r="E41" s="107">
        <f>SUMIF(support!C:C,A41,support!L:L)</f>
        <v>1</v>
      </c>
      <c r="F41" s="3"/>
      <c r="G41" s="31" t="b">
        <f t="shared" si="0"/>
        <v>0</v>
      </c>
    </row>
    <row r="42" spans="1:7" s="35" customFormat="1" x14ac:dyDescent="0.2">
      <c r="A42" s="25" t="s">
        <v>63</v>
      </c>
      <c r="B42" s="30">
        <f>SUMIF(support!C:C,A42,support!I:I)</f>
        <v>0</v>
      </c>
      <c r="C42" s="3">
        <f>SUMIF(support!C:C,A42,support!J:J)</f>
        <v>4.8056985539062499E-2</v>
      </c>
      <c r="D42" s="3">
        <f>SUMIF(support!C:C,A42,support!K:K)</f>
        <v>0</v>
      </c>
      <c r="E42" s="107">
        <f>SUMIF(support!C:C,A42,support!L:L)</f>
        <v>1</v>
      </c>
      <c r="F42" s="3"/>
      <c r="G42" s="31" t="b">
        <f t="shared" si="0"/>
        <v>0</v>
      </c>
    </row>
    <row r="43" spans="1:7" x14ac:dyDescent="0.2">
      <c r="A43" s="25" t="s">
        <v>79</v>
      </c>
      <c r="B43" s="30">
        <f>SUMIF(support!C:C,A43,support!I:I)</f>
        <v>0</v>
      </c>
      <c r="C43" s="3">
        <f>SUMIF(support!C:C,A43,support!J:J)</f>
        <v>5.9147059124999998E-2</v>
      </c>
      <c r="D43" s="3">
        <f>SUMIF(support!C:C,A43,support!K:K)</f>
        <v>0</v>
      </c>
      <c r="E43" s="107">
        <f>SUMIF(support!C:C,A43,support!L:L)</f>
        <v>1</v>
      </c>
      <c r="F43" s="3"/>
      <c r="G43" s="31" t="b">
        <f t="shared" si="0"/>
        <v>0</v>
      </c>
    </row>
    <row r="44" spans="1:7" x14ac:dyDescent="0.2">
      <c r="A44" s="25" t="s">
        <v>46</v>
      </c>
      <c r="B44" s="30">
        <f>SUMIF(support!C:C,A44,support!I:I)</f>
        <v>0</v>
      </c>
      <c r="C44" s="3">
        <f>SUMIF(support!C:C,A44,support!J:J)</f>
        <v>0.46578309060937501</v>
      </c>
      <c r="D44" s="3">
        <f>SUMIF(support!C:C,A44,support!K:K)</f>
        <v>0</v>
      </c>
      <c r="E44" s="107">
        <f>SUMIF(support!C:C,A44,support!L:L)</f>
        <v>7</v>
      </c>
      <c r="F44" s="3"/>
      <c r="G44" s="31" t="b">
        <f t="shared" si="0"/>
        <v>0</v>
      </c>
    </row>
    <row r="45" spans="1:7" x14ac:dyDescent="0.2">
      <c r="A45" s="25" t="s">
        <v>80</v>
      </c>
      <c r="B45" s="30">
        <f>SUMIF(support!C:C,A45,support!I:I)</f>
        <v>0</v>
      </c>
      <c r="C45" s="3">
        <f>SUMIF(support!C:C,A45,support!J:J)</f>
        <v>5.9147059124999998E-2</v>
      </c>
      <c r="D45" s="3">
        <f>SUMIF(support!C:C,A45,support!K:K)</f>
        <v>0</v>
      </c>
      <c r="E45" s="107">
        <f>SUMIF(support!C:C,A45,support!L:L)</f>
        <v>1</v>
      </c>
      <c r="F45" s="3"/>
      <c r="G45" s="31" t="b">
        <f t="shared" si="0"/>
        <v>0</v>
      </c>
    </row>
    <row r="46" spans="1:7" x14ac:dyDescent="0.2">
      <c r="A46" s="25" t="s">
        <v>69</v>
      </c>
      <c r="B46" s="30">
        <f>SUMIF(support!C:C,A46,support!I:I)</f>
        <v>1.5725000000000002</v>
      </c>
      <c r="C46" s="3">
        <f>SUMIF(support!C:C,A46,support!J:J)</f>
        <v>0</v>
      </c>
      <c r="D46" s="3">
        <f>SUMIF(support!C:C,A46,support!K:K)</f>
        <v>0</v>
      </c>
      <c r="E46" s="107">
        <f>SUMIF(support!C:C,A46,support!L:L)</f>
        <v>4</v>
      </c>
      <c r="F46" s="3"/>
      <c r="G46" s="31" t="b">
        <f t="shared" si="0"/>
        <v>0</v>
      </c>
    </row>
    <row r="47" spans="1:7" x14ac:dyDescent="0.2">
      <c r="A47" s="25" t="s">
        <v>107</v>
      </c>
      <c r="B47" s="30">
        <f>SUMIF(support!C:C,A47,support!I:I)</f>
        <v>7.3333489296148356E-3</v>
      </c>
      <c r="C47" s="3">
        <f>SUMIF(support!C:C,A47,support!J:J)</f>
        <v>0</v>
      </c>
      <c r="D47" s="3">
        <f>SUMIF(support!C:C,A47,support!K:K)</f>
        <v>0</v>
      </c>
      <c r="E47" s="107">
        <f>SUMIF(support!C:C,A47,support!L:L)</f>
        <v>1</v>
      </c>
      <c r="F47" s="3"/>
      <c r="G47" s="31" t="b">
        <f t="shared" si="0"/>
        <v>0</v>
      </c>
    </row>
    <row r="48" spans="1:7" x14ac:dyDescent="0.2">
      <c r="A48" s="25" t="s">
        <v>112</v>
      </c>
      <c r="B48" s="30">
        <f>SUMIF(support!C:C,A48,support!I:I)</f>
        <v>0</v>
      </c>
      <c r="C48" s="3">
        <f>SUMIF(support!C:C,A48,support!J:J)</f>
        <v>0.70976470949999992</v>
      </c>
      <c r="D48" s="3">
        <f>SUMIF(support!C:C,A48,support!K:K)</f>
        <v>0</v>
      </c>
      <c r="E48" s="107">
        <f>SUMIF(support!C:C,A48,support!L:L)</f>
        <v>2</v>
      </c>
      <c r="F48" s="3"/>
      <c r="G48" s="31" t="b">
        <f t="shared" si="0"/>
        <v>0</v>
      </c>
    </row>
    <row r="49" spans="1:7" x14ac:dyDescent="0.2">
      <c r="A49" s="25" t="s">
        <v>124</v>
      </c>
      <c r="B49" s="30">
        <f>SUMIF(support!C:C,A49,support!I:I)</f>
        <v>0</v>
      </c>
      <c r="C49" s="3">
        <f>SUMIF(support!C:C,A49,support!J:J)</f>
        <v>0.23658823649999999</v>
      </c>
      <c r="D49" s="3">
        <f>SUMIF(support!C:C,A49,support!K:K)</f>
        <v>0</v>
      </c>
      <c r="E49" s="107">
        <f>SUMIF(support!C:C,A49,support!L:L)</f>
        <v>1</v>
      </c>
      <c r="F49" s="3"/>
      <c r="G49" s="31" t="b">
        <f t="shared" si="0"/>
        <v>0</v>
      </c>
    </row>
    <row r="50" spans="1:7" s="35" customFormat="1" x14ac:dyDescent="0.2">
      <c r="A50" s="25" t="s">
        <v>70</v>
      </c>
      <c r="B50" s="30">
        <f>SUMIF(support!C:C,A50,support!I:I)</f>
        <v>4.6749999999999998</v>
      </c>
      <c r="C50" s="3">
        <f>SUMIF(support!C:C,A50,support!J:J)</f>
        <v>0</v>
      </c>
      <c r="D50" s="3">
        <f>SUMIF(support!C:C,A50,support!K:K)</f>
        <v>0</v>
      </c>
      <c r="E50" s="107">
        <f>SUMIF(support!C:C,A50,support!L:L)</f>
        <v>3</v>
      </c>
      <c r="F50" s="3"/>
      <c r="G50" s="31" t="b">
        <f t="shared" si="0"/>
        <v>0</v>
      </c>
    </row>
    <row r="51" spans="1:7" s="35" customFormat="1" x14ac:dyDescent="0.2">
      <c r="A51" s="25" t="s">
        <v>410</v>
      </c>
      <c r="B51" s="30">
        <f>SUMIF(support!C:C,A51,support!I:I)</f>
        <v>0.2675812954815</v>
      </c>
      <c r="C51" s="3">
        <f>SUMIF(support!C:C,A51,support!J:J)</f>
        <v>0</v>
      </c>
      <c r="D51" s="3">
        <f>SUMIF(support!C:C,A51,support!K:K)</f>
        <v>0</v>
      </c>
      <c r="E51" s="107">
        <f>SUMIF(support!C:C,A51,support!L:L)</f>
        <v>1</v>
      </c>
      <c r="F51" s="3"/>
      <c r="G51" s="31" t="b">
        <f t="shared" si="0"/>
        <v>0</v>
      </c>
    </row>
    <row r="52" spans="1:7" s="35" customFormat="1" x14ac:dyDescent="0.2">
      <c r="A52" s="25" t="s">
        <v>11</v>
      </c>
      <c r="B52" s="30">
        <f>SUMIF(support!C:C,A52,support!I:I)</f>
        <v>5.6944565551933383E-2</v>
      </c>
      <c r="C52" s="3">
        <f>SUMIF(support!C:C,A52,support!J:J)</f>
        <v>0</v>
      </c>
      <c r="D52" s="3">
        <f>SUMIF(support!C:C,A52,support!K:K)</f>
        <v>0</v>
      </c>
      <c r="E52" s="107">
        <f>SUMIF(support!C:C,A52,support!L:L)</f>
        <v>10</v>
      </c>
      <c r="F52" s="3"/>
      <c r="G52" s="31" t="b">
        <f t="shared" si="0"/>
        <v>0</v>
      </c>
    </row>
    <row r="53" spans="1:7" s="35" customFormat="1" x14ac:dyDescent="0.2">
      <c r="A53" s="25" t="s">
        <v>178</v>
      </c>
      <c r="B53" s="30">
        <f>SUMIF(support!C:C,A53,support!I:I)</f>
        <v>0</v>
      </c>
      <c r="C53" s="3">
        <f>SUMIF(support!C:C,A53,support!J:J)</f>
        <v>9.2417279882812495E-2</v>
      </c>
      <c r="D53" s="3">
        <f>SUMIF(support!C:C,A53,support!K:K)</f>
        <v>0</v>
      </c>
      <c r="E53" s="107">
        <f>SUMIF(support!C:C,A53,support!L:L)</f>
        <v>1</v>
      </c>
      <c r="F53" s="3"/>
      <c r="G53" s="31" t="b">
        <f t="shared" si="0"/>
        <v>0</v>
      </c>
    </row>
    <row r="54" spans="1:7" s="35" customFormat="1" x14ac:dyDescent="0.2">
      <c r="A54" s="25" t="s">
        <v>96</v>
      </c>
      <c r="B54" s="30">
        <f>SUMIF(support!C:C,A54,support!I:I)</f>
        <v>0.75</v>
      </c>
      <c r="C54" s="3">
        <f>SUMIF(support!C:C,A54,support!J:J)</f>
        <v>0</v>
      </c>
      <c r="D54" s="3">
        <f>SUMIF(support!C:C,A54,support!K:K)</f>
        <v>14.25</v>
      </c>
      <c r="E54" s="107">
        <f>SUMIF(support!C:C,A54,support!L:L)</f>
        <v>3</v>
      </c>
      <c r="F54" s="3"/>
      <c r="G54" s="31" t="b">
        <f t="shared" si="0"/>
        <v>1</v>
      </c>
    </row>
    <row r="55" spans="1:7" s="35" customFormat="1" x14ac:dyDescent="0.2">
      <c r="A55" s="25" t="s">
        <v>122</v>
      </c>
      <c r="B55" s="30">
        <f>SUMIF(support!C:C,A55,support!I:I)</f>
        <v>0</v>
      </c>
      <c r="C55" s="3">
        <f>SUMIF(support!C:C,A55,support!J:J)</f>
        <v>5.9147059124999998E-2</v>
      </c>
      <c r="D55" s="3">
        <f>SUMIF(support!C:C,A55,support!K:K)</f>
        <v>0</v>
      </c>
      <c r="E55" s="107">
        <f>SUMIF(support!C:C,A55,support!L:L)</f>
        <v>1</v>
      </c>
      <c r="F55" s="109" t="s">
        <v>195</v>
      </c>
      <c r="G55" s="36" t="b">
        <f t="shared" si="0"/>
        <v>0</v>
      </c>
    </row>
    <row r="56" spans="1:7" x14ac:dyDescent="0.2">
      <c r="A56" s="25" t="s">
        <v>302</v>
      </c>
      <c r="B56" s="30">
        <f>SUMIF(support!C:C,A56,support!I:I)</f>
        <v>0</v>
      </c>
      <c r="C56" s="3">
        <f>SUMIF(support!C:C,A56,support!J:J)</f>
        <v>0.47317647299999999</v>
      </c>
      <c r="D56" s="3">
        <f>SUMIF(support!C:C,A56,support!K:K)</f>
        <v>0</v>
      </c>
      <c r="E56" s="107">
        <f>SUMIF(support!C:C,A56,support!L:L)</f>
        <v>1</v>
      </c>
      <c r="F56" s="3"/>
      <c r="G56" s="31" t="b">
        <f t="shared" si="0"/>
        <v>0</v>
      </c>
    </row>
    <row r="57" spans="1:7" s="35" customFormat="1" x14ac:dyDescent="0.2">
      <c r="A57" s="25" t="s">
        <v>413</v>
      </c>
      <c r="B57" s="30">
        <f>SUMIF(support!C:C,A57,support!I:I)</f>
        <v>0</v>
      </c>
      <c r="C57" s="3">
        <f>SUMIF(support!C:C,A57,support!J:J)</f>
        <v>0.35488235474999996</v>
      </c>
      <c r="D57" s="3">
        <f>SUMIF(support!C:C,A57,support!K:K)</f>
        <v>0</v>
      </c>
      <c r="E57" s="107">
        <f>SUMIF(support!C:C,A57,support!L:L)</f>
        <v>1</v>
      </c>
      <c r="F57" s="3"/>
      <c r="G57" s="31" t="b">
        <f t="shared" si="0"/>
        <v>0</v>
      </c>
    </row>
    <row r="58" spans="1:7" x14ac:dyDescent="0.2">
      <c r="A58" s="25" t="s">
        <v>332</v>
      </c>
      <c r="B58" s="30">
        <f>SUMIF(support!C:C,A58,support!I:I)</f>
        <v>0</v>
      </c>
      <c r="C58" s="3">
        <f>SUMIF(support!C:C,A58,support!J:J)</f>
        <v>0</v>
      </c>
      <c r="D58" s="3">
        <f>SUMIF(support!C:C,A58,support!K:K)</f>
        <v>0</v>
      </c>
      <c r="E58" s="107">
        <f>SUMIF(support!C:C,A58,support!L:L)</f>
        <v>1</v>
      </c>
      <c r="F58" s="3"/>
      <c r="G58" s="31" t="b">
        <f t="shared" si="0"/>
        <v>0</v>
      </c>
    </row>
    <row r="59" spans="1:7" x14ac:dyDescent="0.2">
      <c r="A59" s="25" t="s">
        <v>301</v>
      </c>
      <c r="B59" s="30">
        <f>SUMIF(support!C:C,A59,support!I:I)</f>
        <v>0</v>
      </c>
      <c r="C59" s="3">
        <f>SUMIF(support!C:C,A59,support!J:J)</f>
        <v>2.9573529562499999E-2</v>
      </c>
      <c r="D59" s="3">
        <f>SUMIF(support!C:C,A59,support!K:K)</f>
        <v>0</v>
      </c>
      <c r="E59" s="107">
        <f>SUMIF(support!C:C,A59,support!L:L)</f>
        <v>1</v>
      </c>
      <c r="F59" s="3"/>
      <c r="G59" s="31" t="b">
        <f t="shared" si="0"/>
        <v>0</v>
      </c>
    </row>
    <row r="60" spans="1:7" x14ac:dyDescent="0.2">
      <c r="A60" s="25" t="s">
        <v>176</v>
      </c>
      <c r="B60" s="30">
        <f>SUMIF(support!C:C,A60,support!I:I)</f>
        <v>0</v>
      </c>
      <c r="C60" s="3">
        <f>SUMIF(support!C:C,A60,support!J:J)</f>
        <v>4.4360294343749995E-2</v>
      </c>
      <c r="D60" s="3">
        <f>SUMIF(support!C:C,A60,support!K:K)</f>
        <v>0</v>
      </c>
      <c r="E60" s="107">
        <f>SUMIF(support!C:C,A60,support!L:L)</f>
        <v>1</v>
      </c>
      <c r="F60" s="3"/>
      <c r="G60" s="31" t="b">
        <f t="shared" si="0"/>
        <v>0</v>
      </c>
    </row>
    <row r="61" spans="1:7" s="35" customFormat="1" x14ac:dyDescent="0.2">
      <c r="A61" s="25" t="s">
        <v>179</v>
      </c>
      <c r="B61" s="30">
        <f>SUMIF(support!C:C,A61,support!I:I)</f>
        <v>0</v>
      </c>
      <c r="C61" s="3">
        <f>SUMIF(support!C:C,A61,support!J:J)</f>
        <v>4.4360294343749995E-2</v>
      </c>
      <c r="D61" s="3">
        <f>SUMIF(support!C:C,A61,support!K:K)</f>
        <v>0</v>
      </c>
      <c r="E61" s="107">
        <f>SUMIF(support!C:C,A61,support!L:L)</f>
        <v>2</v>
      </c>
      <c r="F61" s="3"/>
      <c r="G61" s="31" t="b">
        <f t="shared" si="0"/>
        <v>0</v>
      </c>
    </row>
    <row r="62" spans="1:7" x14ac:dyDescent="0.2">
      <c r="A62" s="25" t="s">
        <v>184</v>
      </c>
      <c r="B62" s="30">
        <f>SUMIF(support!C:C,A62,support!I:I)</f>
        <v>0</v>
      </c>
      <c r="C62" s="3">
        <f>SUMIF(support!C:C,A62,support!J:J)</f>
        <v>0</v>
      </c>
      <c r="D62" s="3">
        <f>SUMIF(support!C:C,A62,support!K:K)</f>
        <v>3.75</v>
      </c>
      <c r="E62" s="107">
        <f>SUMIF(support!C:C,A62,support!L:L)</f>
        <v>1</v>
      </c>
      <c r="F62" s="3" t="s">
        <v>185</v>
      </c>
      <c r="G62" s="31" t="b">
        <f t="shared" si="0"/>
        <v>0</v>
      </c>
    </row>
    <row r="63" spans="1:7" s="35" customFormat="1" x14ac:dyDescent="0.2">
      <c r="A63" s="25" t="s">
        <v>164</v>
      </c>
      <c r="B63" s="30">
        <f>SUMIF(support!C:C,A63,support!I:I)</f>
        <v>0</v>
      </c>
      <c r="C63" s="3">
        <f>SUMIF(support!C:C,A63,support!J:J)</f>
        <v>0</v>
      </c>
      <c r="D63" s="3">
        <f>SUMIF(support!C:C,A63,support!K:K)</f>
        <v>2</v>
      </c>
      <c r="E63" s="107">
        <f>SUMIF(support!C:C,A63,support!L:L)</f>
        <v>1</v>
      </c>
      <c r="F63" s="3"/>
      <c r="G63" s="31" t="b">
        <f t="shared" si="0"/>
        <v>0</v>
      </c>
    </row>
    <row r="64" spans="1:7" x14ac:dyDescent="0.2">
      <c r="A64" s="25" t="s">
        <v>89</v>
      </c>
      <c r="B64" s="30">
        <f>SUMIF(support!C:C,A64,support!I:I)</f>
        <v>0</v>
      </c>
      <c r="C64" s="3">
        <f>SUMIF(support!C:C,A64,support!J:J)</f>
        <v>0</v>
      </c>
      <c r="D64" s="3">
        <f>SUMIF(support!C:C,A64,support!K:K)</f>
        <v>4</v>
      </c>
      <c r="E64" s="107">
        <f>SUMIF(support!C:C,A64,support!L:L)</f>
        <v>1</v>
      </c>
      <c r="F64" s="3"/>
      <c r="G64" s="31" t="b">
        <f t="shared" ref="G64:G77" si="1">OR(COUNTIF(B64:D64, "&lt;&gt;0") &gt; 1, E64 = 0)</f>
        <v>0</v>
      </c>
    </row>
    <row r="65" spans="1:7" s="35" customFormat="1" x14ac:dyDescent="0.2">
      <c r="A65" s="25" t="s">
        <v>47</v>
      </c>
      <c r="B65" s="30">
        <f>SUMIF(support!C:C,A65,support!I:I)</f>
        <v>0</v>
      </c>
      <c r="C65" s="3">
        <f>SUMIF(support!C:C,A65,support!J:J)</f>
        <v>0</v>
      </c>
      <c r="D65" s="3">
        <f>SUMIF(support!C:C,A65,support!K:K)</f>
        <v>4</v>
      </c>
      <c r="E65" s="107">
        <f>SUMIF(support!C:C,A65,support!L:L)</f>
        <v>2</v>
      </c>
      <c r="F65" s="3"/>
      <c r="G65" s="31" t="b">
        <f t="shared" si="1"/>
        <v>0</v>
      </c>
    </row>
    <row r="66" spans="1:7" x14ac:dyDescent="0.2">
      <c r="A66" s="25" t="s">
        <v>114</v>
      </c>
      <c r="B66" s="30">
        <f>SUMIF(support!C:C,A66,support!I:I)</f>
        <v>0</v>
      </c>
      <c r="C66" s="3">
        <f>SUMIF(support!C:C,A66,support!J:J)</f>
        <v>0</v>
      </c>
      <c r="D66" s="3">
        <f>SUMIF(support!C:C,A66,support!K:K)</f>
        <v>4.75</v>
      </c>
      <c r="E66" s="107">
        <f>SUMIF(support!C:C,A66,support!L:L)</f>
        <v>4</v>
      </c>
      <c r="F66" s="3" t="s">
        <v>415</v>
      </c>
      <c r="G66" s="31" t="b">
        <f t="shared" si="1"/>
        <v>0</v>
      </c>
    </row>
    <row r="67" spans="1:7" x14ac:dyDescent="0.2">
      <c r="A67" s="25" t="s">
        <v>125</v>
      </c>
      <c r="B67" s="30">
        <f>SUMIF(support!C:C,A67,support!I:I)</f>
        <v>0</v>
      </c>
      <c r="C67" s="3">
        <f>SUMIF(support!C:C,A67,support!J:J)</f>
        <v>0.8872058868749999</v>
      </c>
      <c r="D67" s="3">
        <f>SUMIF(support!C:C,A67,support!K:K)</f>
        <v>0</v>
      </c>
      <c r="E67" s="107">
        <f>SUMIF(support!C:C,A67,support!L:L)</f>
        <v>2</v>
      </c>
      <c r="F67" s="3" t="s">
        <v>415</v>
      </c>
      <c r="G67" s="31" t="b">
        <f t="shared" si="1"/>
        <v>0</v>
      </c>
    </row>
    <row r="68" spans="1:7" s="35" customFormat="1" x14ac:dyDescent="0.2">
      <c r="A68" s="25" t="s">
        <v>77</v>
      </c>
      <c r="B68" s="30">
        <f>SUMIF(support!C:C,A68,support!I:I)</f>
        <v>0</v>
      </c>
      <c r="C68" s="3">
        <f>SUMIF(support!C:C,A68,support!J:J)</f>
        <v>0</v>
      </c>
      <c r="D68" s="3">
        <f>SUMIF(support!C:C,A68,support!K:K)</f>
        <v>2</v>
      </c>
      <c r="E68" s="107">
        <f>SUMIF(support!C:C,A68,support!L:L)</f>
        <v>1</v>
      </c>
      <c r="F68" s="3"/>
      <c r="G68" s="31" t="b">
        <f t="shared" si="1"/>
        <v>0</v>
      </c>
    </row>
    <row r="69" spans="1:7" x14ac:dyDescent="0.2">
      <c r="A69" s="25" t="s">
        <v>296</v>
      </c>
      <c r="B69" s="30">
        <f>SUMIF(support!C:C,A69,support!I:I)</f>
        <v>0</v>
      </c>
      <c r="C69" s="3">
        <f>SUMIF(support!C:C,A69,support!J:J)</f>
        <v>0.94635294599999997</v>
      </c>
      <c r="D69" s="3">
        <f>SUMIF(support!C:C,A69,support!K:K)</f>
        <v>0</v>
      </c>
      <c r="E69" s="107">
        <f>SUMIF(support!C:C,A69,support!L:L)</f>
        <v>1</v>
      </c>
      <c r="F69" s="7" t="s">
        <v>312</v>
      </c>
      <c r="G69" s="31" t="b">
        <f t="shared" si="1"/>
        <v>0</v>
      </c>
    </row>
    <row r="70" spans="1:7" x14ac:dyDescent="0.2">
      <c r="A70" s="25" t="s">
        <v>66</v>
      </c>
      <c r="B70" s="30">
        <f>SUMIF(support!C:C,A70,support!I:I)</f>
        <v>1.25</v>
      </c>
      <c r="C70" s="3">
        <f>SUMIF(support!C:C,A70,support!J:J)</f>
        <v>1.0646470642499999</v>
      </c>
      <c r="D70" s="3">
        <f>SUMIF(support!C:C,A70,support!K:K)</f>
        <v>2.25</v>
      </c>
      <c r="E70" s="107">
        <f>SUMIF(support!C:C,A70,support!L:L)</f>
        <v>4</v>
      </c>
      <c r="F70" s="3"/>
      <c r="G70" s="31" t="b">
        <f t="shared" si="1"/>
        <v>1</v>
      </c>
    </row>
    <row r="71" spans="1:7" x14ac:dyDescent="0.2">
      <c r="A71" s="25" t="s">
        <v>74</v>
      </c>
      <c r="B71" s="30">
        <f>SUMIF(support!C:C,A71,support!I:I)</f>
        <v>1.7489999999999999</v>
      </c>
      <c r="C71" s="3">
        <f>SUMIF(support!C:C,A71,support!J:J)</f>
        <v>0</v>
      </c>
      <c r="D71" s="3">
        <f>SUMIF(support!C:C,A71,support!K:K)</f>
        <v>0</v>
      </c>
      <c r="E71" s="107">
        <f>SUMIF(support!C:C,A71,support!L:L)</f>
        <v>1</v>
      </c>
      <c r="F71" s="3"/>
      <c r="G71" s="31" t="b">
        <f t="shared" si="1"/>
        <v>0</v>
      </c>
    </row>
    <row r="72" spans="1:7" x14ac:dyDescent="0.2">
      <c r="A72" s="25" t="s">
        <v>61</v>
      </c>
      <c r="B72" s="30">
        <f>SUMIF(support!C:C,A72,support!I:I)</f>
        <v>0</v>
      </c>
      <c r="C72" s="3">
        <f>SUMIF(support!C:C,A72,support!J:J)</f>
        <v>9.9012941489999999</v>
      </c>
      <c r="D72" s="3">
        <f>SUMIF(support!C:C,A72,support!K:K)</f>
        <v>0</v>
      </c>
      <c r="E72" s="107">
        <f>SUMIF(support!C:C,A72,support!L:L)</f>
        <v>5</v>
      </c>
      <c r="F72" s="7" t="s">
        <v>310</v>
      </c>
      <c r="G72" s="31" t="b">
        <f t="shared" si="1"/>
        <v>0</v>
      </c>
    </row>
    <row r="73" spans="1:7" x14ac:dyDescent="0.2">
      <c r="A73" s="25" t="s">
        <v>62</v>
      </c>
      <c r="B73" s="30">
        <f>SUMIF(support!C:C,A73,support!I:I)</f>
        <v>4.675E-2</v>
      </c>
      <c r="C73" s="3">
        <f>SUMIF(support!C:C,A73,support!J:J)</f>
        <v>0</v>
      </c>
      <c r="D73" s="3">
        <f>SUMIF(support!C:C,A73,support!K:K)</f>
        <v>0</v>
      </c>
      <c r="E73" s="107">
        <f>SUMIF(support!C:C,A73,support!L:L)</f>
        <v>1</v>
      </c>
      <c r="F73" s="3"/>
      <c r="G73" s="31" t="b">
        <f t="shared" si="1"/>
        <v>0</v>
      </c>
    </row>
    <row r="74" spans="1:7" x14ac:dyDescent="0.2">
      <c r="A74" s="25" t="s">
        <v>48</v>
      </c>
      <c r="B74" s="30">
        <f>SUMIF(support!C:C,A74,support!I:I)</f>
        <v>6.2317647299999992</v>
      </c>
      <c r="C74" s="3">
        <f>SUMIF(support!C:C,A74,support!J:J)</f>
        <v>0</v>
      </c>
      <c r="D74" s="3">
        <f>SUMIF(support!C:C,A74,support!K:K)</f>
        <v>0</v>
      </c>
      <c r="E74" s="107">
        <f>SUMIF(support!C:C,A74,support!L:L)</f>
        <v>9</v>
      </c>
      <c r="F74" s="3"/>
      <c r="G74" s="31" t="b">
        <f t="shared" si="1"/>
        <v>0</v>
      </c>
    </row>
    <row r="75" spans="1:7" x14ac:dyDescent="0.2">
      <c r="A75" s="25" t="s">
        <v>75</v>
      </c>
      <c r="B75" s="30">
        <f>SUMIF(support!C:C,A75,support!I:I)</f>
        <v>0</v>
      </c>
      <c r="C75" s="3">
        <f>SUMIF(support!C:C,A75,support!J:J)</f>
        <v>0</v>
      </c>
      <c r="D75" s="3">
        <f>SUMIF(support!C:C,A75,support!K:K)</f>
        <v>13.25</v>
      </c>
      <c r="E75" s="107">
        <f>SUMIF(support!C:C,A75,support!L:L)</f>
        <v>1</v>
      </c>
      <c r="F75" s="3"/>
      <c r="G75" s="31" t="b">
        <f t="shared" si="1"/>
        <v>0</v>
      </c>
    </row>
    <row r="76" spans="1:7" x14ac:dyDescent="0.2">
      <c r="A76" s="25" t="s">
        <v>180</v>
      </c>
      <c r="B76" s="30">
        <f>SUMIF(support!C:C,A76,support!I:I)</f>
        <v>0.47125</v>
      </c>
      <c r="C76" s="3">
        <f>SUMIF(support!C:C,A76,support!J:J)</f>
        <v>0</v>
      </c>
      <c r="D76" s="3">
        <f>SUMIF(support!C:C,A76,support!K:K)</f>
        <v>0</v>
      </c>
      <c r="E76" s="107">
        <f>SUMIF(support!C:C,A76,support!L:L)</f>
        <v>1</v>
      </c>
      <c r="F76" s="3"/>
      <c r="G76" s="31" t="b">
        <f t="shared" si="1"/>
        <v>0</v>
      </c>
    </row>
    <row r="77" spans="1:7" ht="13.5" thickBot="1" x14ac:dyDescent="0.25">
      <c r="A77" s="26" t="s">
        <v>71</v>
      </c>
      <c r="B77" s="32">
        <f>SUMIF(support!C:C,A77,support!I:I)</f>
        <v>0</v>
      </c>
      <c r="C77" s="33">
        <f>SUMIF(support!C:C,A77,support!J:J)</f>
        <v>0</v>
      </c>
      <c r="D77" s="33">
        <f>SUMIF(support!C:C,A77,support!K:K)</f>
        <v>10</v>
      </c>
      <c r="E77" s="108">
        <f>SUMIF(support!C:C,A77,support!L:L)</f>
        <v>2</v>
      </c>
      <c r="F77" s="33"/>
      <c r="G77" s="34" t="b">
        <f t="shared" si="1"/>
        <v>0</v>
      </c>
    </row>
    <row r="78" spans="1:7" ht="13.5" thickBot="1" x14ac:dyDescent="0.25">
      <c r="A78" s="10" t="s">
        <v>116</v>
      </c>
    </row>
  </sheetData>
  <sortState ref="A2:G77">
    <sortCondition ref="A2:A77"/>
  </sortState>
  <conditionalFormatting sqref="B16:D31 B56:D67 B33:D49 B1:E1 B78:E1048576 G1 G78:G1048576 B2:D14 B69:D77 E2:E77">
    <cfRule type="cellIs" dxfId="10" priority="27" operator="equal">
      <formula>0</formula>
    </cfRule>
  </conditionalFormatting>
  <conditionalFormatting sqref="B15:D15">
    <cfRule type="cellIs" dxfId="9" priority="26" operator="equal">
      <formula>0</formula>
    </cfRule>
  </conditionalFormatting>
  <conditionalFormatting sqref="B68:D68">
    <cfRule type="cellIs" dxfId="8" priority="25" operator="equal">
      <formula>0</formula>
    </cfRule>
  </conditionalFormatting>
  <conditionalFormatting sqref="B52:D52">
    <cfRule type="cellIs" dxfId="7" priority="24" operator="equal">
      <formula>0</formula>
    </cfRule>
  </conditionalFormatting>
  <conditionalFormatting sqref="B53:D53">
    <cfRule type="cellIs" dxfId="6" priority="23" operator="equal">
      <formula>0</formula>
    </cfRule>
  </conditionalFormatting>
  <conditionalFormatting sqref="B55:D55">
    <cfRule type="cellIs" dxfId="5" priority="22" operator="equal">
      <formula>0</formula>
    </cfRule>
  </conditionalFormatting>
  <conditionalFormatting sqref="B51:D51">
    <cfRule type="cellIs" dxfId="4" priority="21" operator="equal">
      <formula>0</formula>
    </cfRule>
  </conditionalFormatting>
  <conditionalFormatting sqref="B50:D50">
    <cfRule type="cellIs" dxfId="3" priority="19" operator="equal">
      <formula>0</formula>
    </cfRule>
  </conditionalFormatting>
  <conditionalFormatting sqref="B32:D32">
    <cfRule type="cellIs" dxfId="2" priority="18" operator="equal">
      <formula>0</formula>
    </cfRule>
  </conditionalFormatting>
  <conditionalFormatting sqref="B54:D54">
    <cfRule type="cellIs" dxfId="1" priority="17" operator="equal">
      <formula>0</formula>
    </cfRule>
  </conditionalFormatting>
  <conditionalFormatting sqref="G2:G7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80</vt:i4>
      </vt:variant>
    </vt:vector>
  </HeadingPairs>
  <TitlesOfParts>
    <vt:vector size="85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2018-11-06T07:55:12Z</dcterms:modified>
</cp:coreProperties>
</file>