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s &amp; Customers/2020/Ministery_Economy_Poltrib/movilidad-previsional/SIMULACIONES-FISCAL/2020-11-11-LEONARDO/"/>
    </mc:Choice>
  </mc:AlternateContent>
  <xr:revisionPtr revIDLastSave="0" documentId="13_ncr:1_{55916CB4-77E1-4C41-9FBE-6FFF5E1172B2}" xr6:coauthVersionLast="45" xr6:coauthVersionMax="45" xr10:uidLastSave="{00000000-0000-0000-0000-000000000000}"/>
  <bookViews>
    <workbookView xWindow="4140" yWindow="3460" windowWidth="36880" windowHeight="26060" activeTab="1" xr2:uid="{C5B1EE73-2196-844B-A9B8-9B50DD11918B}"/>
  </bookViews>
  <sheets>
    <sheet name="movilidad" sheetId="4" r:id="rId1"/>
    <sheet name="tabla_macro" sheetId="3" r:id="rId2"/>
  </sheets>
  <definedNames>
    <definedName name="_xlnm.Print_Area" localSheetId="1">tabla_macro!$B$2:$Z$51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20" i="4" l="1"/>
  <c r="BG19" i="4"/>
  <c r="BG18" i="4"/>
  <c r="BG17" i="4"/>
  <c r="K49" i="3" l="1"/>
  <c r="P30" i="3"/>
  <c r="L30" i="3"/>
  <c r="K27" i="3"/>
  <c r="R24" i="3"/>
  <c r="Q4" i="3"/>
  <c r="L20" i="3" l="1"/>
  <c r="O32" i="3"/>
  <c r="K43" i="3"/>
  <c r="Q20" i="3"/>
  <c r="K24" i="3"/>
  <c r="N30" i="3"/>
  <c r="T24" i="3"/>
  <c r="P24" i="3"/>
  <c r="L24" i="3"/>
  <c r="O27" i="3"/>
  <c r="K20" i="3"/>
  <c r="Q24" i="3"/>
  <c r="N22" i="3"/>
  <c r="S24" i="3"/>
  <c r="P20" i="3"/>
  <c r="M20" i="3"/>
  <c r="M43" i="3"/>
  <c r="P49" i="3"/>
  <c r="N20" i="3"/>
  <c r="O20" i="3"/>
  <c r="O24" i="3"/>
  <c r="L18" i="3"/>
  <c r="S20" i="3"/>
  <c r="P41" i="3"/>
  <c r="N24" i="3"/>
  <c r="K18" i="3"/>
  <c r="L43" i="3"/>
  <c r="N43" i="3"/>
  <c r="M41" i="3"/>
  <c r="R20" i="3"/>
  <c r="T20" i="3"/>
  <c r="K32" i="3"/>
  <c r="P34" i="3"/>
  <c r="M49" i="3"/>
  <c r="M22" i="3"/>
  <c r="N49" i="3"/>
  <c r="L22" i="3"/>
  <c r="O22" i="3"/>
  <c r="P43" i="3"/>
  <c r="Q49" i="3"/>
  <c r="Q30" i="3"/>
  <c r="K30" i="3"/>
  <c r="P32" i="3"/>
  <c r="N41" i="3"/>
  <c r="K9" i="3"/>
  <c r="O34" i="3"/>
  <c r="L9" i="3"/>
  <c r="O50" i="3"/>
  <c r="L27" i="3"/>
  <c r="M18" i="3"/>
  <c r="M9" i="3"/>
  <c r="P50" i="3"/>
  <c r="N18" i="3"/>
  <c r="O41" i="3"/>
  <c r="L11" i="3"/>
  <c r="M11" i="3"/>
  <c r="K11" i="3"/>
  <c r="N11" i="3"/>
  <c r="M32" i="3"/>
  <c r="P47" i="3"/>
  <c r="L32" i="3"/>
  <c r="K22" i="3"/>
  <c r="N32" i="3"/>
  <c r="P27" i="3"/>
  <c r="L41" i="3"/>
  <c r="O43" i="3"/>
  <c r="L49" i="3"/>
  <c r="M30" i="3"/>
  <c r="O11" i="3"/>
  <c r="P22" i="3"/>
  <c r="O30" i="3"/>
  <c r="K37" i="3"/>
  <c r="O49" i="3"/>
  <c r="O37" i="3"/>
  <c r="N9" i="3"/>
  <c r="P37" i="3"/>
  <c r="M27" i="3"/>
  <c r="Q18" i="3"/>
  <c r="N27" i="3"/>
  <c r="P11" i="3"/>
  <c r="Q11" i="3"/>
  <c r="K47" i="3"/>
  <c r="Q27" i="3"/>
  <c r="L47" i="3"/>
  <c r="J50" i="3"/>
  <c r="K34" i="3"/>
  <c r="M47" i="3"/>
  <c r="K50" i="3"/>
  <c r="L34" i="3"/>
  <c r="J37" i="3"/>
  <c r="N47" i="3"/>
  <c r="L50" i="3"/>
  <c r="O18" i="3"/>
  <c r="P9" i="3"/>
  <c r="P18" i="3"/>
  <c r="M24" i="3"/>
  <c r="M34" i="3"/>
  <c r="O47" i="3"/>
  <c r="M50" i="3"/>
  <c r="N34" i="3"/>
  <c r="L37" i="3"/>
  <c r="K41" i="3"/>
  <c r="N50" i="3"/>
  <c r="M37" i="3"/>
  <c r="O9" i="3"/>
  <c r="Q9" i="3"/>
  <c r="R4" i="3"/>
  <c r="Q22" i="3"/>
  <c r="Q32" i="3"/>
  <c r="N37" i="3"/>
  <c r="Q41" i="3"/>
  <c r="Q43" i="3"/>
  <c r="P38" i="3" l="1"/>
  <c r="O38" i="3"/>
  <c r="K38" i="3"/>
  <c r="M38" i="3"/>
  <c r="L38" i="3"/>
  <c r="Q50" i="3"/>
  <c r="Q47" i="3"/>
  <c r="N38" i="3"/>
  <c r="R43" i="3"/>
  <c r="S4" i="3"/>
  <c r="R41" i="3"/>
  <c r="R32" i="3"/>
  <c r="R30" i="3"/>
  <c r="R27" i="3"/>
  <c r="R18" i="3"/>
  <c r="R49" i="3"/>
  <c r="Q37" i="3"/>
  <c r="Q38" i="3" s="1"/>
  <c r="Q34" i="3"/>
  <c r="S43" i="3" l="1"/>
  <c r="S32" i="3"/>
  <c r="S22" i="3"/>
  <c r="T4" i="3"/>
  <c r="S18" i="3"/>
  <c r="S27" i="3"/>
  <c r="S49" i="3"/>
  <c r="S30" i="3"/>
  <c r="R9" i="3"/>
  <c r="R11" i="3"/>
  <c r="R50" i="3"/>
  <c r="R47" i="3"/>
  <c r="R34" i="3"/>
  <c r="R37" i="3"/>
  <c r="R38" i="3" s="1"/>
  <c r="K35" i="3"/>
  <c r="R22" i="3"/>
  <c r="M35" i="3"/>
  <c r="N35" i="3"/>
  <c r="L35" i="3"/>
  <c r="J35" i="3"/>
  <c r="N36" i="3" l="1"/>
  <c r="K36" i="3"/>
  <c r="T32" i="3"/>
  <c r="T22" i="3"/>
  <c r="U4" i="3"/>
  <c r="T27" i="3"/>
  <c r="T18" i="3"/>
  <c r="T49" i="3"/>
  <c r="T43" i="3"/>
  <c r="T30" i="3"/>
  <c r="S50" i="3"/>
  <c r="S47" i="3"/>
  <c r="S34" i="3"/>
  <c r="S37" i="3"/>
  <c r="S38" i="3" s="1"/>
  <c r="L36" i="3"/>
  <c r="M36" i="3"/>
  <c r="T47" i="3" l="1"/>
  <c r="T50" i="3"/>
  <c r="T34" i="3"/>
  <c r="T37" i="3"/>
  <c r="T38" i="3" s="1"/>
  <c r="V4" i="3"/>
  <c r="W4" i="3" l="1"/>
  <c r="X4" i="3" l="1"/>
  <c r="Y4" i="3" l="1"/>
  <c r="Z4" i="3" l="1"/>
  <c r="W20" i="3" l="1"/>
  <c r="Z18" i="3"/>
  <c r="Z20" i="3"/>
  <c r="Y20" i="3" l="1"/>
  <c r="Y18" i="3"/>
  <c r="W18" i="3"/>
  <c r="X20" i="3"/>
  <c r="U20" i="3"/>
  <c r="U18" i="3"/>
  <c r="X18" i="3"/>
  <c r="V18" i="3" l="1"/>
  <c r="V20" i="3"/>
  <c r="J31" i="4" l="1"/>
  <c r="U24" i="3" l="1"/>
  <c r="U27" i="3" l="1"/>
  <c r="T35" i="3"/>
  <c r="S35" i="3"/>
  <c r="R35" i="3"/>
  <c r="U22" i="3"/>
  <c r="O35" i="3"/>
  <c r="O36" i="3" s="1"/>
  <c r="Q35" i="3"/>
  <c r="P35" i="3"/>
  <c r="P36" i="3" s="1"/>
  <c r="AY31" i="4"/>
  <c r="V31" i="4"/>
  <c r="J34" i="4"/>
  <c r="Q36" i="3" l="1"/>
  <c r="R36" i="3"/>
  <c r="S36" i="3"/>
  <c r="T36" i="3"/>
  <c r="J37" i="4" l="1"/>
  <c r="J40" i="4" l="1"/>
  <c r="V37" i="4"/>
  <c r="AY37" i="4"/>
  <c r="J43" i="4" l="1"/>
  <c r="V24" i="3" l="1"/>
  <c r="J46" i="4" l="1"/>
  <c r="AY43" i="4"/>
  <c r="V43" i="4"/>
  <c r="J49" i="4" l="1"/>
  <c r="J52" i="4" l="1"/>
  <c r="V49" i="4"/>
  <c r="AY49" i="4"/>
  <c r="J55" i="4" l="1"/>
  <c r="W24" i="3" l="1"/>
  <c r="J58" i="4" l="1"/>
  <c r="V55" i="4"/>
  <c r="AY55" i="4"/>
  <c r="J61" i="4" l="1"/>
  <c r="J64" i="4" l="1"/>
  <c r="AY61" i="4"/>
  <c r="V61" i="4"/>
  <c r="J67" i="4" l="1"/>
  <c r="X24" i="3" l="1"/>
  <c r="J70" i="4" l="1"/>
  <c r="V67" i="4"/>
  <c r="AY67" i="4"/>
  <c r="J73" i="4" l="1"/>
  <c r="J76" i="4" l="1"/>
  <c r="AY73" i="4"/>
  <c r="V73" i="4"/>
  <c r="J79" i="4" l="1"/>
  <c r="Y24" i="3" l="1"/>
  <c r="V79" i="4" l="1"/>
  <c r="AY79" i="4"/>
  <c r="J82" i="4"/>
  <c r="J85" i="4" l="1"/>
  <c r="J88" i="4" l="1"/>
  <c r="V85" i="4"/>
  <c r="AY85" i="4"/>
  <c r="Z24" i="3" l="1"/>
  <c r="V22" i="3"/>
  <c r="W22" i="3"/>
  <c r="Y22" i="3"/>
  <c r="X22" i="3" l="1"/>
  <c r="Z22" i="3"/>
  <c r="V27" i="3"/>
  <c r="Z27" i="3" l="1"/>
  <c r="W27" i="3"/>
  <c r="Y27" i="3"/>
  <c r="X27" i="3"/>
  <c r="BG21" i="4"/>
  <c r="BG22" i="4" l="1"/>
  <c r="BG23" i="4" l="1"/>
  <c r="BG24" i="4" l="1"/>
  <c r="U47" i="3" l="1"/>
  <c r="V47" i="3" l="1"/>
  <c r="W47" i="3" l="1"/>
  <c r="X47" i="3" l="1"/>
  <c r="Z47" i="3" l="1"/>
  <c r="Y47" i="3"/>
  <c r="J12" i="3" l="1"/>
  <c r="J51" i="3"/>
  <c r="K7" i="3" l="1"/>
  <c r="K12" i="3"/>
  <c r="K51" i="3"/>
  <c r="K15" i="3" l="1"/>
  <c r="K13" i="3"/>
  <c r="L7" i="3" l="1"/>
  <c r="L12" i="3"/>
  <c r="L51" i="3"/>
  <c r="L13" i="3" l="1"/>
  <c r="L15" i="3"/>
  <c r="M7" i="3" l="1"/>
  <c r="M51" i="3"/>
  <c r="M12" i="3"/>
  <c r="M13" i="3" l="1"/>
  <c r="M15" i="3"/>
  <c r="N12" i="3" l="1"/>
  <c r="N51" i="3"/>
  <c r="N7" i="3"/>
  <c r="N13" i="3" l="1"/>
  <c r="N15" i="3"/>
  <c r="O7" i="3" l="1"/>
  <c r="O12" i="3"/>
  <c r="O51" i="3"/>
  <c r="O15" i="3" l="1"/>
  <c r="O13" i="3"/>
  <c r="P12" i="3" l="1"/>
  <c r="P51" i="3"/>
  <c r="P7" i="3"/>
  <c r="P15" i="3" l="1"/>
  <c r="P13" i="3"/>
  <c r="Q7" i="3" l="1"/>
  <c r="Q12" i="3"/>
  <c r="Q51" i="3"/>
  <c r="Q15" i="3" l="1"/>
  <c r="Q13" i="3"/>
  <c r="R51" i="3" l="1"/>
  <c r="R7" i="3"/>
  <c r="R12" i="3"/>
  <c r="R15" i="3" l="1"/>
  <c r="R13" i="3"/>
  <c r="S9" i="3" l="1"/>
  <c r="S11" i="3"/>
  <c r="S51" i="3" l="1"/>
  <c r="S7" i="3"/>
  <c r="S12" i="3"/>
  <c r="S15" i="3" l="1"/>
  <c r="S13" i="3"/>
  <c r="U43" i="3" l="1"/>
  <c r="V43" i="3" l="1"/>
  <c r="U30" i="3" l="1"/>
  <c r="W43" i="3"/>
  <c r="U49" i="3" l="1"/>
  <c r="U50" i="3"/>
  <c r="X43" i="3"/>
  <c r="V49" i="3" l="1"/>
  <c r="V50" i="3"/>
  <c r="Y43" i="3"/>
  <c r="U32" i="3" l="1"/>
  <c r="W49" i="3"/>
  <c r="W50" i="3"/>
  <c r="Z43" i="3"/>
  <c r="X49" i="3" l="1"/>
  <c r="X50" i="3"/>
  <c r="T11" i="3"/>
  <c r="T9" i="3"/>
  <c r="Y49" i="3" l="1"/>
  <c r="Y50" i="3"/>
  <c r="Z49" i="3" l="1"/>
  <c r="Z50" i="3"/>
  <c r="T51" i="3" l="1"/>
  <c r="T7" i="3"/>
  <c r="T12" i="3"/>
  <c r="T15" i="3" l="1"/>
  <c r="T13" i="3"/>
  <c r="U9" i="3" l="1"/>
  <c r="U11" i="3"/>
  <c r="V9" i="3" l="1"/>
  <c r="V11" i="3"/>
  <c r="W11" i="3" l="1"/>
  <c r="W9" i="3"/>
  <c r="Y9" i="3" l="1"/>
  <c r="V30" i="3"/>
  <c r="Z11" i="3"/>
  <c r="Z9" i="3"/>
  <c r="X11" i="3"/>
  <c r="X9" i="3"/>
  <c r="W30" i="3" l="1"/>
  <c r="Y11" i="3"/>
  <c r="V32" i="3"/>
  <c r="X30" i="3" l="1"/>
  <c r="Y30" i="3" l="1"/>
  <c r="W32" i="3"/>
  <c r="X32" i="3" l="1"/>
  <c r="Z30" i="3"/>
  <c r="Y32" i="3" l="1"/>
  <c r="Z32" i="3"/>
  <c r="K31" i="4" l="1"/>
  <c r="L31" i="4" s="1"/>
  <c r="BG25" i="4"/>
  <c r="BG26" i="4" l="1"/>
  <c r="BG27" i="4" l="1"/>
  <c r="BG28" i="4" l="1"/>
  <c r="K34" i="4"/>
  <c r="L34" i="4" s="1"/>
  <c r="M31" i="4"/>
  <c r="AT31" i="4"/>
  <c r="Q31" i="4"/>
  <c r="BB31" i="4"/>
  <c r="AF31" i="4"/>
  <c r="AM31" i="4"/>
  <c r="Y31" i="4"/>
  <c r="U35" i="3"/>
  <c r="U36" i="3" s="1"/>
  <c r="U37" i="3"/>
  <c r="U38" i="3" s="1"/>
  <c r="U34" i="3"/>
  <c r="K37" i="4" l="1"/>
  <c r="L37" i="4" s="1"/>
  <c r="Y37" i="4" l="1"/>
  <c r="AF37" i="4"/>
  <c r="AM37" i="4"/>
  <c r="BB37" i="4" l="1"/>
  <c r="Q37" i="4"/>
  <c r="M37" i="4"/>
  <c r="AT37" i="4"/>
  <c r="K40" i="4"/>
  <c r="L40" i="4" s="1"/>
  <c r="K43" i="4" l="1"/>
  <c r="L43" i="4" s="1"/>
  <c r="AF43" i="4" l="1"/>
  <c r="AM43" i="4"/>
  <c r="Y43" i="4"/>
  <c r="AT43" i="4" l="1"/>
  <c r="Q43" i="4"/>
  <c r="K46" i="4"/>
  <c r="L46" i="4" s="1"/>
  <c r="BB43" i="4"/>
  <c r="M43" i="4"/>
  <c r="K49" i="4" l="1"/>
  <c r="L49" i="4" s="1"/>
  <c r="Y49" i="4" l="1"/>
  <c r="AF49" i="4"/>
  <c r="AM49" i="4"/>
  <c r="M49" i="4" l="1"/>
  <c r="K52" i="4"/>
  <c r="L52" i="4" s="1"/>
  <c r="Q49" i="4"/>
  <c r="BB49" i="4"/>
  <c r="AT49" i="4"/>
  <c r="K55" i="4" l="1"/>
  <c r="L55" i="4" s="1"/>
  <c r="Y55" i="4" l="1"/>
  <c r="AF55" i="4"/>
  <c r="AM55" i="4"/>
  <c r="BB55" i="4" l="1"/>
  <c r="K58" i="4"/>
  <c r="L58" i="4" s="1"/>
  <c r="M55" i="4"/>
  <c r="AT55" i="4"/>
  <c r="Q55" i="4"/>
  <c r="K61" i="4" l="1"/>
  <c r="L61" i="4" s="1"/>
  <c r="AF61" i="4" l="1"/>
  <c r="AM61" i="4"/>
  <c r="Y61" i="4"/>
  <c r="M61" i="4" l="1"/>
  <c r="AT61" i="4"/>
  <c r="K64" i="4"/>
  <c r="L64" i="4" s="1"/>
  <c r="Q61" i="4"/>
  <c r="BB61" i="4"/>
  <c r="K67" i="4" l="1"/>
  <c r="L67" i="4" s="1"/>
  <c r="Y67" i="4" l="1"/>
  <c r="AF67" i="4"/>
  <c r="AM67" i="4"/>
  <c r="K70" i="4" l="1"/>
  <c r="L70" i="4" s="1"/>
  <c r="M67" i="4"/>
  <c r="AT67" i="4"/>
  <c r="BB67" i="4"/>
  <c r="Q67" i="4"/>
  <c r="K73" i="4" l="1"/>
  <c r="L73" i="4" s="1"/>
  <c r="AM73" i="4" l="1"/>
  <c r="AF73" i="4"/>
  <c r="Y73" i="4"/>
  <c r="M73" i="4" l="1"/>
  <c r="AT73" i="4"/>
  <c r="Q73" i="4"/>
  <c r="BB73" i="4"/>
  <c r="K76" i="4"/>
  <c r="L76" i="4" s="1"/>
  <c r="K79" i="4" l="1"/>
  <c r="L79" i="4" s="1"/>
  <c r="AF79" i="4" l="1"/>
  <c r="Y79" i="4"/>
  <c r="AM79" i="4"/>
  <c r="AT79" i="4" l="1"/>
  <c r="Q79" i="4"/>
  <c r="K82" i="4"/>
  <c r="L82" i="4" s="1"/>
  <c r="M79" i="4"/>
  <c r="BB79" i="4"/>
  <c r="K85" i="4" l="1"/>
  <c r="L85" i="4" s="1"/>
  <c r="AF85" i="4" l="1"/>
  <c r="Y85" i="4"/>
  <c r="AM85" i="4"/>
  <c r="K88" i="4" l="1"/>
  <c r="L88" i="4" s="1"/>
  <c r="Q85" i="4"/>
  <c r="AT85" i="4"/>
  <c r="M85" i="4"/>
  <c r="BB85" i="4"/>
  <c r="Z35" i="3" l="1"/>
  <c r="Z34" i="3"/>
  <c r="Z37" i="3"/>
  <c r="Y35" i="3"/>
  <c r="Y37" i="3"/>
  <c r="Y34" i="3"/>
  <c r="X37" i="3"/>
  <c r="X34" i="3"/>
  <c r="X35" i="3"/>
  <c r="W34" i="3"/>
  <c r="W37" i="3"/>
  <c r="W38" i="3" s="1"/>
  <c r="W35" i="3"/>
  <c r="W36" i="3" s="1"/>
  <c r="V37" i="3"/>
  <c r="V38" i="3" s="1"/>
  <c r="V35" i="3"/>
  <c r="V36" i="3" s="1"/>
  <c r="V34" i="3"/>
  <c r="Y38" i="3" l="1"/>
  <c r="Y36" i="3"/>
  <c r="X38" i="3"/>
  <c r="Z38" i="3"/>
  <c r="X36" i="3"/>
  <c r="Z36" i="3"/>
  <c r="U12" i="3" l="1"/>
  <c r="U51" i="3"/>
  <c r="U7" i="3"/>
  <c r="U15" i="3" l="1"/>
  <c r="U13" i="3"/>
  <c r="V7" i="3" l="1"/>
  <c r="V12" i="3"/>
  <c r="V51" i="3"/>
  <c r="V15" i="3" l="1"/>
  <c r="V13" i="3"/>
  <c r="T31" i="4" l="1"/>
  <c r="BC31" i="4"/>
  <c r="BD31" i="4" s="1"/>
  <c r="BE31" i="4" s="1"/>
  <c r="AW31" i="4"/>
  <c r="AU31" i="4"/>
  <c r="AV31" i="4" s="1"/>
  <c r="AN31" i="4"/>
  <c r="AO31" i="4" s="1"/>
  <c r="AP31" i="4" s="1"/>
  <c r="AS31" i="4" s="1"/>
  <c r="R31" i="4"/>
  <c r="S31" i="4" s="1"/>
  <c r="AG31" i="4"/>
  <c r="AH31" i="4" s="1"/>
  <c r="AI31" i="4" s="1"/>
  <c r="AL31" i="4" s="1"/>
  <c r="Z31" i="4"/>
  <c r="AA31" i="4" s="1"/>
  <c r="AB31" i="4" s="1"/>
  <c r="AE31" i="4" s="1"/>
  <c r="U31" i="4" l="1"/>
  <c r="W31" i="4" s="1"/>
  <c r="X31" i="4" s="1"/>
  <c r="N31" i="4"/>
  <c r="O31" i="4" s="1"/>
  <c r="P31" i="4" s="1"/>
  <c r="AX31" i="4"/>
  <c r="AZ31" i="4" s="1"/>
  <c r="BA31" i="4" s="1"/>
  <c r="AC37" i="4" l="1"/>
  <c r="AD37" i="4" s="1"/>
  <c r="AW37" i="4"/>
  <c r="AQ37" i="4"/>
  <c r="AR37" i="4" s="1"/>
  <c r="T37" i="4"/>
  <c r="BC37" i="4"/>
  <c r="BD37" i="4" s="1"/>
  <c r="BE37" i="4" s="1"/>
  <c r="AJ37" i="4"/>
  <c r="AK37" i="4" s="1"/>
  <c r="AU37" i="4"/>
  <c r="AV37" i="4" s="1"/>
  <c r="Z37" i="4"/>
  <c r="AA37" i="4" s="1"/>
  <c r="AB37" i="4" s="1"/>
  <c r="R37" i="4"/>
  <c r="S37" i="4" s="1"/>
  <c r="AG37" i="4"/>
  <c r="AH37" i="4" s="1"/>
  <c r="AI37" i="4" s="1"/>
  <c r="AN37" i="4"/>
  <c r="AO37" i="4" s="1"/>
  <c r="AP37" i="4" s="1"/>
  <c r="N37" i="4"/>
  <c r="O37" i="4" s="1"/>
  <c r="P37" i="4" s="1"/>
  <c r="AE37" i="4" l="1"/>
  <c r="AX37" i="4"/>
  <c r="AZ37" i="4" s="1"/>
  <c r="U37" i="4"/>
  <c r="W37" i="4" s="1"/>
  <c r="AS37" i="4"/>
  <c r="AL37" i="4"/>
  <c r="BA37" i="4" l="1"/>
  <c r="X37" i="4"/>
  <c r="W51" i="3"/>
  <c r="W12" i="3"/>
  <c r="W7" i="3"/>
  <c r="W15" i="3" l="1"/>
  <c r="W13" i="3"/>
  <c r="N43" i="4" l="1"/>
  <c r="O43" i="4" s="1"/>
  <c r="P43" i="4" s="1"/>
  <c r="AN43" i="4"/>
  <c r="AO43" i="4" s="1"/>
  <c r="AP43" i="4" s="1"/>
  <c r="AS43" i="4" s="1"/>
  <c r="R43" i="4"/>
  <c r="S43" i="4" s="1"/>
  <c r="Z43" i="4"/>
  <c r="AA43" i="4" s="1"/>
  <c r="AB43" i="4" s="1"/>
  <c r="AE43" i="4" s="1"/>
  <c r="AU43" i="4"/>
  <c r="AV43" i="4" s="1"/>
  <c r="AG43" i="4"/>
  <c r="AH43" i="4" s="1"/>
  <c r="AI43" i="4" s="1"/>
  <c r="AL43" i="4" s="1"/>
  <c r="AW43" i="4"/>
  <c r="BC43" i="4"/>
  <c r="BD43" i="4" s="1"/>
  <c r="BE43" i="4" s="1"/>
  <c r="T43" i="4"/>
  <c r="AX43" i="4" l="1"/>
  <c r="BA43" i="4" s="1"/>
  <c r="U43" i="4"/>
  <c r="AZ43" i="4" l="1"/>
  <c r="W43" i="4"/>
  <c r="X43" i="4"/>
  <c r="AN49" i="4" l="1"/>
  <c r="AO49" i="4" s="1"/>
  <c r="AP49" i="4" s="1"/>
  <c r="T49" i="4"/>
  <c r="AC49" i="4" l="1"/>
  <c r="AD49" i="4" s="1"/>
  <c r="AJ49" i="4"/>
  <c r="AK49" i="4" s="1"/>
  <c r="AG49" i="4"/>
  <c r="AH49" i="4" s="1"/>
  <c r="AI49" i="4" s="1"/>
  <c r="AU49" i="4"/>
  <c r="AV49" i="4" s="1"/>
  <c r="R49" i="4"/>
  <c r="S49" i="4" s="1"/>
  <c r="U49" i="4" s="1"/>
  <c r="Z49" i="4"/>
  <c r="AA49" i="4" s="1"/>
  <c r="AB49" i="4" s="1"/>
  <c r="AQ49" i="4"/>
  <c r="AR49" i="4" s="1"/>
  <c r="AS49" i="4" s="1"/>
  <c r="BC49" i="4"/>
  <c r="BD49" i="4" s="1"/>
  <c r="BE49" i="4" s="1"/>
  <c r="AW49" i="4"/>
  <c r="N49" i="4"/>
  <c r="O49" i="4" s="1"/>
  <c r="P49" i="4" s="1"/>
  <c r="AE49" i="4" l="1"/>
  <c r="AL49" i="4"/>
  <c r="W49" i="4"/>
  <c r="X49" i="4"/>
  <c r="AX49" i="4"/>
  <c r="AZ49" i="4" l="1"/>
  <c r="BA49" i="4"/>
  <c r="X12" i="3" l="1"/>
  <c r="X7" i="3"/>
  <c r="X51" i="3"/>
  <c r="X15" i="3" l="1"/>
  <c r="X13" i="3"/>
  <c r="N55" i="4" l="1"/>
  <c r="O55" i="4" s="1"/>
  <c r="P55" i="4" s="1"/>
  <c r="AW55" i="4"/>
  <c r="BC55" i="4"/>
  <c r="BD55" i="4" s="1"/>
  <c r="BE55" i="4" s="1"/>
  <c r="T55" i="4"/>
  <c r="R55" i="4"/>
  <c r="S55" i="4" s="1"/>
  <c r="AG55" i="4"/>
  <c r="AH55" i="4" s="1"/>
  <c r="AI55" i="4" s="1"/>
  <c r="AL55" i="4" s="1"/>
  <c r="AN55" i="4"/>
  <c r="AO55" i="4" s="1"/>
  <c r="AP55" i="4" s="1"/>
  <c r="AS55" i="4" s="1"/>
  <c r="AU55" i="4"/>
  <c r="AV55" i="4" s="1"/>
  <c r="Z55" i="4"/>
  <c r="AA55" i="4" s="1"/>
  <c r="AB55" i="4" s="1"/>
  <c r="AE55" i="4" s="1"/>
  <c r="AX55" i="4" l="1"/>
  <c r="BA55" i="4" s="1"/>
  <c r="U55" i="4"/>
  <c r="W55" i="4" s="1"/>
  <c r="AZ55" i="4" l="1"/>
  <c r="X55" i="4"/>
  <c r="AN61" i="4" l="1"/>
  <c r="AO61" i="4" s="1"/>
  <c r="AP61" i="4" s="1"/>
  <c r="BC61" i="4"/>
  <c r="BD61" i="4" s="1"/>
  <c r="BE61" i="4" s="1"/>
  <c r="N61" i="4"/>
  <c r="O61" i="4" s="1"/>
  <c r="P61" i="4" s="1"/>
  <c r="T61" i="4" l="1"/>
  <c r="AW61" i="4"/>
  <c r="AC61" i="4"/>
  <c r="AD61" i="4" s="1"/>
  <c r="AQ61" i="4"/>
  <c r="AR61" i="4" s="1"/>
  <c r="AS61" i="4" s="1"/>
  <c r="AJ61" i="4"/>
  <c r="AK61" i="4" s="1"/>
  <c r="R61" i="4"/>
  <c r="S61" i="4" s="1"/>
  <c r="Z61" i="4"/>
  <c r="AA61" i="4" s="1"/>
  <c r="AB61" i="4" s="1"/>
  <c r="AU61" i="4"/>
  <c r="AV61" i="4" s="1"/>
  <c r="AX61" i="4" s="1"/>
  <c r="BA61" i="4" s="1"/>
  <c r="AG61" i="4"/>
  <c r="AH61" i="4" s="1"/>
  <c r="AI61" i="4" s="1"/>
  <c r="U61" i="4" l="1"/>
  <c r="W61" i="4" s="1"/>
  <c r="AE61" i="4"/>
  <c r="AL61" i="4"/>
  <c r="AZ61" i="4"/>
  <c r="X61" i="4"/>
  <c r="Y12" i="3" l="1"/>
  <c r="Y51" i="3"/>
  <c r="Y7" i="3"/>
  <c r="Y13" i="3" l="1"/>
  <c r="Y15" i="3"/>
  <c r="Z67" i="4" l="1"/>
  <c r="AA67" i="4" s="1"/>
  <c r="AB67" i="4" s="1"/>
  <c r="AE67" i="4" s="1"/>
  <c r="AU67" i="4"/>
  <c r="AV67" i="4" s="1"/>
  <c r="R67" i="4"/>
  <c r="S67" i="4" s="1"/>
  <c r="AN67" i="4"/>
  <c r="AO67" i="4" s="1"/>
  <c r="AP67" i="4" s="1"/>
  <c r="AS67" i="4" s="1"/>
  <c r="AG67" i="4"/>
  <c r="AH67" i="4" s="1"/>
  <c r="AI67" i="4" s="1"/>
  <c r="AL67" i="4" s="1"/>
  <c r="T67" i="4"/>
  <c r="AW67" i="4"/>
  <c r="BC67" i="4"/>
  <c r="BD67" i="4" s="1"/>
  <c r="BE67" i="4" s="1"/>
  <c r="N67" i="4"/>
  <c r="O67" i="4" s="1"/>
  <c r="P67" i="4" s="1"/>
  <c r="U67" i="4" l="1"/>
  <c r="X67" i="4" s="1"/>
  <c r="AX67" i="4"/>
  <c r="W67" i="4" l="1"/>
  <c r="AZ67" i="4"/>
  <c r="BA67" i="4"/>
  <c r="N73" i="4" l="1"/>
  <c r="O73" i="4" s="1"/>
  <c r="P73" i="4" s="1"/>
  <c r="AW73" i="4"/>
  <c r="T73" i="4"/>
  <c r="BC73" i="4"/>
  <c r="BD73" i="4" s="1"/>
  <c r="BE73" i="4" s="1"/>
  <c r="AQ73" i="4"/>
  <c r="AR73" i="4" s="1"/>
  <c r="AJ73" i="4"/>
  <c r="AK73" i="4" s="1"/>
  <c r="AC73" i="4"/>
  <c r="AD73" i="4" s="1"/>
  <c r="AN73" i="4"/>
  <c r="AO73" i="4" s="1"/>
  <c r="AP73" i="4" s="1"/>
  <c r="R73" i="4"/>
  <c r="S73" i="4" s="1"/>
  <c r="AG73" i="4"/>
  <c r="AH73" i="4" s="1"/>
  <c r="AI73" i="4" s="1"/>
  <c r="Z73" i="4"/>
  <c r="AA73" i="4" s="1"/>
  <c r="AB73" i="4" s="1"/>
  <c r="AU73" i="4"/>
  <c r="AV73" i="4" s="1"/>
  <c r="AS73" i="4" l="1"/>
  <c r="AL73" i="4"/>
  <c r="U73" i="4"/>
  <c r="W73" i="4" s="1"/>
  <c r="X73" i="4" s="1"/>
  <c r="AX73" i="4"/>
  <c r="AZ73" i="4" s="1"/>
  <c r="AE73" i="4"/>
  <c r="BA73" i="4" l="1"/>
  <c r="Z51" i="3"/>
  <c r="Z12" i="3"/>
  <c r="Z7" i="3"/>
  <c r="Z13" i="3" l="1"/>
  <c r="Z15" i="3"/>
  <c r="AG79" i="4" l="1"/>
  <c r="AH79" i="4" s="1"/>
  <c r="AI79" i="4" s="1"/>
  <c r="AL79" i="4" s="1"/>
  <c r="R79" i="4"/>
  <c r="S79" i="4" s="1"/>
  <c r="AN79" i="4"/>
  <c r="AO79" i="4" s="1"/>
  <c r="AP79" i="4" s="1"/>
  <c r="AS79" i="4" s="1"/>
  <c r="AU79" i="4"/>
  <c r="AV79" i="4" s="1"/>
  <c r="Z79" i="4"/>
  <c r="AA79" i="4" s="1"/>
  <c r="AB79" i="4" s="1"/>
  <c r="AE79" i="4" s="1"/>
  <c r="BC79" i="4"/>
  <c r="BD79" i="4" s="1"/>
  <c r="BE79" i="4" s="1"/>
  <c r="AW79" i="4"/>
  <c r="T79" i="4"/>
  <c r="N79" i="4"/>
  <c r="O79" i="4" s="1"/>
  <c r="P79" i="4" s="1"/>
  <c r="AX79" i="4" l="1"/>
  <c r="U79" i="4"/>
  <c r="X79" i="4" l="1"/>
  <c r="W79" i="4"/>
  <c r="AZ79" i="4"/>
  <c r="BA79" i="4"/>
  <c r="AC85" i="4" l="1"/>
  <c r="AD85" i="4" s="1"/>
  <c r="AJ85" i="4"/>
  <c r="AK85" i="4" s="1"/>
  <c r="AQ85" i="4"/>
  <c r="AR85" i="4" s="1"/>
  <c r="AW85" i="4"/>
  <c r="T85" i="4"/>
  <c r="BC85" i="4"/>
  <c r="BD85" i="4" s="1"/>
  <c r="BE85" i="4" s="1"/>
  <c r="AN85" i="4"/>
  <c r="AO85" i="4" s="1"/>
  <c r="AP85" i="4" s="1"/>
  <c r="AS85" i="4" s="1"/>
  <c r="AU85" i="4"/>
  <c r="AV85" i="4" s="1"/>
  <c r="R85" i="4"/>
  <c r="S85" i="4" s="1"/>
  <c r="Z85" i="4"/>
  <c r="AA85" i="4" s="1"/>
  <c r="AB85" i="4" s="1"/>
  <c r="AG85" i="4"/>
  <c r="AH85" i="4" s="1"/>
  <c r="AI85" i="4" s="1"/>
  <c r="AX85" i="4" l="1"/>
  <c r="AZ85" i="4" s="1"/>
  <c r="BA85" i="4" s="1"/>
  <c r="AE85" i="4"/>
  <c r="U85" i="4"/>
  <c r="W85" i="4" s="1"/>
  <c r="AL85" i="4"/>
  <c r="N85" i="4"/>
  <c r="O85" i="4" s="1"/>
  <c r="P85" i="4" s="1"/>
  <c r="X85" i="4" l="1"/>
</calcChain>
</file>

<file path=xl/sharedStrings.xml><?xml version="1.0" encoding="utf-8"?>
<sst xmlns="http://schemas.openxmlformats.org/spreadsheetml/2006/main" count="105" uniqueCount="78">
  <si>
    <t>Fórmula SEPOT v1</t>
  </si>
  <si>
    <t>Fórmula ANSES v1</t>
  </si>
  <si>
    <t>Fórmula SEPOT v2</t>
  </si>
  <si>
    <t>Fórmula SEPOT v3</t>
  </si>
  <si>
    <t>Fórmula SEPOT v4</t>
  </si>
  <si>
    <t>Fórmula ANSES v2</t>
  </si>
  <si>
    <t>Fórmula suspendida</t>
  </si>
  <si>
    <t>ESQUEMAS DE MOVILIDAD PREVISIONAL</t>
  </si>
  <si>
    <t>Mes</t>
  </si>
  <si>
    <t>Salarios (evol.RIPTE)</t>
  </si>
  <si>
    <t>IPC</t>
  </si>
  <si>
    <t>Recursos totales SPN (corrientes sin rentas) en miles de pesos</t>
  </si>
  <si>
    <t>Recursos tributarios ANSES en miles de pesos</t>
  </si>
  <si>
    <t>Impuesto PAIS asignado a ANSES dentro de los recursos tributarios</t>
  </si>
  <si>
    <t>Recursos totales ANSES en miles de pesos (sin ingresos no tributarios ni rentas de la propiedad)</t>
  </si>
  <si>
    <t>Beneficiarios totales</t>
  </si>
  <si>
    <t>RIPTE</t>
  </si>
  <si>
    <t>m = 0.7 IPC + 0.3 RIPTE</t>
  </si>
  <si>
    <t>RT</t>
  </si>
  <si>
    <t>b = (SQRT(1+RT)-1)*1.03</t>
  </si>
  <si>
    <t>m (con tope b)</t>
  </si>
  <si>
    <t>W</t>
  </si>
  <si>
    <t>RTribA</t>
  </si>
  <si>
    <t>a = 0.5 W + 0.5 RTribA</t>
  </si>
  <si>
    <t>RTotA</t>
  </si>
  <si>
    <t>b</t>
  </si>
  <si>
    <t>d</t>
  </si>
  <si>
    <t>m</t>
  </si>
  <si>
    <t>w = RIPTE</t>
  </si>
  <si>
    <t>RT = SQRT(1+x)-1</t>
  </si>
  <si>
    <t>a = 0.7 w + 0.3 RT</t>
  </si>
  <si>
    <t>b = 1 + r * 1.03 / (1+ m(marzo))</t>
  </si>
  <si>
    <t>m = a en marzo y m = a con tope en b en septiembre</t>
  </si>
  <si>
    <t>a = 0.5 w + 0.5 RT</t>
  </si>
  <si>
    <t>RTribA (sin PAIS)</t>
  </si>
  <si>
    <t>Suspensión de fórmula</t>
  </si>
  <si>
    <t>x = RTotA</t>
  </si>
  <si>
    <t>RT = (SQRT(1+x)-1)*1.03</t>
  </si>
  <si>
    <t>Fórmula HACIENDA v1</t>
  </si>
  <si>
    <t>ESCENARIO MACRO-FISCAL: INDICADORES BASICOS</t>
  </si>
  <si>
    <t>Indicadores</t>
  </si>
  <si>
    <t>Actividad</t>
  </si>
  <si>
    <t>PIB a valores corrientes</t>
  </si>
  <si>
    <t>(mill de $)</t>
  </si>
  <si>
    <t>PIB a valores constantes</t>
  </si>
  <si>
    <t>(mill de $ del año 2004)</t>
  </si>
  <si>
    <t>PIB per cápita a valores constantes</t>
  </si>
  <si>
    <t>($ del año 2004)</t>
  </si>
  <si>
    <t>(mill de USD)</t>
  </si>
  <si>
    <t>PIB per cápita a valores corrientes</t>
  </si>
  <si>
    <t>(USD anuales)</t>
  </si>
  <si>
    <t>Dólar y precios</t>
  </si>
  <si>
    <t>Tipo de cambio promedio</t>
  </si>
  <si>
    <t>($/USD)</t>
  </si>
  <si>
    <t>Tipo de cambio 31-dic de cada año</t>
  </si>
  <si>
    <t>Indice IPC cobertura nacional</t>
  </si>
  <si>
    <t>dic-16 = 100 (promedio anual)</t>
  </si>
  <si>
    <t>dic-16 = 100 (dic. cada año)</t>
  </si>
  <si>
    <t>Tipo de cambio real promedio a valores de MAYO-20</t>
  </si>
  <si>
    <t>Empleo y salarios</t>
  </si>
  <si>
    <t>Empleo privado registrado</t>
  </si>
  <si>
    <t>Índice de productividad</t>
  </si>
  <si>
    <t>(dic-17 = 100)</t>
  </si>
  <si>
    <t>Salario promedio mensual valores corrientes en $</t>
  </si>
  <si>
    <t>Salario promedio mensual valores reales en $ de 2020</t>
  </si>
  <si>
    <t>Salario promedio mensual valores corrientes en USD</t>
  </si>
  <si>
    <t>BCRA</t>
  </si>
  <si>
    <t>Reservas internacionales a diciembre (mill de USD)</t>
  </si>
  <si>
    <t>Base monetaria a diciembre de cada (mill de $)</t>
  </si>
  <si>
    <t>Deuda (Lebac y otros) en relación a base monetaria</t>
  </si>
  <si>
    <t>Sector externo</t>
  </si>
  <si>
    <t>Exportaciones (mill de USD)</t>
  </si>
  <si>
    <t>Importaciones (mill de USD)</t>
  </si>
  <si>
    <t>Balanza comercial (mill de USD)</t>
  </si>
  <si>
    <t>Grado de apertura comercial (X+M)/PIB</t>
  </si>
  <si>
    <t>x = RecTribA (sin PAIS)</t>
  </si>
  <si>
    <t>r = RecTotA</t>
  </si>
  <si>
    <t>x = RecTribA (con PAIS)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</si>
</sst>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FF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rgb="FFFF0000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4" fillId="2" borderId="2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17" fontId="0" fillId="0" borderId="2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10" fontId="0" fillId="0" borderId="24" xfId="2" applyNumberFormat="1" applyFont="1" applyFill="1" applyBorder="1"/>
    <xf numFmtId="10" fontId="0" fillId="0" borderId="7" xfId="2" applyNumberFormat="1" applyFont="1" applyFill="1" applyBorder="1"/>
    <xf numFmtId="10" fontId="0" fillId="0" borderId="23" xfId="2" applyNumberFormat="1" applyFont="1" applyFill="1" applyBorder="1"/>
    <xf numFmtId="10" fontId="0" fillId="0" borderId="6" xfId="2" applyNumberFormat="1" applyFont="1" applyFill="1" applyBorder="1"/>
    <xf numFmtId="17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0" fontId="0" fillId="0" borderId="26" xfId="2" applyNumberFormat="1" applyFont="1" applyFill="1" applyBorder="1"/>
    <xf numFmtId="10" fontId="0" fillId="0" borderId="9" xfId="2" applyNumberFormat="1" applyFont="1" applyFill="1" applyBorder="1"/>
    <xf numFmtId="10" fontId="0" fillId="0" borderId="27" xfId="2" applyNumberFormat="1" applyFont="1" applyFill="1" applyBorder="1"/>
    <xf numFmtId="10" fontId="0" fillId="0" borderId="0" xfId="2" applyNumberFormat="1" applyFont="1" applyFill="1" applyBorder="1"/>
    <xf numFmtId="10" fontId="5" fillId="0" borderId="27" xfId="2" applyNumberFormat="1" applyFont="1" applyFill="1" applyBorder="1"/>
    <xf numFmtId="17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5" fontId="0" fillId="0" borderId="11" xfId="1" applyNumberFormat="1" applyFont="1" applyFill="1" applyBorder="1" applyAlignment="1">
      <alignment horizontal="center"/>
    </xf>
    <xf numFmtId="10" fontId="0" fillId="0" borderId="29" xfId="2" applyNumberFormat="1" applyFont="1" applyFill="1" applyBorder="1"/>
    <xf numFmtId="10" fontId="0" fillId="0" borderId="12" xfId="2" applyNumberFormat="1" applyFont="1" applyFill="1" applyBorder="1"/>
    <xf numFmtId="10" fontId="5" fillId="0" borderId="30" xfId="2" applyNumberFormat="1" applyFont="1" applyFill="1" applyBorder="1"/>
    <xf numFmtId="10" fontId="0" fillId="0" borderId="11" xfId="2" applyNumberFormat="1" applyFont="1" applyFill="1" applyBorder="1"/>
    <xf numFmtId="10" fontId="0" fillId="0" borderId="30" xfId="2" applyNumberFormat="1" applyFont="1" applyFill="1" applyBorder="1"/>
    <xf numFmtId="10" fontId="0" fillId="5" borderId="23" xfId="2" applyNumberFormat="1" applyFont="1" applyFill="1" applyBorder="1"/>
    <xf numFmtId="10" fontId="0" fillId="5" borderId="6" xfId="2" applyNumberFormat="1" applyFont="1" applyFill="1" applyBorder="1"/>
    <xf numFmtId="10" fontId="0" fillId="5" borderId="27" xfId="2" applyNumberFormat="1" applyFont="1" applyFill="1" applyBorder="1"/>
    <xf numFmtId="10" fontId="0" fillId="5" borderId="0" xfId="2" applyNumberFormat="1" applyFont="1" applyFill="1" applyBorder="1"/>
    <xf numFmtId="164" fontId="0" fillId="5" borderId="27" xfId="2" applyNumberFormat="1" applyFont="1" applyFill="1" applyBorder="1"/>
    <xf numFmtId="164" fontId="0" fillId="0" borderId="26" xfId="2" applyNumberFormat="1" applyFont="1" applyFill="1" applyBorder="1"/>
    <xf numFmtId="164" fontId="0" fillId="0" borderId="0" xfId="2" applyNumberFormat="1" applyFont="1" applyFill="1" applyBorder="1"/>
    <xf numFmtId="164" fontId="0" fillId="0" borderId="9" xfId="2" applyNumberFormat="1" applyFont="1" applyFill="1" applyBorder="1"/>
    <xf numFmtId="165" fontId="0" fillId="0" borderId="8" xfId="1" applyNumberFormat="1" applyFont="1" applyBorder="1" applyAlignment="1">
      <alignment horizontal="center"/>
    </xf>
    <xf numFmtId="164" fontId="5" fillId="5" borderId="27" xfId="2" applyNumberFormat="1" applyFont="1" applyFill="1" applyBorder="1"/>
    <xf numFmtId="164" fontId="5" fillId="0" borderId="0" xfId="2" applyNumberFormat="1" applyFont="1" applyFill="1" applyBorder="1"/>
    <xf numFmtId="164" fontId="5" fillId="0" borderId="9" xfId="2" applyNumberFormat="1" applyFont="1" applyFill="1" applyBorder="1"/>
    <xf numFmtId="164" fontId="5" fillId="0" borderId="26" xfId="2" applyNumberFormat="1" applyFont="1" applyFill="1" applyBorder="1"/>
    <xf numFmtId="164" fontId="0" fillId="5" borderId="0" xfId="2" applyNumberFormat="1" applyFont="1" applyFill="1" applyBorder="1"/>
    <xf numFmtId="165" fontId="0" fillId="0" borderId="1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4" fontId="5" fillId="5" borderId="30" xfId="2" applyNumberFormat="1" applyFont="1" applyFill="1" applyBorder="1"/>
    <xf numFmtId="164" fontId="0" fillId="0" borderId="29" xfId="2" applyNumberFormat="1" applyFont="1" applyFill="1" applyBorder="1"/>
    <xf numFmtId="164" fontId="0" fillId="0" borderId="11" xfId="2" applyNumberFormat="1" applyFont="1" applyFill="1" applyBorder="1"/>
    <xf numFmtId="164" fontId="0" fillId="0" borderId="12" xfId="2" applyNumberFormat="1" applyFont="1" applyFill="1" applyBorder="1"/>
    <xf numFmtId="164" fontId="5" fillId="0" borderId="11" xfId="2" applyNumberFormat="1" applyFont="1" applyFill="1" applyBorder="1"/>
    <xf numFmtId="164" fontId="5" fillId="0" borderId="12" xfId="2" applyNumberFormat="1" applyFont="1" applyFill="1" applyBorder="1"/>
    <xf numFmtId="164" fontId="5" fillId="5" borderId="11" xfId="2" applyNumberFormat="1" applyFont="1" applyFill="1" applyBorder="1"/>
    <xf numFmtId="164" fontId="5" fillId="0" borderId="29" xfId="2" applyNumberFormat="1" applyFont="1" applyFill="1" applyBorder="1"/>
    <xf numFmtId="165" fontId="0" fillId="0" borderId="5" xfId="1" applyNumberFormat="1" applyFont="1" applyBorder="1" applyAlignment="1">
      <alignment horizontal="center"/>
    </xf>
    <xf numFmtId="0" fontId="0" fillId="0" borderId="24" xfId="0" applyBorder="1"/>
    <xf numFmtId="0" fontId="0" fillId="0" borderId="7" xfId="0" applyBorder="1"/>
    <xf numFmtId="0" fontId="0" fillId="0" borderId="23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9" xfId="0" applyBorder="1"/>
    <xf numFmtId="0" fontId="0" fillId="0" borderId="27" xfId="0" applyBorder="1"/>
    <xf numFmtId="0" fontId="0" fillId="0" borderId="28" xfId="0" applyBorder="1"/>
    <xf numFmtId="164" fontId="0" fillId="0" borderId="26" xfId="2" applyNumberFormat="1" applyFont="1" applyBorder="1"/>
    <xf numFmtId="164" fontId="0" fillId="0" borderId="9" xfId="2" applyNumberFormat="1" applyFont="1" applyBorder="1"/>
    <xf numFmtId="164" fontId="0" fillId="4" borderId="27" xfId="2" applyNumberFormat="1" applyFont="1" applyFill="1" applyBorder="1"/>
    <xf numFmtId="164" fontId="0" fillId="4" borderId="0" xfId="2" applyNumberFormat="1" applyFont="1" applyFill="1" applyBorder="1"/>
    <xf numFmtId="164" fontId="0" fillId="4" borderId="28" xfId="2" applyNumberFormat="1" applyFont="1" applyFill="1" applyBorder="1"/>
    <xf numFmtId="164" fontId="0" fillId="0" borderId="29" xfId="2" applyNumberFormat="1" applyFont="1" applyBorder="1"/>
    <xf numFmtId="164" fontId="0" fillId="0" borderId="12" xfId="2" applyNumberFormat="1" applyFont="1" applyBorder="1"/>
    <xf numFmtId="164" fontId="0" fillId="4" borderId="30" xfId="2" applyNumberFormat="1" applyFont="1" applyFill="1" applyBorder="1"/>
    <xf numFmtId="0" fontId="0" fillId="0" borderId="29" xfId="0" applyBorder="1"/>
    <xf numFmtId="0" fontId="0" fillId="0" borderId="11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  <xf numFmtId="164" fontId="0" fillId="0" borderId="32" xfId="2" applyNumberFormat="1" applyFont="1" applyBorder="1"/>
    <xf numFmtId="164" fontId="0" fillId="0" borderId="33" xfId="2" applyNumberFormat="1" applyFont="1" applyBorder="1"/>
    <xf numFmtId="164" fontId="0" fillId="4" borderId="34" xfId="2" applyNumberFormat="1" applyFont="1" applyFill="1" applyBorder="1"/>
    <xf numFmtId="0" fontId="0" fillId="0" borderId="32" xfId="0" applyBorder="1"/>
    <xf numFmtId="0" fontId="0" fillId="0" borderId="35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0" xfId="2" applyNumberFormat="1" applyFont="1" applyBorder="1"/>
    <xf numFmtId="0" fontId="6" fillId="0" borderId="0" xfId="3"/>
    <xf numFmtId="0" fontId="7" fillId="0" borderId="0" xfId="3" applyFont="1"/>
    <xf numFmtId="10" fontId="8" fillId="0" borderId="0" xfId="4" applyNumberFormat="1" applyFont="1"/>
    <xf numFmtId="0" fontId="9" fillId="0" borderId="0" xfId="3" applyFont="1"/>
    <xf numFmtId="165" fontId="6" fillId="0" borderId="0" xfId="3" applyNumberFormat="1"/>
    <xf numFmtId="164" fontId="0" fillId="0" borderId="0" xfId="4" applyNumberFormat="1" applyFont="1"/>
    <xf numFmtId="43" fontId="6" fillId="0" borderId="0" xfId="3" applyNumberFormat="1"/>
    <xf numFmtId="0" fontId="10" fillId="6" borderId="1" xfId="3" applyFont="1" applyFill="1" applyBorder="1" applyAlignment="1">
      <alignment horizontal="center" vertical="center"/>
    </xf>
    <xf numFmtId="0" fontId="10" fillId="6" borderId="40" xfId="3" applyFont="1" applyFill="1" applyBorder="1" applyAlignment="1">
      <alignment horizontal="center" vertical="center"/>
    </xf>
    <xf numFmtId="0" fontId="10" fillId="7" borderId="1" xfId="3" applyFont="1" applyFill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4" fillId="0" borderId="41" xfId="3" applyFont="1" applyBorder="1" applyAlignment="1">
      <alignment horizontal="center" vertical="center"/>
    </xf>
    <xf numFmtId="0" fontId="4" fillId="8" borderId="43" xfId="3" applyFont="1" applyFill="1" applyBorder="1" applyAlignment="1">
      <alignment horizontal="center" vertical="center" wrapText="1"/>
    </xf>
    <xf numFmtId="165" fontId="4" fillId="0" borderId="44" xfId="5" applyNumberFormat="1" applyFont="1" applyBorder="1"/>
    <xf numFmtId="165" fontId="4" fillId="8" borderId="44" xfId="5" applyNumberFormat="1" applyFont="1" applyFill="1" applyBorder="1" applyAlignment="1">
      <alignment vertical="center"/>
    </xf>
    <xf numFmtId="165" fontId="4" fillId="8" borderId="45" xfId="5" applyNumberFormat="1" applyFont="1" applyFill="1" applyBorder="1" applyAlignment="1">
      <alignment vertical="center"/>
    </xf>
    <xf numFmtId="165" fontId="4" fillId="8" borderId="46" xfId="5" applyNumberFormat="1" applyFont="1" applyFill="1" applyBorder="1" applyAlignment="1">
      <alignment vertical="center"/>
    </xf>
    <xf numFmtId="0" fontId="4" fillId="8" borderId="30" xfId="3" applyFont="1" applyFill="1" applyBorder="1" applyAlignment="1">
      <alignment horizontal="center" vertical="center" wrapText="1"/>
    </xf>
    <xf numFmtId="164" fontId="11" fillId="0" borderId="11" xfId="4" applyNumberFormat="1" applyFont="1" applyBorder="1"/>
    <xf numFmtId="164" fontId="11" fillId="0" borderId="11" xfId="4" applyNumberFormat="1" applyFont="1" applyBorder="1" applyAlignment="1">
      <alignment vertical="center"/>
    </xf>
    <xf numFmtId="164" fontId="11" fillId="0" borderId="48" xfId="4" applyNumberFormat="1" applyFont="1" applyBorder="1" applyAlignment="1">
      <alignment vertical="center"/>
    </xf>
    <xf numFmtId="164" fontId="11" fillId="0" borderId="31" xfId="4" applyNumberFormat="1" applyFont="1" applyBorder="1" applyAlignment="1">
      <alignment vertical="center"/>
    </xf>
    <xf numFmtId="0" fontId="4" fillId="8" borderId="23" xfId="3" applyFont="1" applyFill="1" applyBorder="1" applyAlignment="1">
      <alignment horizontal="center" vertical="center" wrapText="1"/>
    </xf>
    <xf numFmtId="165" fontId="4" fillId="0" borderId="6" xfId="5" applyNumberFormat="1" applyFont="1" applyBorder="1"/>
    <xf numFmtId="165" fontId="4" fillId="8" borderId="6" xfId="5" applyNumberFormat="1" applyFont="1" applyFill="1" applyBorder="1" applyAlignment="1">
      <alignment vertical="center"/>
    </xf>
    <xf numFmtId="165" fontId="4" fillId="8" borderId="49" xfId="5" applyNumberFormat="1" applyFont="1" applyFill="1" applyBorder="1" applyAlignment="1">
      <alignment vertical="center"/>
    </xf>
    <xf numFmtId="165" fontId="4" fillId="8" borderId="25" xfId="5" applyNumberFormat="1" applyFont="1" applyFill="1" applyBorder="1" applyAlignment="1">
      <alignment vertical="center"/>
    </xf>
    <xf numFmtId="0" fontId="4" fillId="8" borderId="34" xfId="3" applyFont="1" applyFill="1" applyBorder="1" applyAlignment="1">
      <alignment horizontal="center" vertical="center" wrapText="1"/>
    </xf>
    <xf numFmtId="164" fontId="11" fillId="0" borderId="35" xfId="4" applyNumberFormat="1" applyFont="1" applyBorder="1"/>
    <xf numFmtId="0" fontId="4" fillId="9" borderId="0" xfId="3" applyFont="1" applyFill="1" applyAlignment="1">
      <alignment horizontal="center" vertical="center" wrapText="1"/>
    </xf>
    <xf numFmtId="164" fontId="11" fillId="0" borderId="0" xfId="4" applyNumberFormat="1" applyFont="1" applyBorder="1"/>
    <xf numFmtId="164" fontId="11" fillId="0" borderId="0" xfId="4" applyNumberFormat="1" applyFont="1" applyBorder="1" applyAlignment="1">
      <alignment vertical="center"/>
    </xf>
    <xf numFmtId="164" fontId="11" fillId="0" borderId="41" xfId="4" applyNumberFormat="1" applyFont="1" applyBorder="1" applyAlignment="1">
      <alignment vertical="center"/>
    </xf>
    <xf numFmtId="166" fontId="4" fillId="0" borderId="44" xfId="5" applyNumberFormat="1" applyFont="1" applyBorder="1"/>
    <xf numFmtId="166" fontId="4" fillId="8" borderId="44" xfId="5" applyNumberFormat="1" applyFont="1" applyFill="1" applyBorder="1" applyAlignment="1">
      <alignment vertical="center"/>
    </xf>
    <xf numFmtId="166" fontId="4" fillId="8" borderId="45" xfId="5" applyNumberFormat="1" applyFont="1" applyFill="1" applyBorder="1" applyAlignment="1">
      <alignment vertical="center"/>
    </xf>
    <xf numFmtId="166" fontId="4" fillId="8" borderId="46" xfId="5" applyNumberFormat="1" applyFont="1" applyFill="1" applyBorder="1" applyAlignment="1">
      <alignment vertical="center"/>
    </xf>
    <xf numFmtId="166" fontId="4" fillId="0" borderId="6" xfId="5" applyNumberFormat="1" applyFont="1" applyBorder="1"/>
    <xf numFmtId="166" fontId="4" fillId="8" borderId="6" xfId="5" applyNumberFormat="1" applyFont="1" applyFill="1" applyBorder="1" applyAlignment="1">
      <alignment vertical="center"/>
    </xf>
    <xf numFmtId="166" fontId="4" fillId="8" borderId="49" xfId="5" applyNumberFormat="1" applyFont="1" applyFill="1" applyBorder="1" applyAlignment="1">
      <alignment vertical="center"/>
    </xf>
    <xf numFmtId="166" fontId="4" fillId="8" borderId="25" xfId="5" applyNumberFormat="1" applyFont="1" applyFill="1" applyBorder="1" applyAlignment="1">
      <alignment vertical="center"/>
    </xf>
    <xf numFmtId="164" fontId="11" fillId="0" borderId="11" xfId="4" applyNumberFormat="1" applyFont="1" applyFill="1" applyBorder="1" applyAlignment="1">
      <alignment vertical="center"/>
    </xf>
    <xf numFmtId="164" fontId="11" fillId="0" borderId="31" xfId="4" applyNumberFormat="1" applyFont="1" applyFill="1" applyBorder="1" applyAlignment="1">
      <alignment vertical="center"/>
    </xf>
    <xf numFmtId="0" fontId="4" fillId="8" borderId="27" xfId="3" applyFont="1" applyFill="1" applyBorder="1" applyAlignment="1">
      <alignment horizontal="center" vertical="center" wrapText="1"/>
    </xf>
    <xf numFmtId="164" fontId="11" fillId="0" borderId="0" xfId="4" applyNumberFormat="1" applyFont="1" applyFill="1" applyBorder="1" applyAlignment="1">
      <alignment vertical="center"/>
    </xf>
    <xf numFmtId="164" fontId="11" fillId="0" borderId="28" xfId="4" applyNumberFormat="1" applyFont="1" applyFill="1" applyBorder="1" applyAlignment="1">
      <alignment vertical="center"/>
    </xf>
    <xf numFmtId="164" fontId="11" fillId="0" borderId="28" xfId="4" applyNumberFormat="1" applyFont="1" applyBorder="1" applyAlignment="1">
      <alignment vertical="center"/>
    </xf>
    <xf numFmtId="0" fontId="6" fillId="0" borderId="0" xfId="3" applyAlignment="1">
      <alignment vertical="center"/>
    </xf>
    <xf numFmtId="0" fontId="6" fillId="0" borderId="41" xfId="3" applyBorder="1" applyAlignment="1">
      <alignment vertical="center"/>
    </xf>
    <xf numFmtId="0" fontId="6" fillId="0" borderId="11" xfId="3" applyBorder="1"/>
    <xf numFmtId="0" fontId="6" fillId="0" borderId="35" xfId="3" applyBorder="1"/>
    <xf numFmtId="164" fontId="11" fillId="0" borderId="35" xfId="4" applyNumberFormat="1" applyFont="1" applyBorder="1" applyAlignment="1">
      <alignment vertical="center"/>
    </xf>
    <xf numFmtId="164" fontId="11" fillId="0" borderId="52" xfId="4" applyNumberFormat="1" applyFont="1" applyBorder="1" applyAlignment="1">
      <alignment vertical="center"/>
    </xf>
    <xf numFmtId="164" fontId="11" fillId="0" borderId="36" xfId="4" applyNumberFormat="1" applyFont="1" applyBorder="1" applyAlignment="1">
      <alignment vertical="center"/>
    </xf>
    <xf numFmtId="0" fontId="6" fillId="0" borderId="10" xfId="3" applyBorder="1"/>
    <xf numFmtId="165" fontId="4" fillId="0" borderId="0" xfId="5" applyNumberFormat="1" applyFont="1" applyBorder="1"/>
    <xf numFmtId="165" fontId="4" fillId="8" borderId="0" xfId="5" applyNumberFormat="1" applyFont="1" applyFill="1" applyBorder="1" applyAlignment="1">
      <alignment vertical="center"/>
    </xf>
    <xf numFmtId="165" fontId="4" fillId="8" borderId="41" xfId="5" applyNumberFormat="1" applyFont="1" applyFill="1" applyBorder="1" applyAlignment="1">
      <alignment vertical="center"/>
    </xf>
    <xf numFmtId="165" fontId="4" fillId="8" borderId="28" xfId="5" applyNumberFormat="1" applyFont="1" applyFill="1" applyBorder="1" applyAlignment="1">
      <alignment vertical="center"/>
    </xf>
    <xf numFmtId="164" fontId="4" fillId="0" borderId="54" xfId="4" applyNumberFormat="1" applyFont="1" applyBorder="1" applyAlignment="1">
      <alignment vertical="center"/>
    </xf>
    <xf numFmtId="164" fontId="4" fillId="0" borderId="35" xfId="4" applyNumberFormat="1" applyFont="1" applyBorder="1" applyAlignment="1">
      <alignment vertical="center"/>
    </xf>
    <xf numFmtId="164" fontId="4" fillId="0" borderId="52" xfId="4" applyNumberFormat="1" applyFont="1" applyBorder="1" applyAlignment="1">
      <alignment vertical="center"/>
    </xf>
    <xf numFmtId="164" fontId="4" fillId="0" borderId="36" xfId="4" applyNumberFormat="1" applyFont="1" applyBorder="1" applyAlignment="1">
      <alignment vertical="center"/>
    </xf>
    <xf numFmtId="165" fontId="4" fillId="0" borderId="10" xfId="5" applyNumberFormat="1" applyFont="1" applyBorder="1" applyAlignment="1">
      <alignment vertical="center"/>
    </xf>
    <xf numFmtId="165" fontId="4" fillId="0" borderId="18" xfId="5" applyNumberFormat="1" applyFont="1" applyBorder="1" applyAlignment="1">
      <alignment vertical="center"/>
    </xf>
    <xf numFmtId="165" fontId="4" fillId="0" borderId="11" xfId="5" applyNumberFormat="1" applyFont="1" applyBorder="1" applyAlignment="1">
      <alignment vertical="center"/>
    </xf>
    <xf numFmtId="165" fontId="4" fillId="0" borderId="48" xfId="5" applyNumberFormat="1" applyFont="1" applyBorder="1" applyAlignment="1">
      <alignment vertical="center"/>
    </xf>
    <xf numFmtId="165" fontId="4" fillId="0" borderId="31" xfId="5" applyNumberFormat="1" applyFont="1" applyBorder="1" applyAlignment="1">
      <alignment vertical="center"/>
    </xf>
    <xf numFmtId="0" fontId="4" fillId="8" borderId="51" xfId="3" applyFont="1" applyFill="1" applyBorder="1" applyAlignment="1">
      <alignment horizontal="center" vertical="center" wrapText="1"/>
    </xf>
    <xf numFmtId="164" fontId="4" fillId="8" borderId="35" xfId="4" applyNumberFormat="1" applyFont="1" applyFill="1" applyBorder="1" applyAlignment="1">
      <alignment vertical="center"/>
    </xf>
    <xf numFmtId="164" fontId="4" fillId="8" borderId="56" xfId="4" applyNumberFormat="1" applyFont="1" applyFill="1" applyBorder="1" applyAlignment="1">
      <alignment vertical="center"/>
    </xf>
    <xf numFmtId="164" fontId="4" fillId="8" borderId="36" xfId="4" applyNumberFormat="1" applyFont="1" applyFill="1" applyBorder="1" applyAlignment="1">
      <alignment vertical="center"/>
    </xf>
    <xf numFmtId="10" fontId="6" fillId="0" borderId="0" xfId="3" applyNumberFormat="1"/>
    <xf numFmtId="10" fontId="0" fillId="0" borderId="25" xfId="2" applyNumberFormat="1" applyFont="1" applyFill="1" applyBorder="1"/>
    <xf numFmtId="10" fontId="0" fillId="0" borderId="28" xfId="2" applyNumberFormat="1" applyFont="1" applyFill="1" applyBorder="1"/>
    <xf numFmtId="10" fontId="0" fillId="0" borderId="31" xfId="2" applyNumberFormat="1" applyFont="1" applyFill="1" applyBorder="1"/>
    <xf numFmtId="10" fontId="0" fillId="5" borderId="25" xfId="2" applyNumberFormat="1" applyFont="1" applyFill="1" applyBorder="1"/>
    <xf numFmtId="10" fontId="0" fillId="5" borderId="28" xfId="2" applyNumberFormat="1" applyFont="1" applyFill="1" applyBorder="1"/>
    <xf numFmtId="164" fontId="0" fillId="5" borderId="28" xfId="2" applyNumberFormat="1" applyFont="1" applyFill="1" applyBorder="1"/>
    <xf numFmtId="164" fontId="5" fillId="5" borderId="31" xfId="2" applyNumberFormat="1" applyFont="1" applyFill="1" applyBorder="1"/>
    <xf numFmtId="164" fontId="0" fillId="0" borderId="0" xfId="2" applyNumberFormat="1" applyFont="1"/>
    <xf numFmtId="165" fontId="0" fillId="3" borderId="5" xfId="1" applyNumberFormat="1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3" borderId="10" xfId="1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8" borderId="42" xfId="3" applyFont="1" applyFill="1" applyBorder="1" applyAlignment="1">
      <alignment horizontal="center" vertical="center" wrapText="1"/>
    </xf>
    <xf numFmtId="0" fontId="4" fillId="8" borderId="47" xfId="3" applyFont="1" applyFill="1" applyBorder="1" applyAlignment="1">
      <alignment horizontal="center" vertical="center" wrapText="1"/>
    </xf>
    <xf numFmtId="0" fontId="4" fillId="8" borderId="50" xfId="3" applyFont="1" applyFill="1" applyBorder="1" applyAlignment="1">
      <alignment horizontal="center" vertical="center" wrapText="1"/>
    </xf>
    <xf numFmtId="0" fontId="4" fillId="8" borderId="53" xfId="3" applyFont="1" applyFill="1" applyBorder="1" applyAlignment="1">
      <alignment horizontal="center" vertical="center" wrapText="1"/>
    </xf>
    <xf numFmtId="0" fontId="4" fillId="8" borderId="4" xfId="3" applyFont="1" applyFill="1" applyBorder="1" applyAlignment="1">
      <alignment horizontal="center" vertical="center" wrapText="1"/>
    </xf>
    <xf numFmtId="0" fontId="4" fillId="8" borderId="3" xfId="3" applyFont="1" applyFill="1" applyBorder="1" applyAlignment="1">
      <alignment horizontal="center" vertical="center" wrapText="1"/>
    </xf>
    <xf numFmtId="0" fontId="4" fillId="8" borderId="55" xfId="3" applyFont="1" applyFill="1" applyBorder="1" applyAlignment="1">
      <alignment horizontal="center" vertical="center" wrapText="1"/>
    </xf>
    <xf numFmtId="0" fontId="4" fillId="8" borderId="26" xfId="3" applyFont="1" applyFill="1" applyBorder="1" applyAlignment="1">
      <alignment horizontal="center" vertical="center" wrapText="1"/>
    </xf>
    <xf numFmtId="0" fontId="4" fillId="8" borderId="32" xfId="3" applyFont="1" applyFill="1" applyBorder="1" applyAlignment="1">
      <alignment horizontal="center" vertical="center" wrapText="1"/>
    </xf>
    <xf numFmtId="0" fontId="4" fillId="8" borderId="39" xfId="3" applyFont="1" applyFill="1" applyBorder="1" applyAlignment="1">
      <alignment horizontal="center" vertical="center" wrapText="1"/>
    </xf>
    <xf numFmtId="0" fontId="4" fillId="8" borderId="21" xfId="3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/>
    </xf>
    <xf numFmtId="0" fontId="4" fillId="8" borderId="23" xfId="3" applyFont="1" applyFill="1" applyBorder="1" applyAlignment="1">
      <alignment horizontal="center" vertical="center" wrapText="1"/>
    </xf>
    <xf numFmtId="0" fontId="4" fillId="8" borderId="34" xfId="3" applyFont="1" applyFill="1" applyBorder="1" applyAlignment="1">
      <alignment horizontal="center" vertical="center" wrapText="1"/>
    </xf>
    <xf numFmtId="0" fontId="4" fillId="8" borderId="51" xfId="3" applyFont="1" applyFill="1" applyBorder="1" applyAlignment="1">
      <alignment horizontal="center" vertical="center" wrapText="1"/>
    </xf>
  </cellXfs>
  <cellStyles count="6">
    <cellStyle name="Comma" xfId="1" builtinId="3"/>
    <cellStyle name="Comma 2" xfId="5" xr:uid="{479C5C1D-D4F5-4446-8D82-3394D14A7563}"/>
    <cellStyle name="Normal" xfId="0" builtinId="0"/>
    <cellStyle name="Normal 2" xfId="3" xr:uid="{AA95893D-14D3-4747-A1B0-EECA1CF22DFB}"/>
    <cellStyle name="Percent" xfId="2" builtinId="5"/>
    <cellStyle name="Percent 2" xfId="4" xr:uid="{FF8EBC17-56E9-064C-89AC-310B4F459D6C}"/>
  </cellStyles>
  <dxfs count="97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Variaciones interanuales del RIPTE</a:t>
            </a:r>
            <a:r>
              <a:rPr lang="en-US" baseline="0"/>
              <a:t> en 2020 (supuestas)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movilidad!$BG$17:$BG$28</c:f>
              <c:numCache>
                <c:formatCode>0.0%</c:formatCode>
                <c:ptCount val="12"/>
                <c:pt idx="0">
                  <c:v>0.50075970887582577</c:v>
                </c:pt>
                <c:pt idx="1">
                  <c:v>0.53500738287043381</c:v>
                </c:pt>
                <c:pt idx="2">
                  <c:v>0.46261267041846832</c:v>
                </c:pt>
                <c:pt idx="3">
                  <c:v>0.43616457146891618</c:v>
                </c:pt>
                <c:pt idx="4">
                  <c:v>0.39468051327891795</c:v>
                </c:pt>
                <c:pt idx="5">
                  <c:v>0.40346405605975355</c:v>
                </c:pt>
                <c:pt idx="6">
                  <c:v>0.39614667819794258</c:v>
                </c:pt>
                <c:pt idx="7">
                  <c:v>0.37816641760867609</c:v>
                </c:pt>
                <c:pt idx="8">
                  <c:v>0.35094013982121242</c:v>
                </c:pt>
                <c:pt idx="9">
                  <c:v>0.30849048305387439</c:v>
                </c:pt>
                <c:pt idx="10">
                  <c:v>0.31695159943242723</c:v>
                </c:pt>
                <c:pt idx="11">
                  <c:v>0.31924378234538531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9-AB4B-95E6-9D0CBC69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1119399360"/>
        <c:axId val="1446553216"/>
      </c:barChart>
      <c:catAx>
        <c:axId val="111939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446553216"/>
        <c:crosses val="autoZero"/>
        <c:auto val="1"/>
        <c:lblAlgn val="ctr"/>
        <c:lblOffset val="100"/>
        <c:noMultiLvlLbl val="0"/>
      </c:catAx>
      <c:valAx>
        <c:axId val="14465532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193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203200</xdr:colOff>
      <xdr:row>30</xdr:row>
      <xdr:rowOff>31750</xdr:rowOff>
    </xdr:from>
    <xdr:to>
      <xdr:col>63</xdr:col>
      <xdr:colOff>647700</xdr:colOff>
      <xdr:row>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36238-9DF6-7A4B-9187-5E2806DF4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18DF-55DD-D847-B536-499A73226C3F}">
  <dimension ref="A1:BG8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22" sqref="H22"/>
    </sheetView>
  </sheetViews>
  <sheetFormatPr baseColWidth="10" defaultRowHeight="16" x14ac:dyDescent="0.2"/>
  <cols>
    <col min="1" max="1" width="7.33203125" customWidth="1"/>
    <col min="3" max="3" width="11.5" bestFit="1" customWidth="1"/>
    <col min="5" max="8" width="19.1640625" customWidth="1"/>
    <col min="9" max="9" width="16.6640625" customWidth="1"/>
    <col min="10" max="12" width="10.83203125" customWidth="1"/>
    <col min="31" max="31" width="15" customWidth="1"/>
    <col min="38" max="38" width="15" customWidth="1"/>
    <col min="45" max="45" width="15" customWidth="1"/>
  </cols>
  <sheetData>
    <row r="1" spans="2:57" ht="25" thickBot="1" x14ac:dyDescent="0.35">
      <c r="B1" s="1" t="s">
        <v>7</v>
      </c>
      <c r="L1">
        <v>11</v>
      </c>
      <c r="P1">
        <v>15</v>
      </c>
      <c r="X1">
        <v>23</v>
      </c>
      <c r="AE1">
        <v>30</v>
      </c>
      <c r="AL1">
        <v>37</v>
      </c>
      <c r="AS1">
        <v>44</v>
      </c>
      <c r="BA1">
        <v>52</v>
      </c>
      <c r="BE1">
        <v>56</v>
      </c>
    </row>
    <row r="2" spans="2:57" x14ac:dyDescent="0.2">
      <c r="J2" s="185">
        <v>0</v>
      </c>
      <c r="K2" s="186"/>
      <c r="L2" s="187"/>
      <c r="M2" s="185">
        <v>1</v>
      </c>
      <c r="N2" s="186"/>
      <c r="O2" s="186"/>
      <c r="P2" s="187"/>
      <c r="Q2" s="186">
        <v>2</v>
      </c>
      <c r="R2" s="186"/>
      <c r="S2" s="186"/>
      <c r="T2" s="186"/>
      <c r="U2" s="186"/>
      <c r="V2" s="186"/>
      <c r="W2" s="186"/>
      <c r="X2" s="186"/>
      <c r="Y2" s="185">
        <v>3</v>
      </c>
      <c r="Z2" s="186"/>
      <c r="AA2" s="186"/>
      <c r="AB2" s="186"/>
      <c r="AC2" s="186"/>
      <c r="AD2" s="186"/>
      <c r="AE2" s="187"/>
      <c r="AF2" s="185">
        <v>4</v>
      </c>
      <c r="AG2" s="186"/>
      <c r="AH2" s="186"/>
      <c r="AI2" s="186"/>
      <c r="AJ2" s="186"/>
      <c r="AK2" s="186"/>
      <c r="AL2" s="187"/>
      <c r="AM2" s="185">
        <v>5</v>
      </c>
      <c r="AN2" s="186"/>
      <c r="AO2" s="186"/>
      <c r="AP2" s="186"/>
      <c r="AQ2" s="186"/>
      <c r="AR2" s="186"/>
      <c r="AS2" s="187"/>
      <c r="AT2" s="185">
        <v>6</v>
      </c>
      <c r="AU2" s="186"/>
      <c r="AV2" s="186"/>
      <c r="AW2" s="186"/>
      <c r="AX2" s="186"/>
      <c r="AY2" s="186"/>
      <c r="AZ2" s="186"/>
      <c r="BA2" s="187"/>
      <c r="BB2" s="188">
        <v>7</v>
      </c>
      <c r="BC2" s="189"/>
      <c r="BD2" s="189"/>
      <c r="BE2" s="190"/>
    </row>
    <row r="3" spans="2:57" ht="68" customHeight="1" x14ac:dyDescent="0.2">
      <c r="B3" s="191" t="s">
        <v>8</v>
      </c>
      <c r="C3" s="191" t="s">
        <v>9</v>
      </c>
      <c r="D3" s="191" t="s">
        <v>10</v>
      </c>
      <c r="E3" s="191" t="s">
        <v>11</v>
      </c>
      <c r="F3" s="191" t="s">
        <v>12</v>
      </c>
      <c r="G3" s="191" t="s">
        <v>13</v>
      </c>
      <c r="H3" s="191" t="s">
        <v>14</v>
      </c>
      <c r="I3" s="177" t="s">
        <v>15</v>
      </c>
      <c r="J3" s="178" t="s">
        <v>6</v>
      </c>
      <c r="K3" s="179"/>
      <c r="L3" s="180"/>
      <c r="M3" s="178" t="s">
        <v>0</v>
      </c>
      <c r="N3" s="179"/>
      <c r="O3" s="179"/>
      <c r="P3" s="180"/>
      <c r="Q3" s="179" t="s">
        <v>1</v>
      </c>
      <c r="R3" s="179"/>
      <c r="S3" s="179"/>
      <c r="T3" s="179"/>
      <c r="U3" s="179"/>
      <c r="V3" s="179"/>
      <c r="W3" s="179"/>
      <c r="X3" s="179"/>
      <c r="Y3" s="178" t="s">
        <v>2</v>
      </c>
      <c r="Z3" s="179"/>
      <c r="AA3" s="179"/>
      <c r="AB3" s="179"/>
      <c r="AC3" s="179"/>
      <c r="AD3" s="179"/>
      <c r="AE3" s="180"/>
      <c r="AF3" s="178" t="s">
        <v>3</v>
      </c>
      <c r="AG3" s="179"/>
      <c r="AH3" s="179"/>
      <c r="AI3" s="179"/>
      <c r="AJ3" s="179"/>
      <c r="AK3" s="179"/>
      <c r="AL3" s="180"/>
      <c r="AM3" s="178" t="s">
        <v>4</v>
      </c>
      <c r="AN3" s="179"/>
      <c r="AO3" s="179"/>
      <c r="AP3" s="179"/>
      <c r="AQ3" s="179"/>
      <c r="AR3" s="179"/>
      <c r="AS3" s="180"/>
      <c r="AT3" s="178" t="s">
        <v>5</v>
      </c>
      <c r="AU3" s="179"/>
      <c r="AV3" s="179"/>
      <c r="AW3" s="179"/>
      <c r="AX3" s="179"/>
      <c r="AY3" s="179"/>
      <c r="AZ3" s="179"/>
      <c r="BA3" s="180"/>
      <c r="BB3" s="181" t="s">
        <v>38</v>
      </c>
      <c r="BC3" s="182"/>
      <c r="BD3" s="182"/>
      <c r="BE3" s="183"/>
    </row>
    <row r="4" spans="2:57" ht="48" x14ac:dyDescent="0.2">
      <c r="B4" s="191"/>
      <c r="C4" s="191"/>
      <c r="D4" s="191"/>
      <c r="E4" s="191"/>
      <c r="F4" s="191"/>
      <c r="G4" s="191"/>
      <c r="H4" s="191"/>
      <c r="I4" s="177"/>
      <c r="J4" s="2" t="s">
        <v>10</v>
      </c>
      <c r="K4" s="3" t="s">
        <v>16</v>
      </c>
      <c r="L4" s="4" t="s">
        <v>17</v>
      </c>
      <c r="M4" s="5" t="s">
        <v>16</v>
      </c>
      <c r="N4" s="6" t="s">
        <v>18</v>
      </c>
      <c r="O4" s="6" t="s">
        <v>19</v>
      </c>
      <c r="P4" s="7" t="s">
        <v>20</v>
      </c>
      <c r="Q4" s="8" t="s">
        <v>21</v>
      </c>
      <c r="R4" s="3" t="s">
        <v>22</v>
      </c>
      <c r="S4" s="3" t="s">
        <v>23</v>
      </c>
      <c r="T4" s="8" t="s">
        <v>24</v>
      </c>
      <c r="U4" s="3" t="s">
        <v>25</v>
      </c>
      <c r="V4" s="3" t="s">
        <v>10</v>
      </c>
      <c r="W4" s="3" t="s">
        <v>26</v>
      </c>
      <c r="X4" s="8" t="s">
        <v>27</v>
      </c>
      <c r="Y4" s="5" t="s">
        <v>28</v>
      </c>
      <c r="Z4" s="9" t="s">
        <v>75</v>
      </c>
      <c r="AA4" s="6" t="s">
        <v>29</v>
      </c>
      <c r="AB4" s="6" t="s">
        <v>30</v>
      </c>
      <c r="AC4" s="6" t="s">
        <v>76</v>
      </c>
      <c r="AD4" s="6" t="s">
        <v>31</v>
      </c>
      <c r="AE4" s="7" t="s">
        <v>32</v>
      </c>
      <c r="AF4" s="5" t="s">
        <v>28</v>
      </c>
      <c r="AG4" s="9" t="s">
        <v>77</v>
      </c>
      <c r="AH4" s="6" t="s">
        <v>29</v>
      </c>
      <c r="AI4" s="6" t="s">
        <v>30</v>
      </c>
      <c r="AJ4" s="6" t="s">
        <v>76</v>
      </c>
      <c r="AK4" s="6" t="s">
        <v>31</v>
      </c>
      <c r="AL4" s="7" t="s">
        <v>32</v>
      </c>
      <c r="AM4" s="5" t="s">
        <v>28</v>
      </c>
      <c r="AN4" s="9" t="s">
        <v>77</v>
      </c>
      <c r="AO4" s="6" t="s">
        <v>29</v>
      </c>
      <c r="AP4" s="6" t="s">
        <v>33</v>
      </c>
      <c r="AQ4" s="6" t="s">
        <v>76</v>
      </c>
      <c r="AR4" s="6" t="s">
        <v>31</v>
      </c>
      <c r="AS4" s="7" t="s">
        <v>32</v>
      </c>
      <c r="AT4" s="10" t="s">
        <v>21</v>
      </c>
      <c r="AU4" s="3" t="s">
        <v>34</v>
      </c>
      <c r="AV4" s="3" t="s">
        <v>23</v>
      </c>
      <c r="AW4" s="8" t="s">
        <v>24</v>
      </c>
      <c r="AX4" s="3" t="s">
        <v>25</v>
      </c>
      <c r="AY4" s="3" t="s">
        <v>10</v>
      </c>
      <c r="AZ4" s="3" t="s">
        <v>26</v>
      </c>
      <c r="BA4" s="11" t="s">
        <v>27</v>
      </c>
      <c r="BB4" s="10" t="s">
        <v>21</v>
      </c>
      <c r="BC4" s="3" t="s">
        <v>36</v>
      </c>
      <c r="BD4" s="6" t="s">
        <v>37</v>
      </c>
      <c r="BE4" s="11" t="s">
        <v>27</v>
      </c>
    </row>
    <row r="5" spans="2:57" x14ac:dyDescent="0.2">
      <c r="B5" s="12">
        <v>43466</v>
      </c>
      <c r="C5" s="174">
        <v>35362.230000000003</v>
      </c>
      <c r="D5" s="13">
        <v>189.61009999999999</v>
      </c>
      <c r="E5" s="14">
        <v>267708000</v>
      </c>
      <c r="F5" s="14">
        <v>41330600</v>
      </c>
      <c r="G5" s="14">
        <v>0</v>
      </c>
      <c r="H5" s="14">
        <v>133757500</v>
      </c>
      <c r="I5" s="15">
        <v>8234417.3689273586</v>
      </c>
      <c r="J5" s="16"/>
      <c r="K5" s="17"/>
      <c r="L5" s="18"/>
      <c r="M5" s="16"/>
      <c r="N5" s="19"/>
      <c r="O5" s="17"/>
      <c r="P5" s="18"/>
      <c r="Q5" s="19"/>
      <c r="R5" s="19"/>
      <c r="S5" s="19"/>
      <c r="T5" s="19"/>
      <c r="U5" s="19"/>
      <c r="V5" s="19"/>
      <c r="W5" s="17"/>
      <c r="X5" s="19"/>
      <c r="Y5" s="16"/>
      <c r="Z5" s="19"/>
      <c r="AA5" s="19"/>
      <c r="AB5" s="19"/>
      <c r="AC5" s="19"/>
      <c r="AD5" s="17"/>
      <c r="AE5" s="18"/>
      <c r="AF5" s="16"/>
      <c r="AG5" s="19"/>
      <c r="AH5" s="19"/>
      <c r="AI5" s="19"/>
      <c r="AJ5" s="19"/>
      <c r="AK5" s="17"/>
      <c r="AL5" s="18"/>
      <c r="AM5" s="16"/>
      <c r="AN5" s="19"/>
      <c r="AO5" s="19"/>
      <c r="AP5" s="19"/>
      <c r="AQ5" s="19"/>
      <c r="AR5" s="17"/>
      <c r="AS5" s="18"/>
      <c r="AT5" s="16"/>
      <c r="AU5" s="19"/>
      <c r="AV5" s="19"/>
      <c r="AW5" s="19"/>
      <c r="AX5" s="19"/>
      <c r="AY5" s="19"/>
      <c r="AZ5" s="17"/>
      <c r="BA5" s="166"/>
      <c r="BB5" s="67"/>
      <c r="BD5" s="68"/>
      <c r="BE5" s="70"/>
    </row>
    <row r="6" spans="2:57" x14ac:dyDescent="0.2">
      <c r="B6" s="20">
        <v>43497</v>
      </c>
      <c r="C6" s="175">
        <v>36733.68</v>
      </c>
      <c r="D6" s="21">
        <v>196.7501</v>
      </c>
      <c r="E6" s="22">
        <v>233776100</v>
      </c>
      <c r="F6" s="22">
        <v>36317700</v>
      </c>
      <c r="G6" s="22">
        <v>0</v>
      </c>
      <c r="H6" s="22">
        <v>109694500</v>
      </c>
      <c r="I6" s="23">
        <v>8237119.6243520267</v>
      </c>
      <c r="J6" s="24"/>
      <c r="K6" s="25"/>
      <c r="L6" s="26"/>
      <c r="M6" s="24"/>
      <c r="N6" s="27"/>
      <c r="O6" s="25"/>
      <c r="P6" s="26"/>
      <c r="Q6" s="27"/>
      <c r="R6" s="27"/>
      <c r="S6" s="27"/>
      <c r="T6" s="27"/>
      <c r="U6" s="27"/>
      <c r="V6" s="27"/>
      <c r="W6" s="25"/>
      <c r="X6" s="27"/>
      <c r="Y6" s="24"/>
      <c r="Z6" s="27"/>
      <c r="AA6" s="27"/>
      <c r="AB6" s="27"/>
      <c r="AC6" s="27"/>
      <c r="AD6" s="25"/>
      <c r="AE6" s="26"/>
      <c r="AF6" s="24"/>
      <c r="AG6" s="27"/>
      <c r="AH6" s="27"/>
      <c r="AI6" s="27"/>
      <c r="AJ6" s="27"/>
      <c r="AK6" s="25"/>
      <c r="AL6" s="26"/>
      <c r="AM6" s="24"/>
      <c r="AN6" s="27"/>
      <c r="AO6" s="27"/>
      <c r="AP6" s="27"/>
      <c r="AQ6" s="27"/>
      <c r="AR6" s="25"/>
      <c r="AS6" s="26"/>
      <c r="AT6" s="24"/>
      <c r="AU6" s="27"/>
      <c r="AV6" s="27"/>
      <c r="AW6" s="27"/>
      <c r="AX6" s="27"/>
      <c r="AY6" s="27"/>
      <c r="AZ6" s="25"/>
      <c r="BA6" s="167"/>
      <c r="BB6" s="67"/>
      <c r="BD6" s="68"/>
      <c r="BE6" s="70"/>
    </row>
    <row r="7" spans="2:57" x14ac:dyDescent="0.2">
      <c r="B7" s="20">
        <v>43525</v>
      </c>
      <c r="C7" s="175">
        <v>38884.43</v>
      </c>
      <c r="D7" s="21">
        <v>205.9571</v>
      </c>
      <c r="E7" s="22">
        <v>236302200</v>
      </c>
      <c r="F7" s="22">
        <v>40416500</v>
      </c>
      <c r="G7" s="22">
        <v>0</v>
      </c>
      <c r="H7" s="22">
        <v>114062100</v>
      </c>
      <c r="I7" s="23">
        <v>8239822.7665649215</v>
      </c>
      <c r="J7" s="24"/>
      <c r="K7" s="25"/>
      <c r="L7" s="26"/>
      <c r="M7" s="24"/>
      <c r="N7" s="27"/>
      <c r="O7" s="25"/>
      <c r="P7" s="26"/>
      <c r="Q7" s="27"/>
      <c r="R7" s="27"/>
      <c r="S7" s="27"/>
      <c r="T7" s="27"/>
      <c r="U7" s="27"/>
      <c r="V7" s="27"/>
      <c r="W7" s="25"/>
      <c r="X7" s="27"/>
      <c r="Y7" s="24"/>
      <c r="Z7" s="27"/>
      <c r="AA7" s="27"/>
      <c r="AB7" s="27"/>
      <c r="AC7" s="27"/>
      <c r="AD7" s="25"/>
      <c r="AE7" s="26"/>
      <c r="AF7" s="24"/>
      <c r="AG7" s="27"/>
      <c r="AH7" s="27"/>
      <c r="AI7" s="27"/>
      <c r="AJ7" s="27"/>
      <c r="AK7" s="25"/>
      <c r="AL7" s="26"/>
      <c r="AM7" s="24"/>
      <c r="AN7" s="27"/>
      <c r="AO7" s="27"/>
      <c r="AP7" s="27"/>
      <c r="AQ7" s="27"/>
      <c r="AR7" s="25"/>
      <c r="AS7" s="26"/>
      <c r="AT7" s="24"/>
      <c r="AU7" s="27"/>
      <c r="AV7" s="27"/>
      <c r="AW7" s="27"/>
      <c r="AX7" s="27"/>
      <c r="AY7" s="27"/>
      <c r="AZ7" s="25"/>
      <c r="BA7" s="167"/>
      <c r="BB7" s="67"/>
      <c r="BD7" s="68"/>
      <c r="BE7" s="70"/>
    </row>
    <row r="8" spans="2:57" x14ac:dyDescent="0.2">
      <c r="B8" s="20">
        <v>43556</v>
      </c>
      <c r="C8" s="175">
        <v>39658.15</v>
      </c>
      <c r="D8" s="21">
        <v>213.05170000000001</v>
      </c>
      <c r="E8" s="22">
        <v>258425300</v>
      </c>
      <c r="F8" s="22">
        <v>39315500</v>
      </c>
      <c r="G8" s="22">
        <v>0</v>
      </c>
      <c r="H8" s="22">
        <v>118195300</v>
      </c>
      <c r="I8" s="23">
        <v>8242526.7958570579</v>
      </c>
      <c r="J8" s="24"/>
      <c r="K8" s="25"/>
      <c r="L8" s="26"/>
      <c r="M8" s="24"/>
      <c r="N8" s="27"/>
      <c r="O8" s="25"/>
      <c r="P8" s="26"/>
      <c r="Q8" s="27"/>
      <c r="R8" s="27"/>
      <c r="S8" s="27"/>
      <c r="T8" s="27"/>
      <c r="U8" s="27"/>
      <c r="V8" s="27"/>
      <c r="W8" s="25"/>
      <c r="X8" s="27"/>
      <c r="Y8" s="24"/>
      <c r="Z8" s="27"/>
      <c r="AA8" s="27"/>
      <c r="AB8" s="27"/>
      <c r="AC8" s="27"/>
      <c r="AD8" s="25"/>
      <c r="AE8" s="26"/>
      <c r="AF8" s="24"/>
      <c r="AG8" s="27"/>
      <c r="AH8" s="27"/>
      <c r="AI8" s="27"/>
      <c r="AJ8" s="27"/>
      <c r="AK8" s="25"/>
      <c r="AL8" s="26"/>
      <c r="AM8" s="24"/>
      <c r="AN8" s="27"/>
      <c r="AO8" s="27"/>
      <c r="AP8" s="27"/>
      <c r="AQ8" s="27"/>
      <c r="AR8" s="25"/>
      <c r="AS8" s="26"/>
      <c r="AT8" s="24"/>
      <c r="AU8" s="27"/>
      <c r="AV8" s="27"/>
      <c r="AW8" s="27"/>
      <c r="AX8" s="27"/>
      <c r="AY8" s="27"/>
      <c r="AZ8" s="25"/>
      <c r="BA8" s="167"/>
      <c r="BB8" s="67"/>
      <c r="BD8" s="68"/>
      <c r="BE8" s="70"/>
    </row>
    <row r="9" spans="2:57" x14ac:dyDescent="0.2">
      <c r="B9" s="20">
        <v>43586</v>
      </c>
      <c r="C9" s="175">
        <v>40911.089999999997</v>
      </c>
      <c r="D9" s="21">
        <v>219.56909999999999</v>
      </c>
      <c r="E9" s="22">
        <v>306019400</v>
      </c>
      <c r="F9" s="22">
        <v>45996200</v>
      </c>
      <c r="G9" s="22">
        <v>0</v>
      </c>
      <c r="H9" s="22">
        <v>123278900</v>
      </c>
      <c r="I9" s="23">
        <v>8245231.7125195442</v>
      </c>
      <c r="J9" s="24"/>
      <c r="K9" s="25"/>
      <c r="L9" s="26"/>
      <c r="M9" s="24"/>
      <c r="N9" s="27"/>
      <c r="O9" s="25"/>
      <c r="P9" s="26"/>
      <c r="Q9" s="27"/>
      <c r="R9" s="27"/>
      <c r="S9" s="27"/>
      <c r="T9" s="27"/>
      <c r="U9" s="27"/>
      <c r="V9" s="27"/>
      <c r="W9" s="25"/>
      <c r="X9" s="27"/>
      <c r="Y9" s="24"/>
      <c r="Z9" s="27"/>
      <c r="AA9" s="27"/>
      <c r="AB9" s="27"/>
      <c r="AC9" s="27"/>
      <c r="AD9" s="25"/>
      <c r="AE9" s="26"/>
      <c r="AF9" s="24"/>
      <c r="AG9" s="27"/>
      <c r="AH9" s="27"/>
      <c r="AI9" s="27"/>
      <c r="AJ9" s="27"/>
      <c r="AK9" s="25"/>
      <c r="AL9" s="26"/>
      <c r="AM9" s="24"/>
      <c r="AN9" s="27"/>
      <c r="AO9" s="27"/>
      <c r="AP9" s="27"/>
      <c r="AQ9" s="27"/>
      <c r="AR9" s="25"/>
      <c r="AS9" s="26"/>
      <c r="AT9" s="24"/>
      <c r="AU9" s="27"/>
      <c r="AV9" s="27"/>
      <c r="AW9" s="27"/>
      <c r="AX9" s="27"/>
      <c r="AY9" s="27"/>
      <c r="AZ9" s="25"/>
      <c r="BA9" s="167"/>
      <c r="BB9" s="67"/>
      <c r="BD9" s="68"/>
      <c r="BE9" s="70"/>
    </row>
    <row r="10" spans="2:57" x14ac:dyDescent="0.2">
      <c r="B10" s="20">
        <v>43617</v>
      </c>
      <c r="C10" s="175">
        <v>41584.199999999997</v>
      </c>
      <c r="D10" s="21">
        <v>225.53700000000001</v>
      </c>
      <c r="E10" s="22">
        <v>300933300</v>
      </c>
      <c r="F10" s="22">
        <v>43997700</v>
      </c>
      <c r="G10" s="22">
        <v>0</v>
      </c>
      <c r="H10" s="22">
        <v>122901100</v>
      </c>
      <c r="I10" s="23">
        <v>8247937.5168435853</v>
      </c>
      <c r="J10" s="24"/>
      <c r="K10" s="25"/>
      <c r="L10" s="26"/>
      <c r="M10" s="24"/>
      <c r="N10" s="27"/>
      <c r="O10" s="25"/>
      <c r="P10" s="26"/>
      <c r="Q10" s="27"/>
      <c r="R10" s="27"/>
      <c r="S10" s="27"/>
      <c r="T10" s="27"/>
      <c r="U10" s="27"/>
      <c r="V10" s="27"/>
      <c r="W10" s="25"/>
      <c r="X10" s="27"/>
      <c r="Y10" s="24"/>
      <c r="Z10" s="27"/>
      <c r="AA10" s="27"/>
      <c r="AB10" s="27"/>
      <c r="AC10" s="27"/>
      <c r="AD10" s="25"/>
      <c r="AE10" s="26"/>
      <c r="AF10" s="24"/>
      <c r="AG10" s="27"/>
      <c r="AH10" s="27"/>
      <c r="AI10" s="27"/>
      <c r="AJ10" s="27"/>
      <c r="AK10" s="25"/>
      <c r="AL10" s="26"/>
      <c r="AM10" s="24"/>
      <c r="AN10" s="27"/>
      <c r="AO10" s="27"/>
      <c r="AP10" s="27"/>
      <c r="AQ10" s="27"/>
      <c r="AR10" s="25"/>
      <c r="AS10" s="26"/>
      <c r="AT10" s="24"/>
      <c r="AU10" s="27"/>
      <c r="AV10" s="27"/>
      <c r="AW10" s="27"/>
      <c r="AX10" s="27"/>
      <c r="AY10" s="27"/>
      <c r="AZ10" s="25"/>
      <c r="BA10" s="167"/>
      <c r="BB10" s="67"/>
      <c r="BD10" s="68"/>
      <c r="BE10" s="70"/>
    </row>
    <row r="11" spans="2:57" x14ac:dyDescent="0.2">
      <c r="B11" s="20">
        <v>43647</v>
      </c>
      <c r="C11" s="175">
        <v>43290.96</v>
      </c>
      <c r="D11" s="21">
        <v>230.494</v>
      </c>
      <c r="E11" s="22">
        <v>336232700</v>
      </c>
      <c r="F11" s="22">
        <v>46588800</v>
      </c>
      <c r="G11" s="22">
        <v>0</v>
      </c>
      <c r="H11" s="22">
        <v>152183700</v>
      </c>
      <c r="I11" s="23">
        <v>8250644.2091204813</v>
      </c>
      <c r="J11" s="24"/>
      <c r="K11" s="25"/>
      <c r="L11" s="26"/>
      <c r="M11" s="24"/>
      <c r="N11" s="27"/>
      <c r="O11" s="25"/>
      <c r="P11" s="26"/>
      <c r="Q11" s="27"/>
      <c r="R11" s="27"/>
      <c r="S11" s="27"/>
      <c r="T11" s="27"/>
      <c r="U11" s="27"/>
      <c r="V11" s="27"/>
      <c r="W11" s="25"/>
      <c r="X11" s="27"/>
      <c r="Y11" s="24"/>
      <c r="Z11" s="27"/>
      <c r="AA11" s="27"/>
      <c r="AB11" s="27"/>
      <c r="AC11" s="27"/>
      <c r="AD11" s="25"/>
      <c r="AE11" s="26"/>
      <c r="AF11" s="24"/>
      <c r="AG11" s="27"/>
      <c r="AH11" s="27"/>
      <c r="AI11" s="27"/>
      <c r="AJ11" s="27"/>
      <c r="AK11" s="25"/>
      <c r="AL11" s="26"/>
      <c r="AM11" s="24"/>
      <c r="AN11" s="27"/>
      <c r="AO11" s="27"/>
      <c r="AP11" s="27"/>
      <c r="AQ11" s="27"/>
      <c r="AR11" s="25"/>
      <c r="AS11" s="26"/>
      <c r="AT11" s="24"/>
      <c r="AU11" s="27"/>
      <c r="AV11" s="27"/>
      <c r="AW11" s="27"/>
      <c r="AX11" s="27"/>
      <c r="AY11" s="27"/>
      <c r="AZ11" s="25"/>
      <c r="BA11" s="167"/>
      <c r="BB11" s="67"/>
      <c r="BD11" s="68"/>
      <c r="BE11" s="70"/>
    </row>
    <row r="12" spans="2:57" x14ac:dyDescent="0.2">
      <c r="B12" s="20">
        <v>43678</v>
      </c>
      <c r="C12" s="175">
        <v>44092.81</v>
      </c>
      <c r="D12" s="21">
        <v>239.60769999999999</v>
      </c>
      <c r="E12" s="22">
        <v>319495800</v>
      </c>
      <c r="F12" s="22">
        <v>50660600</v>
      </c>
      <c r="G12" s="22">
        <v>0</v>
      </c>
      <c r="H12" s="22">
        <v>133351800</v>
      </c>
      <c r="I12" s="23">
        <v>8253351.789641628</v>
      </c>
      <c r="J12" s="24"/>
      <c r="K12" s="25"/>
      <c r="L12" s="26"/>
      <c r="M12" s="24"/>
      <c r="N12" s="27"/>
      <c r="O12" s="25"/>
      <c r="P12" s="26"/>
      <c r="Q12" s="27"/>
      <c r="R12" s="27"/>
      <c r="S12" s="27"/>
      <c r="T12" s="27"/>
      <c r="U12" s="27"/>
      <c r="V12" s="27"/>
      <c r="W12" s="25"/>
      <c r="X12" s="27"/>
      <c r="Y12" s="24"/>
      <c r="Z12" s="27"/>
      <c r="AA12" s="27"/>
      <c r="AB12" s="27"/>
      <c r="AC12" s="27"/>
      <c r="AD12" s="25"/>
      <c r="AE12" s="26"/>
      <c r="AF12" s="24"/>
      <c r="AG12" s="27"/>
      <c r="AH12" s="27"/>
      <c r="AI12" s="27"/>
      <c r="AJ12" s="27"/>
      <c r="AK12" s="25"/>
      <c r="AL12" s="26"/>
      <c r="AM12" s="24"/>
      <c r="AN12" s="27"/>
      <c r="AO12" s="27"/>
      <c r="AP12" s="27"/>
      <c r="AQ12" s="27"/>
      <c r="AR12" s="25"/>
      <c r="AS12" s="26"/>
      <c r="AT12" s="24"/>
      <c r="AU12" s="27"/>
      <c r="AV12" s="27"/>
      <c r="AW12" s="27"/>
      <c r="AX12" s="27"/>
      <c r="AY12" s="27"/>
      <c r="AZ12" s="25"/>
      <c r="BA12" s="167"/>
      <c r="BB12" s="67"/>
      <c r="BD12" s="68"/>
      <c r="BE12" s="70"/>
    </row>
    <row r="13" spans="2:57" x14ac:dyDescent="0.2">
      <c r="B13" s="20">
        <v>43709</v>
      </c>
      <c r="C13" s="175">
        <v>45485.23</v>
      </c>
      <c r="D13" s="21">
        <v>253.71019999999999</v>
      </c>
      <c r="E13" s="22">
        <v>302571200</v>
      </c>
      <c r="F13" s="22">
        <v>50823200</v>
      </c>
      <c r="G13" s="22">
        <v>0</v>
      </c>
      <c r="H13" s="22">
        <v>125264200</v>
      </c>
      <c r="I13" s="23">
        <v>8256060.2586985175</v>
      </c>
      <c r="J13" s="24"/>
      <c r="K13" s="25"/>
      <c r="L13" s="28"/>
      <c r="M13" s="24"/>
      <c r="N13" s="27"/>
      <c r="O13" s="25"/>
      <c r="P13" s="26"/>
      <c r="Q13" s="27"/>
      <c r="R13" s="27"/>
      <c r="S13" s="27"/>
      <c r="T13" s="27"/>
      <c r="U13" s="27"/>
      <c r="V13" s="27"/>
      <c r="W13" s="25"/>
      <c r="X13" s="27"/>
      <c r="Y13" s="24"/>
      <c r="Z13" s="27"/>
      <c r="AA13" s="27"/>
      <c r="AB13" s="27"/>
      <c r="AC13" s="27"/>
      <c r="AD13" s="25"/>
      <c r="AE13" s="26"/>
      <c r="AF13" s="24"/>
      <c r="AG13" s="27"/>
      <c r="AH13" s="27"/>
      <c r="AI13" s="27"/>
      <c r="AJ13" s="27"/>
      <c r="AK13" s="25"/>
      <c r="AL13" s="26"/>
      <c r="AM13" s="24"/>
      <c r="AN13" s="27"/>
      <c r="AO13" s="27"/>
      <c r="AP13" s="27"/>
      <c r="AQ13" s="27"/>
      <c r="AR13" s="25"/>
      <c r="AS13" s="26"/>
      <c r="AT13" s="24"/>
      <c r="AU13" s="27"/>
      <c r="AV13" s="27"/>
      <c r="AW13" s="27"/>
      <c r="AX13" s="27"/>
      <c r="AY13" s="27"/>
      <c r="AZ13" s="25"/>
      <c r="BA13" s="167"/>
      <c r="BB13" s="67"/>
      <c r="BD13" s="68"/>
      <c r="BE13" s="70"/>
    </row>
    <row r="14" spans="2:57" x14ac:dyDescent="0.2">
      <c r="B14" s="20">
        <v>43739</v>
      </c>
      <c r="C14" s="175">
        <v>47834.32</v>
      </c>
      <c r="D14" s="21">
        <v>262.06610000000001</v>
      </c>
      <c r="E14" s="22">
        <v>324821100</v>
      </c>
      <c r="F14" s="22">
        <v>53258600</v>
      </c>
      <c r="G14" s="22">
        <v>0</v>
      </c>
      <c r="H14" s="22">
        <v>131800800</v>
      </c>
      <c r="I14" s="23">
        <v>8258769.6165827364</v>
      </c>
      <c r="J14" s="24"/>
      <c r="K14" s="25"/>
      <c r="L14" s="26"/>
      <c r="M14" s="24"/>
      <c r="N14" s="27"/>
      <c r="O14" s="25"/>
      <c r="P14" s="26"/>
      <c r="Q14" s="27"/>
      <c r="R14" s="27"/>
      <c r="S14" s="27"/>
      <c r="T14" s="27"/>
      <c r="U14" s="27"/>
      <c r="V14" s="27"/>
      <c r="W14" s="25"/>
      <c r="X14" s="27"/>
      <c r="Y14" s="24"/>
      <c r="Z14" s="27"/>
      <c r="AA14" s="27"/>
      <c r="AB14" s="27"/>
      <c r="AC14" s="27"/>
      <c r="AD14" s="25"/>
      <c r="AE14" s="26"/>
      <c r="AF14" s="24"/>
      <c r="AG14" s="27"/>
      <c r="AH14" s="27"/>
      <c r="AI14" s="27"/>
      <c r="AJ14" s="27"/>
      <c r="AK14" s="25"/>
      <c r="AL14" s="26"/>
      <c r="AM14" s="24"/>
      <c r="AN14" s="27"/>
      <c r="AO14" s="27"/>
      <c r="AP14" s="27"/>
      <c r="AQ14" s="27"/>
      <c r="AR14" s="25"/>
      <c r="AS14" s="26"/>
      <c r="AT14" s="24"/>
      <c r="AU14" s="27"/>
      <c r="AV14" s="27"/>
      <c r="AW14" s="27"/>
      <c r="AX14" s="27"/>
      <c r="AY14" s="27"/>
      <c r="AZ14" s="25"/>
      <c r="BA14" s="167"/>
      <c r="BB14" s="67"/>
      <c r="BD14" s="68"/>
      <c r="BE14" s="70"/>
    </row>
    <row r="15" spans="2:57" x14ac:dyDescent="0.2">
      <c r="B15" s="20">
        <v>43770</v>
      </c>
      <c r="C15" s="175">
        <v>48591.6</v>
      </c>
      <c r="D15" s="21">
        <v>273.2158</v>
      </c>
      <c r="E15" s="22">
        <v>342531200</v>
      </c>
      <c r="F15" s="22">
        <v>55753300</v>
      </c>
      <c r="G15" s="22">
        <v>0</v>
      </c>
      <c r="H15" s="22">
        <v>145354600</v>
      </c>
      <c r="I15" s="23">
        <v>8261479.8635859676</v>
      </c>
      <c r="J15" s="24"/>
      <c r="K15" s="25"/>
      <c r="L15" s="26"/>
      <c r="M15" s="24"/>
      <c r="N15" s="27"/>
      <c r="O15" s="25"/>
      <c r="P15" s="26"/>
      <c r="Q15" s="27"/>
      <c r="R15" s="27"/>
      <c r="S15" s="27"/>
      <c r="T15" s="27"/>
      <c r="U15" s="27"/>
      <c r="V15" s="27"/>
      <c r="W15" s="25"/>
      <c r="X15" s="27"/>
      <c r="Y15" s="24"/>
      <c r="Z15" s="27"/>
      <c r="AA15" s="27"/>
      <c r="AB15" s="27"/>
      <c r="AC15" s="27"/>
      <c r="AD15" s="25"/>
      <c r="AE15" s="26"/>
      <c r="AF15" s="24"/>
      <c r="AG15" s="27"/>
      <c r="AH15" s="27"/>
      <c r="AI15" s="27"/>
      <c r="AJ15" s="27"/>
      <c r="AK15" s="25"/>
      <c r="AL15" s="26"/>
      <c r="AM15" s="24"/>
      <c r="AN15" s="27"/>
      <c r="AO15" s="27"/>
      <c r="AP15" s="27"/>
      <c r="AQ15" s="27"/>
      <c r="AR15" s="25"/>
      <c r="AS15" s="26"/>
      <c r="AT15" s="24"/>
      <c r="AU15" s="27"/>
      <c r="AV15" s="27"/>
      <c r="AW15" s="27"/>
      <c r="AX15" s="27"/>
      <c r="AY15" s="27"/>
      <c r="AZ15" s="25"/>
      <c r="BA15" s="167"/>
      <c r="BB15" s="67"/>
      <c r="BD15" s="68"/>
      <c r="BE15" s="70"/>
    </row>
    <row r="16" spans="2:57" x14ac:dyDescent="0.2">
      <c r="B16" s="29">
        <v>43800</v>
      </c>
      <c r="C16" s="176">
        <v>49574.33</v>
      </c>
      <c r="D16" s="30">
        <v>283.44420000000002</v>
      </c>
      <c r="E16" s="22">
        <v>365268200</v>
      </c>
      <c r="F16" s="22">
        <v>55138900</v>
      </c>
      <c r="G16" s="22">
        <v>0</v>
      </c>
      <c r="H16" s="22">
        <v>150064300</v>
      </c>
      <c r="I16" s="31">
        <v>8264191</v>
      </c>
      <c r="J16" s="32"/>
      <c r="K16" s="33"/>
      <c r="L16" s="34"/>
      <c r="M16" s="32"/>
      <c r="N16" s="35"/>
      <c r="O16" s="33"/>
      <c r="P16" s="36"/>
      <c r="Q16" s="35"/>
      <c r="R16" s="35"/>
      <c r="S16" s="35"/>
      <c r="T16" s="35"/>
      <c r="U16" s="35"/>
      <c r="V16" s="35"/>
      <c r="W16" s="33"/>
      <c r="X16" s="35"/>
      <c r="Y16" s="32"/>
      <c r="Z16" s="35"/>
      <c r="AA16" s="35"/>
      <c r="AB16" s="35"/>
      <c r="AC16" s="35"/>
      <c r="AD16" s="33"/>
      <c r="AE16" s="36"/>
      <c r="AF16" s="32"/>
      <c r="AG16" s="35"/>
      <c r="AH16" s="35"/>
      <c r="AI16" s="35"/>
      <c r="AJ16" s="35"/>
      <c r="AK16" s="33"/>
      <c r="AL16" s="36"/>
      <c r="AM16" s="32"/>
      <c r="AN16" s="35"/>
      <c r="AO16" s="35"/>
      <c r="AP16" s="35"/>
      <c r="AQ16" s="35"/>
      <c r="AR16" s="33"/>
      <c r="AS16" s="36"/>
      <c r="AT16" s="32"/>
      <c r="AU16" s="35"/>
      <c r="AV16" s="35"/>
      <c r="AW16" s="35"/>
      <c r="AX16" s="35"/>
      <c r="AY16" s="35"/>
      <c r="AZ16" s="33"/>
      <c r="BA16" s="168"/>
      <c r="BB16" s="79"/>
      <c r="BC16" s="80"/>
      <c r="BD16" s="81"/>
      <c r="BE16" s="83"/>
    </row>
    <row r="17" spans="1:59" x14ac:dyDescent="0.2">
      <c r="A17" s="184" t="s">
        <v>35</v>
      </c>
      <c r="B17" s="12">
        <v>43831</v>
      </c>
      <c r="C17" s="174">
        <v>53070.21</v>
      </c>
      <c r="D17" s="13">
        <v>289.82990000000001</v>
      </c>
      <c r="E17" s="14">
        <v>365247200</v>
      </c>
      <c r="F17" s="14">
        <v>58588700</v>
      </c>
      <c r="G17" s="14">
        <v>1336043.3807027999</v>
      </c>
      <c r="H17" s="14">
        <v>185572700</v>
      </c>
      <c r="I17" s="14">
        <v>8267516.9614320556</v>
      </c>
      <c r="J17" s="16"/>
      <c r="K17" s="17"/>
      <c r="L17" s="37"/>
      <c r="M17" s="16"/>
      <c r="N17" s="19"/>
      <c r="O17" s="17"/>
      <c r="P17" s="37"/>
      <c r="Q17" s="19"/>
      <c r="R17" s="19"/>
      <c r="S17" s="19"/>
      <c r="T17" s="19"/>
      <c r="U17" s="19"/>
      <c r="V17" s="19"/>
      <c r="W17" s="17"/>
      <c r="X17" s="38"/>
      <c r="Y17" s="16"/>
      <c r="Z17" s="19"/>
      <c r="AA17" s="19"/>
      <c r="AB17" s="19"/>
      <c r="AC17" s="19"/>
      <c r="AD17" s="17"/>
      <c r="AE17" s="37"/>
      <c r="AF17" s="16"/>
      <c r="AG17" s="19"/>
      <c r="AH17" s="19"/>
      <c r="AI17" s="19"/>
      <c r="AJ17" s="19"/>
      <c r="AK17" s="17"/>
      <c r="AL17" s="37"/>
      <c r="AM17" s="16"/>
      <c r="AN17" s="19"/>
      <c r="AO17" s="19"/>
      <c r="AP17" s="19"/>
      <c r="AQ17" s="19"/>
      <c r="AR17" s="17"/>
      <c r="AS17" s="37"/>
      <c r="AT17" s="16"/>
      <c r="AU17" s="19"/>
      <c r="AV17" s="19"/>
      <c r="AW17" s="19"/>
      <c r="AX17" s="19"/>
      <c r="AY17" s="19"/>
      <c r="AZ17" s="17"/>
      <c r="BA17" s="169"/>
      <c r="BB17" s="67"/>
      <c r="BD17" s="68"/>
      <c r="BE17" s="37"/>
      <c r="BG17" s="173">
        <f t="shared" ref="BG17:BG27" si="0">C17/C5-1</f>
        <v>0.50075970887582577</v>
      </c>
    </row>
    <row r="18" spans="1:59" x14ac:dyDescent="0.2">
      <c r="A18" s="184"/>
      <c r="B18" s="20">
        <v>43862</v>
      </c>
      <c r="C18" s="175">
        <v>56386.47</v>
      </c>
      <c r="D18" s="21">
        <v>295.666</v>
      </c>
      <c r="E18" s="22">
        <v>328939800</v>
      </c>
      <c r="F18" s="22">
        <v>55705500</v>
      </c>
      <c r="G18" s="22">
        <v>3165610.4348777989</v>
      </c>
      <c r="H18" s="22">
        <v>160359800</v>
      </c>
      <c r="I18" s="22">
        <v>8270844.2614124883</v>
      </c>
      <c r="J18" s="24"/>
      <c r="K18" s="25"/>
      <c r="L18" s="39"/>
      <c r="M18" s="24"/>
      <c r="N18" s="27"/>
      <c r="O18" s="25"/>
      <c r="P18" s="39"/>
      <c r="Q18" s="27"/>
      <c r="R18" s="27"/>
      <c r="S18" s="27"/>
      <c r="T18" s="27"/>
      <c r="U18" s="27"/>
      <c r="V18" s="27"/>
      <c r="W18" s="25"/>
      <c r="X18" s="40"/>
      <c r="Y18" s="24"/>
      <c r="Z18" s="27"/>
      <c r="AA18" s="27"/>
      <c r="AB18" s="27"/>
      <c r="AC18" s="27"/>
      <c r="AD18" s="25"/>
      <c r="AE18" s="39"/>
      <c r="AF18" s="24"/>
      <c r="AG18" s="27"/>
      <c r="AH18" s="27"/>
      <c r="AI18" s="27"/>
      <c r="AJ18" s="27"/>
      <c r="AK18" s="25"/>
      <c r="AL18" s="39"/>
      <c r="AM18" s="24"/>
      <c r="AN18" s="27"/>
      <c r="AO18" s="27"/>
      <c r="AP18" s="27"/>
      <c r="AQ18" s="27"/>
      <c r="AR18" s="25"/>
      <c r="AS18" s="39"/>
      <c r="AT18" s="24"/>
      <c r="AU18" s="27"/>
      <c r="AV18" s="27"/>
      <c r="AW18" s="27"/>
      <c r="AX18" s="27"/>
      <c r="AY18" s="27"/>
      <c r="AZ18" s="25"/>
      <c r="BA18" s="170"/>
      <c r="BB18" s="67"/>
      <c r="BD18" s="68"/>
      <c r="BE18" s="39"/>
      <c r="BG18" s="173">
        <f t="shared" si="0"/>
        <v>0.53500738287043381</v>
      </c>
    </row>
    <row r="19" spans="1:59" x14ac:dyDescent="0.2">
      <c r="A19" s="184"/>
      <c r="B19" s="20">
        <v>43891</v>
      </c>
      <c r="C19" s="175">
        <v>56872.86</v>
      </c>
      <c r="D19" s="21">
        <v>305.55149999999998</v>
      </c>
      <c r="E19" s="22">
        <v>322461800</v>
      </c>
      <c r="F19" s="22">
        <v>51426700.000000007</v>
      </c>
      <c r="G19" s="22">
        <v>2687961.4525511996</v>
      </c>
      <c r="H19" s="22">
        <v>153109100.00000003</v>
      </c>
      <c r="I19" s="22">
        <v>8274172.9004800022</v>
      </c>
      <c r="J19" s="24"/>
      <c r="K19" s="25"/>
      <c r="L19" s="41">
        <v>0.09</v>
      </c>
      <c r="M19" s="42"/>
      <c r="N19" s="43"/>
      <c r="O19" s="44"/>
      <c r="P19" s="41">
        <v>0.09</v>
      </c>
      <c r="Q19" s="43"/>
      <c r="R19" s="43"/>
      <c r="S19" s="43"/>
      <c r="T19" s="43"/>
      <c r="U19" s="43"/>
      <c r="V19" s="43"/>
      <c r="W19" s="44"/>
      <c r="X19" s="41">
        <v>0.09</v>
      </c>
      <c r="Y19" s="42"/>
      <c r="Z19" s="43"/>
      <c r="AA19" s="43"/>
      <c r="AB19" s="43"/>
      <c r="AC19" s="43"/>
      <c r="AD19" s="44"/>
      <c r="AE19" s="41">
        <v>0.09</v>
      </c>
      <c r="AF19" s="42"/>
      <c r="AG19" s="43"/>
      <c r="AH19" s="43"/>
      <c r="AI19" s="43"/>
      <c r="AJ19" s="43"/>
      <c r="AK19" s="44"/>
      <c r="AL19" s="41">
        <v>0.09</v>
      </c>
      <c r="AM19" s="42"/>
      <c r="AN19" s="43"/>
      <c r="AO19" s="43"/>
      <c r="AP19" s="43"/>
      <c r="AQ19" s="43"/>
      <c r="AR19" s="44"/>
      <c r="AS19" s="41">
        <v>0.09</v>
      </c>
      <c r="AT19" s="42"/>
      <c r="AU19" s="43"/>
      <c r="AV19" s="43"/>
      <c r="AW19" s="43"/>
      <c r="AX19" s="43"/>
      <c r="AY19" s="43"/>
      <c r="AZ19" s="44"/>
      <c r="BA19" s="41">
        <v>0.09</v>
      </c>
      <c r="BB19" s="67"/>
      <c r="BD19" s="68"/>
      <c r="BE19" s="41">
        <v>0.09</v>
      </c>
      <c r="BG19" s="173">
        <f t="shared" si="0"/>
        <v>0.46261267041846832</v>
      </c>
    </row>
    <row r="20" spans="1:59" x14ac:dyDescent="0.2">
      <c r="A20" s="184"/>
      <c r="B20" s="20">
        <v>43922</v>
      </c>
      <c r="C20" s="175">
        <v>56955.63</v>
      </c>
      <c r="D20" s="21">
        <v>310.12430000000001</v>
      </c>
      <c r="E20" s="22">
        <v>297744300</v>
      </c>
      <c r="F20" s="22">
        <v>55397900</v>
      </c>
      <c r="G20" s="22">
        <v>1916920.8602249995</v>
      </c>
      <c r="H20" s="22">
        <v>139944300</v>
      </c>
      <c r="I20" s="22">
        <v>8277502.8791735191</v>
      </c>
      <c r="J20" s="24"/>
      <c r="K20" s="25"/>
      <c r="L20" s="41"/>
      <c r="M20" s="42"/>
      <c r="N20" s="43"/>
      <c r="O20" s="44"/>
      <c r="P20" s="41"/>
      <c r="Q20" s="43"/>
      <c r="R20" s="43"/>
      <c r="S20" s="43"/>
      <c r="T20" s="43"/>
      <c r="U20" s="43"/>
      <c r="V20" s="43"/>
      <c r="W20" s="44"/>
      <c r="X20" s="41"/>
      <c r="Y20" s="42"/>
      <c r="Z20" s="43"/>
      <c r="AA20" s="43"/>
      <c r="AB20" s="43"/>
      <c r="AC20" s="43"/>
      <c r="AD20" s="44"/>
      <c r="AE20" s="41"/>
      <c r="AF20" s="42"/>
      <c r="AG20" s="43"/>
      <c r="AH20" s="43"/>
      <c r="AI20" s="43"/>
      <c r="AJ20" s="43"/>
      <c r="AK20" s="44"/>
      <c r="AL20" s="41"/>
      <c r="AM20" s="42"/>
      <c r="AN20" s="43"/>
      <c r="AO20" s="43"/>
      <c r="AP20" s="43"/>
      <c r="AQ20" s="43"/>
      <c r="AR20" s="44"/>
      <c r="AS20" s="41"/>
      <c r="AT20" s="42"/>
      <c r="AU20" s="43"/>
      <c r="AV20" s="43"/>
      <c r="AW20" s="43"/>
      <c r="AX20" s="43"/>
      <c r="AY20" s="43"/>
      <c r="AZ20" s="44"/>
      <c r="BA20" s="41"/>
      <c r="BB20" s="67"/>
      <c r="BD20" s="68"/>
      <c r="BE20" s="41"/>
      <c r="BG20" s="173">
        <f t="shared" si="0"/>
        <v>0.43616457146891618</v>
      </c>
    </row>
    <row r="21" spans="1:59" x14ac:dyDescent="0.2">
      <c r="A21" s="184"/>
      <c r="B21" s="20">
        <v>43952</v>
      </c>
      <c r="C21" s="175">
        <v>57057.9</v>
      </c>
      <c r="D21" s="21">
        <v>314.90870000000001</v>
      </c>
      <c r="E21" s="22">
        <v>313122320</v>
      </c>
      <c r="F21" s="22">
        <v>48512900</v>
      </c>
      <c r="G21" s="22">
        <v>5000758.7880683998</v>
      </c>
      <c r="H21" s="22">
        <v>133420200</v>
      </c>
      <c r="I21" s="22">
        <v>8280834.198032178</v>
      </c>
      <c r="J21" s="24"/>
      <c r="K21" s="25"/>
      <c r="L21" s="41"/>
      <c r="M21" s="42"/>
      <c r="N21" s="43"/>
      <c r="O21" s="44"/>
      <c r="P21" s="41"/>
      <c r="Q21" s="43"/>
      <c r="R21" s="43"/>
      <c r="S21" s="43"/>
      <c r="T21" s="43"/>
      <c r="U21" s="43"/>
      <c r="V21" s="43"/>
      <c r="W21" s="44"/>
      <c r="X21" s="41"/>
      <c r="Y21" s="42"/>
      <c r="Z21" s="43"/>
      <c r="AA21" s="43"/>
      <c r="AB21" s="43"/>
      <c r="AC21" s="43"/>
      <c r="AD21" s="44"/>
      <c r="AE21" s="41"/>
      <c r="AF21" s="42"/>
      <c r="AG21" s="43"/>
      <c r="AH21" s="43"/>
      <c r="AI21" s="43"/>
      <c r="AJ21" s="43"/>
      <c r="AK21" s="44"/>
      <c r="AL21" s="41"/>
      <c r="AM21" s="42"/>
      <c r="AN21" s="43"/>
      <c r="AO21" s="43"/>
      <c r="AP21" s="43"/>
      <c r="AQ21" s="43"/>
      <c r="AR21" s="44"/>
      <c r="AS21" s="41"/>
      <c r="AT21" s="42"/>
      <c r="AU21" s="43"/>
      <c r="AV21" s="43"/>
      <c r="AW21" s="43"/>
      <c r="AX21" s="43"/>
      <c r="AY21" s="43"/>
      <c r="AZ21" s="44"/>
      <c r="BA21" s="41"/>
      <c r="BB21" s="67"/>
      <c r="BD21" s="68"/>
      <c r="BE21" s="41"/>
      <c r="BG21" s="173">
        <f t="shared" si="0"/>
        <v>0.39468051327891795</v>
      </c>
    </row>
    <row r="22" spans="1:59" x14ac:dyDescent="0.2">
      <c r="A22" s="184"/>
      <c r="B22" s="20">
        <v>43983</v>
      </c>
      <c r="C22" s="175">
        <v>58361.93</v>
      </c>
      <c r="D22" s="21">
        <v>321.97379999999998</v>
      </c>
      <c r="E22" s="22">
        <v>382387700</v>
      </c>
      <c r="F22" s="22">
        <v>68267400</v>
      </c>
      <c r="G22" s="22">
        <v>5928665.6857848</v>
      </c>
      <c r="H22" s="22">
        <v>163502400</v>
      </c>
      <c r="I22" s="22">
        <v>8284166.8575953348</v>
      </c>
      <c r="J22" s="24"/>
      <c r="K22" s="25"/>
      <c r="L22" s="41">
        <v>6.1199999999999997E-2</v>
      </c>
      <c r="M22" s="42"/>
      <c r="N22" s="43"/>
      <c r="O22" s="44"/>
      <c r="P22" s="41">
        <v>6.1199999999999997E-2</v>
      </c>
      <c r="Q22" s="43"/>
      <c r="R22" s="43"/>
      <c r="S22" s="43"/>
      <c r="T22" s="43"/>
      <c r="U22" s="43"/>
      <c r="V22" s="43"/>
      <c r="W22" s="44"/>
      <c r="X22" s="41">
        <v>6.1199999999999997E-2</v>
      </c>
      <c r="Y22" s="42"/>
      <c r="Z22" s="43"/>
      <c r="AA22" s="43"/>
      <c r="AB22" s="43"/>
      <c r="AC22" s="43"/>
      <c r="AD22" s="44"/>
      <c r="AE22" s="41">
        <v>6.1199999999999997E-2</v>
      </c>
      <c r="AF22" s="42"/>
      <c r="AG22" s="43"/>
      <c r="AH22" s="43"/>
      <c r="AI22" s="43"/>
      <c r="AJ22" s="43"/>
      <c r="AK22" s="44"/>
      <c r="AL22" s="41">
        <v>6.1199999999999997E-2</v>
      </c>
      <c r="AM22" s="42"/>
      <c r="AN22" s="43"/>
      <c r="AO22" s="43"/>
      <c r="AP22" s="43"/>
      <c r="AQ22" s="43"/>
      <c r="AR22" s="44"/>
      <c r="AS22" s="41">
        <v>6.1199999999999997E-2</v>
      </c>
      <c r="AT22" s="42"/>
      <c r="AU22" s="43"/>
      <c r="AV22" s="43"/>
      <c r="AW22" s="43"/>
      <c r="AX22" s="43"/>
      <c r="AY22" s="43"/>
      <c r="AZ22" s="44"/>
      <c r="BA22" s="41">
        <v>6.1199999999999997E-2</v>
      </c>
      <c r="BB22" s="67"/>
      <c r="BD22" s="68"/>
      <c r="BE22" s="41">
        <v>6.1199999999999997E-2</v>
      </c>
      <c r="BG22" s="173">
        <f t="shared" si="0"/>
        <v>0.40346405605975355</v>
      </c>
    </row>
    <row r="23" spans="1:59" x14ac:dyDescent="0.2">
      <c r="A23" s="184"/>
      <c r="B23" s="20">
        <v>44013</v>
      </c>
      <c r="C23" s="175">
        <v>60440.53</v>
      </c>
      <c r="D23" s="21">
        <v>328.20139999999998</v>
      </c>
      <c r="E23" s="22">
        <v>412682500</v>
      </c>
      <c r="F23" s="22">
        <v>66066000</v>
      </c>
      <c r="G23" s="22">
        <v>8407515.504922796</v>
      </c>
      <c r="H23" s="22">
        <v>189715300</v>
      </c>
      <c r="I23" s="22">
        <v>8287500.8584025614</v>
      </c>
      <c r="J23" s="24"/>
      <c r="K23" s="25"/>
      <c r="L23" s="41"/>
      <c r="M23" s="42"/>
      <c r="N23" s="43"/>
      <c r="O23" s="44"/>
      <c r="P23" s="41"/>
      <c r="Q23" s="43"/>
      <c r="R23" s="43"/>
      <c r="S23" s="43"/>
      <c r="T23" s="43"/>
      <c r="U23" s="43"/>
      <c r="V23" s="43"/>
      <c r="W23" s="44"/>
      <c r="X23" s="41"/>
      <c r="Y23" s="42"/>
      <c r="Z23" s="43"/>
      <c r="AA23" s="43"/>
      <c r="AB23" s="43"/>
      <c r="AC23" s="43"/>
      <c r="AD23" s="44"/>
      <c r="AE23" s="41"/>
      <c r="AF23" s="42"/>
      <c r="AG23" s="43"/>
      <c r="AH23" s="43"/>
      <c r="AI23" s="43"/>
      <c r="AJ23" s="43"/>
      <c r="AK23" s="44"/>
      <c r="AL23" s="41"/>
      <c r="AM23" s="42"/>
      <c r="AN23" s="43"/>
      <c r="AO23" s="43"/>
      <c r="AP23" s="43"/>
      <c r="AQ23" s="43"/>
      <c r="AR23" s="44"/>
      <c r="AS23" s="41"/>
      <c r="AT23" s="42"/>
      <c r="AU23" s="43"/>
      <c r="AV23" s="43"/>
      <c r="AW23" s="43"/>
      <c r="AX23" s="43"/>
      <c r="AY23" s="43"/>
      <c r="AZ23" s="44"/>
      <c r="BA23" s="41"/>
      <c r="BB23" s="67"/>
      <c r="BD23" s="68"/>
      <c r="BE23" s="41"/>
      <c r="BG23" s="173">
        <f t="shared" si="0"/>
        <v>0.39614667819794258</v>
      </c>
    </row>
    <row r="24" spans="1:59" x14ac:dyDescent="0.2">
      <c r="A24" s="184"/>
      <c r="B24" s="20">
        <v>44044</v>
      </c>
      <c r="C24" s="175">
        <v>60767.23</v>
      </c>
      <c r="D24" s="21">
        <v>337.06319999999999</v>
      </c>
      <c r="E24" s="22">
        <v>412648600</v>
      </c>
      <c r="F24" s="22">
        <v>70202200</v>
      </c>
      <c r="G24" s="22">
        <v>9193177.397346599</v>
      </c>
      <c r="H24" s="22">
        <v>171605000</v>
      </c>
      <c r="I24" s="22">
        <v>8290836.2009936478</v>
      </c>
      <c r="J24" s="24"/>
      <c r="K24" s="25"/>
      <c r="L24" s="41"/>
      <c r="M24" s="42"/>
      <c r="N24" s="43"/>
      <c r="O24" s="44"/>
      <c r="P24" s="41"/>
      <c r="Q24" s="43"/>
      <c r="R24" s="43"/>
      <c r="S24" s="43"/>
      <c r="T24" s="43"/>
      <c r="U24" s="43"/>
      <c r="V24" s="43"/>
      <c r="W24" s="44"/>
      <c r="X24" s="41"/>
      <c r="Y24" s="42"/>
      <c r="Z24" s="43"/>
      <c r="AA24" s="43"/>
      <c r="AB24" s="43"/>
      <c r="AC24" s="43"/>
      <c r="AD24" s="44"/>
      <c r="AE24" s="41"/>
      <c r="AF24" s="42"/>
      <c r="AG24" s="43"/>
      <c r="AH24" s="43"/>
      <c r="AI24" s="43"/>
      <c r="AJ24" s="43"/>
      <c r="AK24" s="44"/>
      <c r="AL24" s="41"/>
      <c r="AM24" s="42"/>
      <c r="AN24" s="43"/>
      <c r="AO24" s="43"/>
      <c r="AP24" s="43"/>
      <c r="AQ24" s="43"/>
      <c r="AR24" s="44"/>
      <c r="AS24" s="41"/>
      <c r="AT24" s="42"/>
      <c r="AU24" s="43"/>
      <c r="AV24" s="43"/>
      <c r="AW24" s="43"/>
      <c r="AX24" s="43"/>
      <c r="AY24" s="43"/>
      <c r="AZ24" s="44"/>
      <c r="BA24" s="41"/>
      <c r="BB24" s="67"/>
      <c r="BD24" s="68"/>
      <c r="BE24" s="41"/>
      <c r="BG24" s="173">
        <f t="shared" si="0"/>
        <v>0.37816641760867609</v>
      </c>
    </row>
    <row r="25" spans="1:59" x14ac:dyDescent="0.2">
      <c r="A25" s="184"/>
      <c r="B25" s="20">
        <v>44075</v>
      </c>
      <c r="C25" s="45">
        <v>61447.82297600001</v>
      </c>
      <c r="D25" s="21">
        <v>346.50096960000002</v>
      </c>
      <c r="E25" s="22">
        <v>431813206.96576321</v>
      </c>
      <c r="F25" s="22">
        <v>78416279.068639278</v>
      </c>
      <c r="G25" s="22">
        <v>8760350.6704139989</v>
      </c>
      <c r="H25" s="22">
        <v>183687093.99849007</v>
      </c>
      <c r="I25" s="22">
        <v>8294172.8859086018</v>
      </c>
      <c r="J25" s="24"/>
      <c r="K25" s="25"/>
      <c r="L25" s="46">
        <v>7.4999999999999997E-2</v>
      </c>
      <c r="M25" s="42"/>
      <c r="N25" s="43"/>
      <c r="O25" s="44"/>
      <c r="P25" s="46">
        <v>7.4999999999999997E-2</v>
      </c>
      <c r="Q25" s="47"/>
      <c r="R25" s="47"/>
      <c r="S25" s="47"/>
      <c r="T25" s="47"/>
      <c r="U25" s="47"/>
      <c r="V25" s="47"/>
      <c r="W25" s="48"/>
      <c r="X25" s="46">
        <v>7.4999999999999997E-2</v>
      </c>
      <c r="Y25" s="42"/>
      <c r="Z25" s="43"/>
      <c r="AA25" s="43"/>
      <c r="AB25" s="43"/>
      <c r="AC25" s="43"/>
      <c r="AD25" s="44"/>
      <c r="AE25" s="46">
        <v>7.4999999999999997E-2</v>
      </c>
      <c r="AF25" s="42"/>
      <c r="AG25" s="43"/>
      <c r="AH25" s="43"/>
      <c r="AI25" s="43"/>
      <c r="AJ25" s="43"/>
      <c r="AK25" s="44"/>
      <c r="AL25" s="46">
        <v>7.4999999999999997E-2</v>
      </c>
      <c r="AM25" s="42"/>
      <c r="AN25" s="43"/>
      <c r="AO25" s="43"/>
      <c r="AP25" s="43"/>
      <c r="AQ25" s="43"/>
      <c r="AR25" s="44"/>
      <c r="AS25" s="46">
        <v>7.4999999999999997E-2</v>
      </c>
      <c r="AT25" s="49"/>
      <c r="AU25" s="47"/>
      <c r="AV25" s="47"/>
      <c r="AW25" s="47"/>
      <c r="AX25" s="47"/>
      <c r="AY25" s="47"/>
      <c r="AZ25" s="48"/>
      <c r="BA25" s="46">
        <v>7.4999999999999997E-2</v>
      </c>
      <c r="BB25" s="67"/>
      <c r="BD25" s="68"/>
      <c r="BE25" s="46">
        <v>7.4999999999999997E-2</v>
      </c>
      <c r="BG25" s="173">
        <f t="shared" si="0"/>
        <v>0.35094013982121242</v>
      </c>
    </row>
    <row r="26" spans="1:59" x14ac:dyDescent="0.2">
      <c r="A26" s="184"/>
      <c r="B26" s="20">
        <v>44105</v>
      </c>
      <c r="C26" s="45">
        <v>62590.752483353608</v>
      </c>
      <c r="D26" s="21">
        <v>357.24249965759998</v>
      </c>
      <c r="E26" s="22">
        <v>429187195.86417931</v>
      </c>
      <c r="F26" s="22">
        <v>75933766.875278994</v>
      </c>
      <c r="G26" s="22">
        <v>3364728.2066220487</v>
      </c>
      <c r="H26" s="22">
        <v>180435890.57911763</v>
      </c>
      <c r="I26" s="22">
        <v>8297510.9136876473</v>
      </c>
      <c r="J26" s="24"/>
      <c r="K26" s="25"/>
      <c r="L26" s="41"/>
      <c r="M26" s="42"/>
      <c r="N26" s="43"/>
      <c r="O26" s="44"/>
      <c r="P26" s="41"/>
      <c r="Q26" s="43"/>
      <c r="R26" s="43"/>
      <c r="S26" s="43"/>
      <c r="T26" s="43"/>
      <c r="U26" s="43"/>
      <c r="V26" s="43"/>
      <c r="W26" s="44"/>
      <c r="X26" s="50"/>
      <c r="Y26" s="42"/>
      <c r="Z26" s="43"/>
      <c r="AA26" s="43"/>
      <c r="AB26" s="43"/>
      <c r="AC26" s="43"/>
      <c r="AD26" s="44"/>
      <c r="AE26" s="41"/>
      <c r="AF26" s="42"/>
      <c r="AG26" s="43"/>
      <c r="AH26" s="43"/>
      <c r="AI26" s="43"/>
      <c r="AJ26" s="43"/>
      <c r="AK26" s="44"/>
      <c r="AL26" s="41"/>
      <c r="AM26" s="42"/>
      <c r="AN26" s="43"/>
      <c r="AO26" s="43"/>
      <c r="AP26" s="43"/>
      <c r="AQ26" s="43"/>
      <c r="AR26" s="44"/>
      <c r="AS26" s="41"/>
      <c r="AT26" s="42"/>
      <c r="AU26" s="43"/>
      <c r="AV26" s="43"/>
      <c r="AW26" s="43"/>
      <c r="AX26" s="43"/>
      <c r="AY26" s="43"/>
      <c r="AZ26" s="44"/>
      <c r="BA26" s="171"/>
      <c r="BB26" s="67"/>
      <c r="BD26" s="68"/>
      <c r="BE26" s="41"/>
      <c r="BG26" s="173">
        <f t="shared" si="0"/>
        <v>0.30849048305387439</v>
      </c>
    </row>
    <row r="27" spans="1:59" x14ac:dyDescent="0.2">
      <c r="A27" s="184"/>
      <c r="B27" s="20">
        <v>44136</v>
      </c>
      <c r="C27" s="45">
        <v>63992.785338980728</v>
      </c>
      <c r="D27" s="21">
        <v>367.24528964801277</v>
      </c>
      <c r="E27" s="22">
        <v>411465972.41859072</v>
      </c>
      <c r="F27" s="22">
        <v>72732819.991058588</v>
      </c>
      <c r="G27" s="22">
        <v>3343942.6992659243</v>
      </c>
      <c r="H27" s="22">
        <v>179652522.05143613</v>
      </c>
      <c r="I27" s="22">
        <v>8300850.2848712252</v>
      </c>
      <c r="J27" s="24"/>
      <c r="K27" s="25"/>
      <c r="L27" s="41"/>
      <c r="M27" s="42"/>
      <c r="N27" s="43"/>
      <c r="O27" s="44"/>
      <c r="P27" s="41"/>
      <c r="Q27" s="43"/>
      <c r="R27" s="43"/>
      <c r="S27" s="43"/>
      <c r="T27" s="43"/>
      <c r="U27" s="43"/>
      <c r="V27" s="43"/>
      <c r="W27" s="44"/>
      <c r="X27" s="50"/>
      <c r="Y27" s="42"/>
      <c r="Z27" s="43"/>
      <c r="AA27" s="43"/>
      <c r="AB27" s="43"/>
      <c r="AC27" s="43"/>
      <c r="AD27" s="44"/>
      <c r="AE27" s="41"/>
      <c r="AF27" s="42"/>
      <c r="AG27" s="43"/>
      <c r="AH27" s="43"/>
      <c r="AI27" s="43"/>
      <c r="AJ27" s="43"/>
      <c r="AK27" s="44"/>
      <c r="AL27" s="41"/>
      <c r="AM27" s="42"/>
      <c r="AN27" s="43"/>
      <c r="AO27" s="43"/>
      <c r="AP27" s="43"/>
      <c r="AQ27" s="43"/>
      <c r="AR27" s="44"/>
      <c r="AS27" s="41"/>
      <c r="AT27" s="42"/>
      <c r="AU27" s="43"/>
      <c r="AV27" s="43"/>
      <c r="AW27" s="43"/>
      <c r="AX27" s="43"/>
      <c r="AY27" s="43"/>
      <c r="AZ27" s="44"/>
      <c r="BA27" s="171"/>
      <c r="BB27" s="67"/>
      <c r="BD27" s="68"/>
      <c r="BE27" s="41"/>
      <c r="BG27" s="173">
        <f t="shared" si="0"/>
        <v>0.31695159943242723</v>
      </c>
    </row>
    <row r="28" spans="1:59" x14ac:dyDescent="0.2">
      <c r="A28" s="184"/>
      <c r="B28" s="29">
        <v>44166</v>
      </c>
      <c r="C28" s="51">
        <v>65400.626616438305</v>
      </c>
      <c r="D28" s="30">
        <v>375.32468602026904</v>
      </c>
      <c r="E28" s="52">
        <v>409776892.74069971</v>
      </c>
      <c r="F28" s="52">
        <v>72869770.417685822</v>
      </c>
      <c r="G28" s="52">
        <v>3773909.4494269835</v>
      </c>
      <c r="H28" s="52">
        <v>184891436.49546009</v>
      </c>
      <c r="I28" s="52">
        <v>8304191</v>
      </c>
      <c r="J28" s="32"/>
      <c r="K28" s="33"/>
      <c r="L28" s="53"/>
      <c r="M28" s="54"/>
      <c r="N28" s="55"/>
      <c r="O28" s="56"/>
      <c r="P28" s="53"/>
      <c r="Q28" s="57"/>
      <c r="R28" s="57"/>
      <c r="S28" s="57"/>
      <c r="T28" s="57"/>
      <c r="U28" s="57"/>
      <c r="V28" s="57"/>
      <c r="W28" s="58"/>
      <c r="X28" s="59"/>
      <c r="Y28" s="54"/>
      <c r="Z28" s="55"/>
      <c r="AA28" s="55"/>
      <c r="AB28" s="55"/>
      <c r="AC28" s="55"/>
      <c r="AD28" s="56"/>
      <c r="AE28" s="53"/>
      <c r="AF28" s="54"/>
      <c r="AG28" s="55"/>
      <c r="AH28" s="55"/>
      <c r="AI28" s="55"/>
      <c r="AJ28" s="55"/>
      <c r="AK28" s="56"/>
      <c r="AL28" s="53"/>
      <c r="AM28" s="54"/>
      <c r="AN28" s="55"/>
      <c r="AO28" s="55"/>
      <c r="AP28" s="55"/>
      <c r="AQ28" s="55"/>
      <c r="AR28" s="56"/>
      <c r="AS28" s="53"/>
      <c r="AT28" s="60"/>
      <c r="AU28" s="57"/>
      <c r="AV28" s="57"/>
      <c r="AW28" s="57"/>
      <c r="AX28" s="57"/>
      <c r="AY28" s="57"/>
      <c r="AZ28" s="58"/>
      <c r="BA28" s="172"/>
      <c r="BB28" s="79"/>
      <c r="BC28" s="80"/>
      <c r="BD28" s="81"/>
      <c r="BE28" s="53"/>
      <c r="BG28" s="173">
        <f>C28/C16-1</f>
        <v>0.31924378234538531</v>
      </c>
    </row>
    <row r="29" spans="1:59" x14ac:dyDescent="0.2">
      <c r="B29" s="12">
        <v>44197</v>
      </c>
      <c r="C29" s="61">
        <v>66873.612229407037</v>
      </c>
      <c r="D29" s="13">
        <v>383.3754005354038</v>
      </c>
      <c r="E29" s="14">
        <v>509820681.64525557</v>
      </c>
      <c r="F29" s="14">
        <v>78452836.45531337</v>
      </c>
      <c r="G29" s="14">
        <v>4144545.8860446974</v>
      </c>
      <c r="H29" s="14">
        <v>250020698.85258979</v>
      </c>
      <c r="I29" s="14">
        <v>8308346.2121611582</v>
      </c>
      <c r="J29" s="62"/>
      <c r="K29" s="63"/>
      <c r="L29" s="64"/>
      <c r="M29" s="62"/>
      <c r="N29" s="65"/>
      <c r="O29" s="63"/>
      <c r="P29" s="64"/>
      <c r="Q29" s="65"/>
      <c r="R29" s="65"/>
      <c r="S29" s="65"/>
      <c r="T29" s="65"/>
      <c r="U29" s="65"/>
      <c r="V29" s="65"/>
      <c r="W29" s="63"/>
      <c r="X29" s="65"/>
      <c r="Y29" s="62"/>
      <c r="Z29" s="65"/>
      <c r="AA29" s="65"/>
      <c r="AB29" s="65"/>
      <c r="AC29" s="65"/>
      <c r="AD29" s="63"/>
      <c r="AE29" s="64"/>
      <c r="AF29" s="62"/>
      <c r="AG29" s="65"/>
      <c r="AH29" s="65"/>
      <c r="AI29" s="65"/>
      <c r="AJ29" s="65"/>
      <c r="AK29" s="63"/>
      <c r="AL29" s="64"/>
      <c r="AM29" s="62"/>
      <c r="AN29" s="65"/>
      <c r="AO29" s="65"/>
      <c r="AP29" s="65"/>
      <c r="AQ29" s="65"/>
      <c r="AR29" s="63"/>
      <c r="AS29" s="64"/>
      <c r="AT29" s="62"/>
      <c r="AU29" s="65"/>
      <c r="AV29" s="65"/>
      <c r="AW29" s="65"/>
      <c r="AX29" s="65"/>
      <c r="AY29" s="65"/>
      <c r="AZ29" s="63"/>
      <c r="BA29" s="66"/>
      <c r="BB29" s="67"/>
      <c r="BD29" s="68"/>
      <c r="BE29" s="66"/>
      <c r="BG29" s="173"/>
    </row>
    <row r="30" spans="1:59" x14ac:dyDescent="0.2">
      <c r="B30" s="20">
        <v>44228</v>
      </c>
      <c r="C30" s="45">
        <v>68451.495109959898</v>
      </c>
      <c r="D30" s="21">
        <v>391.59880287688821</v>
      </c>
      <c r="E30" s="22">
        <v>452884049.36556286</v>
      </c>
      <c r="F30" s="22">
        <v>79334483.851276755</v>
      </c>
      <c r="G30" s="22">
        <v>4186713.551739566</v>
      </c>
      <c r="H30" s="22">
        <v>205715036.62797678</v>
      </c>
      <c r="I30" s="22">
        <v>8312503.5034878971</v>
      </c>
      <c r="J30" s="67"/>
      <c r="K30" s="68"/>
      <c r="L30" s="69"/>
      <c r="M30" s="67"/>
      <c r="O30" s="68"/>
      <c r="P30" s="69"/>
      <c r="W30" s="68"/>
      <c r="Y30" s="67"/>
      <c r="AD30" s="68"/>
      <c r="AE30" s="69"/>
      <c r="AF30" s="67"/>
      <c r="AK30" s="68"/>
      <c r="AL30" s="69"/>
      <c r="AM30" s="67"/>
      <c r="AR30" s="68"/>
      <c r="AS30" s="69"/>
      <c r="AT30" s="67"/>
      <c r="AZ30" s="68"/>
      <c r="BA30" s="70"/>
      <c r="BB30" s="67"/>
      <c r="BD30" s="68"/>
      <c r="BE30" s="70"/>
      <c r="BG30" s="173"/>
    </row>
    <row r="31" spans="1:59" x14ac:dyDescent="0.2">
      <c r="B31" s="20">
        <v>44256</v>
      </c>
      <c r="C31" s="45">
        <v>70066.608137079398</v>
      </c>
      <c r="D31" s="21">
        <v>399.99859719859745</v>
      </c>
      <c r="E31" s="22">
        <v>450535965.143704</v>
      </c>
      <c r="F31" s="22">
        <v>80230482.008721784</v>
      </c>
      <c r="G31" s="22">
        <v>4071267.8499869369</v>
      </c>
      <c r="H31" s="22">
        <v>212024934.63560963</v>
      </c>
      <c r="I31" s="22">
        <v>8316662.8750205794</v>
      </c>
      <c r="J31" s="71">
        <f>D25/D22-1</f>
        <v>7.6177532457609942E-2</v>
      </c>
      <c r="K31" s="72">
        <f>C25/C22-1</f>
        <v>5.2875101560212467E-2</v>
      </c>
      <c r="L31" s="73">
        <f>J31*0.7+K31*0.3</f>
        <v>6.9186803188390697E-2</v>
      </c>
      <c r="M31" s="42">
        <f>C28/C22-1</f>
        <v>0.12060424691983807</v>
      </c>
      <c r="N31" s="43">
        <f>(SUM($E23:$E28)/AVERAGE($I23:$I28))/(SUM($E11:$E16)/AVERAGE($I11:$I16))-1</f>
        <v>0.25367099838066531</v>
      </c>
      <c r="O31" s="44">
        <f>(SQRT(1+N31)-1)*1.03</f>
        <v>0.12326474071743304</v>
      </c>
      <c r="P31" s="73">
        <f>IF(M31&gt;O31,O31,M31)</f>
        <v>0.12060424691983807</v>
      </c>
      <c r="Q31" s="42">
        <f>$C28/$C22-1</f>
        <v>0.12060424691983807</v>
      </c>
      <c r="R31" s="43">
        <f>((SUM($F23:$F28)/AVERAGE($I23:$I28))/(SUM($F11:$F16)/AVERAGE($I11:$I16))-1)/2</f>
        <v>0.19533577128028834</v>
      </c>
      <c r="S31" s="43">
        <f>Q31*0.5+R31*0.5</f>
        <v>0.1579700091000632</v>
      </c>
      <c r="T31" s="43">
        <f>((SUM($H23:$H28)/AVERAGE($I23:$I28))/(SUM($H11:$H16)/AVERAGE($I11:$I16))-1)/2</f>
        <v>0.14732287937157373</v>
      </c>
      <c r="U31" s="43">
        <f>IF(S31&gt;T31,T31,S31)</f>
        <v>0.14732287937157373</v>
      </c>
      <c r="V31" s="43">
        <f>$D28/$D22-1</f>
        <v>0.16569946380813927</v>
      </c>
      <c r="W31" s="44">
        <f>(U31+V31)/2</f>
        <v>0.1565111715898565</v>
      </c>
      <c r="X31" s="74">
        <f>IF(V31&gt;U31,W31,U31)</f>
        <v>0.1565111715898565</v>
      </c>
      <c r="Y31" s="42">
        <f>AVERAGE($C23:$C28)/AVERAGE($C17:$C22)-1</f>
        <v>0.10609452891091853</v>
      </c>
      <c r="Z31" s="43">
        <f>(((SUM($F23:$F28)-SUM($G23:$G28))/AVERAGE($I23:$I28))/((SUM($F11:$F16)-SUM($G11:$G16))/AVERAGE($I11:$I16))-1)</f>
        <v>0.27321411033455512</v>
      </c>
      <c r="AA31" s="43">
        <f>SQRT(1+Z31)-1</f>
        <v>0.12836789671390214</v>
      </c>
      <c r="AB31" s="43">
        <f>0.7*Y31+0.3*AA31</f>
        <v>0.11277653925181361</v>
      </c>
      <c r="AC31" s="43"/>
      <c r="AD31" s="44"/>
      <c r="AE31" s="73">
        <f>AB31</f>
        <v>0.11277653925181361</v>
      </c>
      <c r="AF31" s="42">
        <f>AVERAGE($C23:$C28)/AVERAGE($C17:$C22)-1</f>
        <v>0.10609452891091853</v>
      </c>
      <c r="AG31" s="43">
        <f>(((SUM($F23:$F28))/AVERAGE($I23:$I28))/((SUM($F11:$F16))/AVERAGE($I11:$I16))-1)</f>
        <v>0.39067154256057668</v>
      </c>
      <c r="AH31" s="43">
        <f>SQRT(1+AG31)-1</f>
        <v>0.17926737534817638</v>
      </c>
      <c r="AI31" s="43">
        <f>0.7*AF31+0.3*AH31</f>
        <v>0.12804638284209588</v>
      </c>
      <c r="AJ31" s="43"/>
      <c r="AK31" s="44"/>
      <c r="AL31" s="73">
        <f>AI31</f>
        <v>0.12804638284209588</v>
      </c>
      <c r="AM31" s="42">
        <f>AVERAGE($C23:$C28)/AVERAGE($C17:$C22)-1</f>
        <v>0.10609452891091853</v>
      </c>
      <c r="AN31" s="43">
        <f>(((SUM($F23:$F28)-SUM($G23:$G28))/AVERAGE($I23:$I28))/((SUM($F11:$F16)-SUM($G11:$G16))/AVERAGE($I11:$I16))-1)</f>
        <v>0.27321411033455512</v>
      </c>
      <c r="AO31" s="43">
        <f>SQRT(1+AN31)-1</f>
        <v>0.12836789671390214</v>
      </c>
      <c r="AP31" s="43">
        <f>0.5*AM31+0.5*AO31</f>
        <v>0.11723121281241033</v>
      </c>
      <c r="AQ31" s="43"/>
      <c r="AR31" s="44"/>
      <c r="AS31" s="73">
        <f>AP31</f>
        <v>0.11723121281241033</v>
      </c>
      <c r="AT31" s="42">
        <f>$C28/$C22-1</f>
        <v>0.12060424691983807</v>
      </c>
      <c r="AU31" s="43">
        <f>(((SUM($F23:$F28)-SUM(G23:G28))/AVERAGE($I23:$I28))/((SUM($F11:$F16)-SUM(G11:G16))/AVERAGE($I11:$I16))-1)/2</f>
        <v>0.13660705516727756</v>
      </c>
      <c r="AV31" s="43">
        <f>AT31*0.5+AU31*0.5</f>
        <v>0.12860565104355781</v>
      </c>
      <c r="AW31" s="43">
        <f>((SUM($H23:$H28)/AVERAGE($I23:$I28))/(SUM($H11:$H16)/AVERAGE($I11:$I16))-1)/2</f>
        <v>0.14732287937157373</v>
      </c>
      <c r="AX31" s="43">
        <f>IF(AV31&gt;AW31,AW31,AV31)</f>
        <v>0.12860565104355781</v>
      </c>
      <c r="AY31" s="43">
        <f>$D28/$D22-1</f>
        <v>0.16569946380813927</v>
      </c>
      <c r="AZ31" s="44">
        <f>(AX31+AY31)/2</f>
        <v>0.14715255742584854</v>
      </c>
      <c r="BA31" s="75">
        <f>IF(AY31&gt;AX31,AZ31,AX31)</f>
        <v>0.14715255742584854</v>
      </c>
      <c r="BB31" s="71">
        <f>$C28/$C22-1</f>
        <v>0.12060424691983807</v>
      </c>
      <c r="BC31" s="92">
        <f>(((SUM($H23:$H28))/AVERAGE($I23:$I28))/((SUM($H11:$H16))/AVERAGE($I11:$I16))-1)</f>
        <v>0.29464575874314747</v>
      </c>
      <c r="BD31" s="44">
        <f>(SQRT(1+BC31)-1)*1.03</f>
        <v>0.14195976272677774</v>
      </c>
      <c r="BE31" s="75">
        <f>MIN(BB31,BD31)</f>
        <v>0.12060424691983807</v>
      </c>
      <c r="BG31" s="173"/>
    </row>
    <row r="32" spans="1:59" x14ac:dyDescent="0.2">
      <c r="B32" s="20">
        <v>44287</v>
      </c>
      <c r="C32" s="45">
        <v>71719.829756073785</v>
      </c>
      <c r="D32" s="21">
        <v>408.57856710850734</v>
      </c>
      <c r="E32" s="22">
        <v>463174257.74447644</v>
      </c>
      <c r="F32" s="22">
        <v>72917530.076115683</v>
      </c>
      <c r="G32" s="22">
        <v>3667913.381919127</v>
      </c>
      <c r="H32" s="22">
        <v>207908137.99446493</v>
      </c>
      <c r="I32" s="22">
        <v>8320824.3278000895</v>
      </c>
      <c r="J32" s="67"/>
      <c r="K32" s="68"/>
      <c r="L32" s="69"/>
      <c r="M32" s="67"/>
      <c r="O32" s="68"/>
      <c r="P32" s="69"/>
      <c r="Q32" s="67"/>
      <c r="W32" s="68"/>
      <c r="Y32" s="67"/>
      <c r="AD32" s="68"/>
      <c r="AE32" s="69"/>
      <c r="AF32" s="67"/>
      <c r="AK32" s="68"/>
      <c r="AL32" s="69"/>
      <c r="AM32" s="67"/>
      <c r="AR32" s="68"/>
      <c r="AS32" s="69"/>
      <c r="AT32" s="67"/>
      <c r="AZ32" s="68"/>
      <c r="BA32" s="70"/>
      <c r="BB32" s="67"/>
      <c r="BD32" s="68"/>
      <c r="BE32" s="70"/>
      <c r="BG32" s="173"/>
    </row>
    <row r="33" spans="2:59" x14ac:dyDescent="0.2">
      <c r="B33" s="20">
        <v>44317</v>
      </c>
      <c r="C33" s="45">
        <v>73412.059139168341</v>
      </c>
      <c r="D33" s="21">
        <v>417.34257737298481</v>
      </c>
      <c r="E33" s="22">
        <v>555261000.35261476</v>
      </c>
      <c r="F33" s="22">
        <v>85292908.914012179</v>
      </c>
      <c r="G33" s="22">
        <v>3654005.9971237262</v>
      </c>
      <c r="H33" s="22">
        <v>221604431.54998815</v>
      </c>
      <c r="I33" s="22">
        <v>8324987.8628678322</v>
      </c>
      <c r="J33" s="67"/>
      <c r="K33" s="68"/>
      <c r="L33" s="69"/>
      <c r="M33" s="67"/>
      <c r="O33" s="68"/>
      <c r="P33" s="69"/>
      <c r="Q33" s="67"/>
      <c r="W33" s="68"/>
      <c r="Y33" s="67"/>
      <c r="AD33" s="68"/>
      <c r="AE33" s="69"/>
      <c r="AF33" s="67"/>
      <c r="AK33" s="68"/>
      <c r="AL33" s="69"/>
      <c r="AM33" s="67"/>
      <c r="AR33" s="68"/>
      <c r="AS33" s="69"/>
      <c r="AT33" s="67"/>
      <c r="AZ33" s="68"/>
      <c r="BA33" s="70"/>
      <c r="BB33" s="67"/>
      <c r="BD33" s="68"/>
      <c r="BE33" s="70"/>
      <c r="BG33" s="173"/>
    </row>
    <row r="34" spans="2:59" x14ac:dyDescent="0.2">
      <c r="B34" s="20">
        <v>44348</v>
      </c>
      <c r="C34" s="45">
        <v>75144.216674557014</v>
      </c>
      <c r="D34" s="21">
        <v>426.29457565763533</v>
      </c>
      <c r="E34" s="22">
        <v>582552071.8685894</v>
      </c>
      <c r="F34" s="22">
        <v>91544734.921724826</v>
      </c>
      <c r="G34" s="22">
        <v>3649096.450487745</v>
      </c>
      <c r="H34" s="22">
        <v>231556251.18694925</v>
      </c>
      <c r="I34" s="22">
        <v>8329153.481265733</v>
      </c>
      <c r="J34" s="71">
        <f>D28/D25-1</f>
        <v>8.3185095999999792E-2</v>
      </c>
      <c r="K34" s="72">
        <f>C28/C25-1</f>
        <v>6.4327806079999883E-2</v>
      </c>
      <c r="L34" s="73">
        <f>J34*0.7+K34*0.3</f>
        <v>7.7527909023999822E-2</v>
      </c>
      <c r="M34" s="67"/>
      <c r="O34" s="68"/>
      <c r="P34" s="69"/>
      <c r="Q34" s="67"/>
      <c r="W34" s="68"/>
      <c r="Y34" s="67"/>
      <c r="AD34" s="68"/>
      <c r="AE34" s="69"/>
      <c r="AF34" s="67"/>
      <c r="AK34" s="68"/>
      <c r="AL34" s="69"/>
      <c r="AM34" s="67"/>
      <c r="AR34" s="68"/>
      <c r="AS34" s="69"/>
      <c r="AT34" s="67"/>
      <c r="AZ34" s="68"/>
      <c r="BA34" s="70"/>
      <c r="BB34" s="67"/>
      <c r="BD34" s="68"/>
      <c r="BE34" s="70"/>
      <c r="BG34" s="173"/>
    </row>
    <row r="35" spans="2:59" x14ac:dyDescent="0.2">
      <c r="B35" s="20">
        <v>44378</v>
      </c>
      <c r="C35" s="45">
        <v>76917.244466993187</v>
      </c>
      <c r="D35" s="21">
        <v>435.43859430549162</v>
      </c>
      <c r="E35" s="22">
        <v>636192490.06636536</v>
      </c>
      <c r="F35" s="22">
        <v>97265680.437348068</v>
      </c>
      <c r="G35" s="22">
        <v>4147279.6431508176</v>
      </c>
      <c r="H35" s="22">
        <v>301135036.53597081</v>
      </c>
      <c r="I35" s="22">
        <v>8333321.1840362381</v>
      </c>
      <c r="J35" s="67"/>
      <c r="K35" s="68"/>
      <c r="L35" s="69"/>
      <c r="M35" s="67"/>
      <c r="O35" s="68"/>
      <c r="P35" s="69"/>
      <c r="Q35" s="67"/>
      <c r="W35" s="68"/>
      <c r="Y35" s="67"/>
      <c r="AD35" s="68"/>
      <c r="AE35" s="69"/>
      <c r="AF35" s="67"/>
      <c r="AK35" s="68"/>
      <c r="AL35" s="69"/>
      <c r="AM35" s="67"/>
      <c r="AR35" s="68"/>
      <c r="AS35" s="69"/>
      <c r="AT35" s="67"/>
      <c r="AZ35" s="68"/>
      <c r="BA35" s="70"/>
      <c r="BB35" s="67"/>
      <c r="BD35" s="68"/>
      <c r="BE35" s="70"/>
      <c r="BG35" s="173"/>
    </row>
    <row r="36" spans="2:59" x14ac:dyDescent="0.2">
      <c r="B36" s="20">
        <v>44409</v>
      </c>
      <c r="C36" s="45">
        <v>78732.106850191893</v>
      </c>
      <c r="D36" s="21">
        <v>444.77875215334439</v>
      </c>
      <c r="E36" s="22">
        <v>589510931.3094449</v>
      </c>
      <c r="F36" s="22">
        <v>97192355.812385425</v>
      </c>
      <c r="G36" s="22">
        <v>3711391.8778387806</v>
      </c>
      <c r="H36" s="22">
        <v>242106645.01415628</v>
      </c>
      <c r="I36" s="22">
        <v>8337490.972222317</v>
      </c>
      <c r="J36" s="67"/>
      <c r="K36" s="68"/>
      <c r="L36" s="69"/>
      <c r="M36" s="67"/>
      <c r="O36" s="68"/>
      <c r="P36" s="69"/>
      <c r="Q36" s="67"/>
      <c r="W36" s="68"/>
      <c r="Y36" s="67"/>
      <c r="AD36" s="68"/>
      <c r="AE36" s="69"/>
      <c r="AF36" s="67"/>
      <c r="AK36" s="68"/>
      <c r="AL36" s="69"/>
      <c r="AM36" s="67"/>
      <c r="AR36" s="68"/>
      <c r="AS36" s="69"/>
      <c r="AT36" s="67"/>
      <c r="AZ36" s="68"/>
      <c r="BA36" s="70"/>
      <c r="BB36" s="67"/>
      <c r="BD36" s="68"/>
      <c r="BE36" s="70"/>
      <c r="BG36" s="173"/>
    </row>
    <row r="37" spans="2:59" x14ac:dyDescent="0.2">
      <c r="B37" s="20">
        <v>44440</v>
      </c>
      <c r="C37" s="45">
        <v>80589.790911322169</v>
      </c>
      <c r="D37" s="21">
        <v>454.31925638703359</v>
      </c>
      <c r="E37" s="22">
        <v>596753452.27797878</v>
      </c>
      <c r="F37" s="22">
        <v>97908757.604194462</v>
      </c>
      <c r="G37" s="22">
        <v>4432650.3943459522</v>
      </c>
      <c r="H37" s="22">
        <v>248338149.62160167</v>
      </c>
      <c r="I37" s="22">
        <v>8341662.8468674598</v>
      </c>
      <c r="J37" s="71">
        <f>D31/D28-1</f>
        <v>6.5740176698624975E-2</v>
      </c>
      <c r="K37" s="72">
        <f>C31/C28-1</f>
        <v>7.1344599616853133E-2</v>
      </c>
      <c r="L37" s="73">
        <f>J37*0.7+K37*0.3</f>
        <v>6.7421503574093419E-2</v>
      </c>
      <c r="M37" s="42">
        <f>C34/C28-1</f>
        <v>0.14898313001285035</v>
      </c>
      <c r="N37" s="43">
        <f>(SUM($E29:$E34)/AVERAGE($I29:$I34))/(SUM($E17:$E22)/AVERAGE($I17:$I22))-1</f>
        <v>0.4919530761898383</v>
      </c>
      <c r="O37" s="44">
        <f>(SQRT(1+N37)-1)*1.03</f>
        <v>0.22809897008534244</v>
      </c>
      <c r="P37" s="73">
        <f>IF(M37&gt;O37,O37,M37)</f>
        <v>0.14898313001285035</v>
      </c>
      <c r="Q37" s="42">
        <f>$C34/$C28-1</f>
        <v>0.14898313001285035</v>
      </c>
      <c r="R37" s="43">
        <f>((SUM($F29:$F34)/AVERAGE($I29:$I34))/(SUM($F17:$F22)/AVERAGE($I17:$I22))-1)/2</f>
        <v>0.2180503364744184</v>
      </c>
      <c r="S37" s="43">
        <f>Q37*0.5+R37*0.5</f>
        <v>0.18351673324363438</v>
      </c>
      <c r="T37" s="43">
        <f>((SUM($H29:$H34)/AVERAGE($I29:$I34))/(SUM($H17:$H22)/AVERAGE($I17:$I22))-1)/2</f>
        <v>0.20625259352869196</v>
      </c>
      <c r="U37" s="43">
        <f>IF(S37&gt;T37,T37,S37)</f>
        <v>0.18351673324363438</v>
      </c>
      <c r="V37" s="43">
        <f>$D34/$D28-1</f>
        <v>0.13580212422961635</v>
      </c>
      <c r="W37" s="44">
        <f>(U37+V37)/2</f>
        <v>0.15965942873662536</v>
      </c>
      <c r="X37" s="74">
        <f>IF(V37&gt;U37,W37,U37)</f>
        <v>0.18351673324363438</v>
      </c>
      <c r="Y37" s="42">
        <f>AVERAGE($C29:$C34)/AVERAGE($C23:$C28)-1</f>
        <v>0.13620571224381695</v>
      </c>
      <c r="Z37" s="43">
        <f>(((SUM($F29:$F34)-SUM($G29:$G34))/AVERAGE($I29:$I34))/((SUM($F17:$F22)-SUM($G17:$G22))/AVERAGE($I17:$I22))-1)</f>
        <v>0.45346874594530417</v>
      </c>
      <c r="AA37" s="43">
        <f>SQRT(1+Z37)-1</f>
        <v>0.2055989158693301</v>
      </c>
      <c r="AB37" s="43">
        <f>0.7*Y37+0.3*AA37</f>
        <v>0.15702367333147088</v>
      </c>
      <c r="AC37" s="43">
        <f>((SUM($H23:$H34)-SUM(G23:G34))/AVERAGE($I23:$I34))/((SUM($H11:$H22)-SUM(G11:G22))/AVERAGE($I11:$I22))-1</f>
        <v>0.33819726224367441</v>
      </c>
      <c r="AD37" s="44">
        <f>(1+AC37*1.03)/(1+AE31)-1</f>
        <v>0.21169267373084311</v>
      </c>
      <c r="AE37" s="73">
        <f>IF(AB37&gt;AD37,AD37,AB37)</f>
        <v>0.15702367333147088</v>
      </c>
      <c r="AF37" s="42">
        <f>AVERAGE($C29:$C34)/AVERAGE($C23:$C28)-1</f>
        <v>0.13620571224381695</v>
      </c>
      <c r="AG37" s="43">
        <f>(((SUM($F29:$F34))/AVERAGE($I29:$I34))/((SUM($F17:$F22))/AVERAGE($I17:$I22))-1)</f>
        <v>0.43610067294883681</v>
      </c>
      <c r="AH37" s="43">
        <f>SQRT(1+AG37)-1</f>
        <v>0.19837417902291143</v>
      </c>
      <c r="AI37" s="43">
        <f>0.7*AF37+0.3*AH37</f>
        <v>0.15485625227754529</v>
      </c>
      <c r="AJ37" s="43">
        <f>(SUM($H23:$H34)/AVERAGE($I23:$I34))/(SUM($H11:$H22)/AVERAGE($I11:$I22))-1</f>
        <v>0.35686223458307076</v>
      </c>
      <c r="AK37" s="44">
        <f>(1+AJ37*1.03)/(1+AL31)-1</f>
        <v>0.21233321822724682</v>
      </c>
      <c r="AL37" s="73">
        <f>IF(AI37&gt;AK37,AK37,AI37)</f>
        <v>0.15485625227754529</v>
      </c>
      <c r="AM37" s="42">
        <f>AVERAGE($C29:$C34)/AVERAGE($C23:$C28)-1</f>
        <v>0.13620571224381695</v>
      </c>
      <c r="AN37" s="43">
        <f>(((SUM($F29:$F34)-SUM($G29:$G34))/AVERAGE($I29:$I34))/((SUM($F17:$F22)-SUM($G17:$G22))/AVERAGE($I17:$I22))-1)</f>
        <v>0.45346874594530417</v>
      </c>
      <c r="AO37" s="43">
        <f>SQRT(1+AN37)-1</f>
        <v>0.2055989158693301</v>
      </c>
      <c r="AP37" s="43">
        <f>0.5*AM37+0.5*AO37</f>
        <v>0.17090231405657352</v>
      </c>
      <c r="AQ37" s="43">
        <f>(SUM($H23:$H34)/AVERAGE($I23:$I34))/(SUM($H11:$H22)/AVERAGE($I11:$I22))-1</f>
        <v>0.35686223458307076</v>
      </c>
      <c r="AR37" s="44">
        <f>(1+AQ37*1.03)/(1+AS31)-1</f>
        <v>0.22406900732568946</v>
      </c>
      <c r="AS37" s="73">
        <f>IF(AP37&gt;AR37,AR37,AP37)</f>
        <v>0.17090231405657352</v>
      </c>
      <c r="AT37" s="42">
        <f>$C34/$C28-1</f>
        <v>0.14898313001285035</v>
      </c>
      <c r="AU37" s="43">
        <f>(((SUM($F29:$F34)-SUM(G29:G34))/AVERAGE($I29:$I34))/((SUM($F17:$F22)-SUM(G17:G22))/AVERAGE($I17:$I22))-1)/2</f>
        <v>0.22673437297265209</v>
      </c>
      <c r="AV37" s="43">
        <f>AT37*0.5+AU37*0.5</f>
        <v>0.18785875149275122</v>
      </c>
      <c r="AW37" s="43">
        <f>((SUM($H29:$H34)/AVERAGE($I29:$I34))/(SUM($H17:$H22)/AVERAGE($I17:$I22))-1)/2</f>
        <v>0.20625259352869196</v>
      </c>
      <c r="AX37" s="43">
        <f>IF(AV37&gt;AW37,AW37,AV37)</f>
        <v>0.18785875149275122</v>
      </c>
      <c r="AY37" s="43">
        <f>$D34/$D28-1</f>
        <v>0.13580212422961635</v>
      </c>
      <c r="AZ37" s="44">
        <f>(AX37+AY37)/2</f>
        <v>0.16183043786118378</v>
      </c>
      <c r="BA37" s="75">
        <f>IF(AY37&gt;AX37,AZ37,AX37)</f>
        <v>0.18785875149275122</v>
      </c>
      <c r="BB37" s="71">
        <f>$C34/$C28-1</f>
        <v>0.14898313001285035</v>
      </c>
      <c r="BC37" s="92">
        <f>(((SUM($H29:$H34))/AVERAGE($I29:$I34))/((SUM($H17:$H22))/AVERAGE($I17:$I22))-1)</f>
        <v>0.41250518705738393</v>
      </c>
      <c r="BD37" s="44">
        <f>(SQRT(1+BC37)-1)*1.03</f>
        <v>0.19414327304820761</v>
      </c>
      <c r="BE37" s="75">
        <f>MIN(BB37,BD37)</f>
        <v>0.14898313001285035</v>
      </c>
      <c r="BG37" s="173"/>
    </row>
    <row r="38" spans="2:59" x14ac:dyDescent="0.2">
      <c r="B38" s="20">
        <v>44470</v>
      </c>
      <c r="C38" s="45">
        <v>82491.30702787482</v>
      </c>
      <c r="D38" s="21">
        <v>464.06440443653543</v>
      </c>
      <c r="E38" s="22">
        <v>615564864.06112397</v>
      </c>
      <c r="F38" s="22">
        <v>107524055.52083658</v>
      </c>
      <c r="G38" s="22">
        <v>4657514.4331060695</v>
      </c>
      <c r="H38" s="22">
        <v>262686195.2353574</v>
      </c>
      <c r="I38" s="22">
        <v>8345836.8090156792</v>
      </c>
      <c r="J38" s="67"/>
      <c r="K38" s="68"/>
      <c r="L38" s="69"/>
      <c r="M38" s="67"/>
      <c r="O38" s="68"/>
      <c r="P38" s="69"/>
      <c r="Q38" s="67"/>
      <c r="W38" s="68"/>
      <c r="Y38" s="67"/>
      <c r="AD38" s="68"/>
      <c r="AE38" s="69"/>
      <c r="AF38" s="67"/>
      <c r="AK38" s="68"/>
      <c r="AL38" s="69"/>
      <c r="AM38" s="67"/>
      <c r="AR38" s="68"/>
      <c r="AS38" s="69"/>
      <c r="AT38" s="67"/>
      <c r="AZ38" s="68"/>
      <c r="BA38" s="70"/>
      <c r="BB38" s="67"/>
      <c r="BD38" s="68"/>
      <c r="BE38" s="70"/>
      <c r="BG38" s="173"/>
    </row>
    <row r="39" spans="2:59" x14ac:dyDescent="0.2">
      <c r="B39" s="20">
        <v>44501</v>
      </c>
      <c r="C39" s="45">
        <v>84437.689417197529</v>
      </c>
      <c r="D39" s="21">
        <v>474.01858591169912</v>
      </c>
      <c r="E39" s="22">
        <v>582608840.08070552</v>
      </c>
      <c r="F39" s="22">
        <v>100144777.20117155</v>
      </c>
      <c r="G39" s="22">
        <v>4539428.7226213152</v>
      </c>
      <c r="H39" s="22">
        <v>260491231.29884845</v>
      </c>
      <c r="I39" s="22">
        <v>8350012.8597115101</v>
      </c>
      <c r="J39" s="67"/>
      <c r="K39" s="68"/>
      <c r="L39" s="69"/>
      <c r="M39" s="67"/>
      <c r="O39" s="68"/>
      <c r="P39" s="69"/>
      <c r="Q39" s="67"/>
      <c r="W39" s="68"/>
      <c r="Y39" s="67"/>
      <c r="AD39" s="68"/>
      <c r="AE39" s="69"/>
      <c r="AF39" s="67"/>
      <c r="AK39" s="68"/>
      <c r="AL39" s="69"/>
      <c r="AM39" s="67"/>
      <c r="AR39" s="68"/>
      <c r="AS39" s="69"/>
      <c r="AT39" s="67"/>
      <c r="AZ39" s="68"/>
      <c r="BA39" s="70"/>
      <c r="BB39" s="67"/>
      <c r="BD39" s="68"/>
      <c r="BE39" s="70"/>
      <c r="BG39" s="173"/>
    </row>
    <row r="40" spans="2:59" x14ac:dyDescent="0.2">
      <c r="B40" s="29">
        <v>44531</v>
      </c>
      <c r="C40" s="51">
        <v>86429.996698996314</v>
      </c>
      <c r="D40" s="30">
        <v>484.18628457950507</v>
      </c>
      <c r="E40" s="52">
        <v>570646552.74232364</v>
      </c>
      <c r="F40" s="52">
        <v>98233048.623833701</v>
      </c>
      <c r="G40" s="52">
        <v>5330789.4964963151</v>
      </c>
      <c r="H40" s="52">
        <v>263078586.89999241</v>
      </c>
      <c r="I40" s="52">
        <v>8354191</v>
      </c>
      <c r="J40" s="76">
        <f>D34/D31-1</f>
        <v>6.5740176698624975E-2</v>
      </c>
      <c r="K40" s="77">
        <f>C34/C31-1</f>
        <v>7.2468307978369673E-2</v>
      </c>
      <c r="L40" s="78">
        <f>J40*0.7+K40*0.3</f>
        <v>6.7758616082548379E-2</v>
      </c>
      <c r="M40" s="79"/>
      <c r="N40" s="80"/>
      <c r="O40" s="81"/>
      <c r="P40" s="82"/>
      <c r="Q40" s="79"/>
      <c r="R40" s="80"/>
      <c r="S40" s="80"/>
      <c r="T40" s="80"/>
      <c r="U40" s="80"/>
      <c r="V40" s="80"/>
      <c r="W40" s="81"/>
      <c r="X40" s="80"/>
      <c r="Y40" s="79"/>
      <c r="Z40" s="80"/>
      <c r="AA40" s="80"/>
      <c r="AB40" s="80"/>
      <c r="AC40" s="80"/>
      <c r="AD40" s="81"/>
      <c r="AE40" s="82"/>
      <c r="AF40" s="79"/>
      <c r="AG40" s="80"/>
      <c r="AH40" s="80"/>
      <c r="AI40" s="80"/>
      <c r="AJ40" s="80"/>
      <c r="AK40" s="81"/>
      <c r="AL40" s="82"/>
      <c r="AM40" s="79"/>
      <c r="AN40" s="80"/>
      <c r="AO40" s="80"/>
      <c r="AP40" s="80"/>
      <c r="AQ40" s="80"/>
      <c r="AR40" s="81"/>
      <c r="AS40" s="82"/>
      <c r="AT40" s="79"/>
      <c r="AU40" s="80"/>
      <c r="AV40" s="80"/>
      <c r="AW40" s="80"/>
      <c r="AX40" s="80"/>
      <c r="AY40" s="80"/>
      <c r="AZ40" s="81"/>
      <c r="BA40" s="83"/>
      <c r="BB40" s="79"/>
      <c r="BC40" s="80"/>
      <c r="BD40" s="81"/>
      <c r="BE40" s="83"/>
      <c r="BG40" s="173"/>
    </row>
    <row r="41" spans="2:59" x14ac:dyDescent="0.2">
      <c r="B41" s="12">
        <v>44562</v>
      </c>
      <c r="C41" s="61">
        <v>88072.598786260729</v>
      </c>
      <c r="D41" s="13">
        <v>492.95005633039409</v>
      </c>
      <c r="E41" s="14">
        <v>699212424.49139011</v>
      </c>
      <c r="F41" s="14">
        <v>105048578.49004784</v>
      </c>
      <c r="G41" s="14">
        <v>5480147.7065765876</v>
      </c>
      <c r="H41" s="14">
        <v>350794680.69289517</v>
      </c>
      <c r="I41" s="14">
        <v>8359174.6163232643</v>
      </c>
      <c r="J41" s="62"/>
      <c r="K41" s="63"/>
      <c r="L41" s="64"/>
      <c r="M41" s="62"/>
      <c r="N41" s="65"/>
      <c r="O41" s="63"/>
      <c r="P41" s="64"/>
      <c r="Q41" s="62"/>
      <c r="R41" s="65"/>
      <c r="S41" s="65"/>
      <c r="T41" s="65"/>
      <c r="U41" s="65"/>
      <c r="V41" s="65"/>
      <c r="W41" s="63"/>
      <c r="X41" s="65"/>
      <c r="Y41" s="62"/>
      <c r="Z41" s="65"/>
      <c r="AA41" s="65"/>
      <c r="AB41" s="65"/>
      <c r="AC41" s="65"/>
      <c r="AD41" s="63"/>
      <c r="AE41" s="64"/>
      <c r="AF41" s="62"/>
      <c r="AG41" s="65"/>
      <c r="AH41" s="65"/>
      <c r="AI41" s="65"/>
      <c r="AJ41" s="65"/>
      <c r="AK41" s="63"/>
      <c r="AL41" s="64"/>
      <c r="AM41" s="62"/>
      <c r="AN41" s="65"/>
      <c r="AO41" s="65"/>
      <c r="AP41" s="65"/>
      <c r="AQ41" s="65"/>
      <c r="AR41" s="63"/>
      <c r="AS41" s="64"/>
      <c r="AT41" s="62"/>
      <c r="AU41" s="65"/>
      <c r="AV41" s="65"/>
      <c r="AW41" s="65"/>
      <c r="AX41" s="65"/>
      <c r="AY41" s="65"/>
      <c r="AZ41" s="63"/>
      <c r="BA41" s="66"/>
      <c r="BB41" s="67"/>
      <c r="BD41" s="68"/>
      <c r="BE41" s="66"/>
    </row>
    <row r="42" spans="2:59" x14ac:dyDescent="0.2">
      <c r="B42" s="20">
        <v>44593</v>
      </c>
      <c r="C42" s="45">
        <v>89746.418526193607</v>
      </c>
      <c r="D42" s="21">
        <v>501.87245234997425</v>
      </c>
      <c r="E42" s="22">
        <v>606153304.37777269</v>
      </c>
      <c r="F42" s="22">
        <v>106053714.0609691</v>
      </c>
      <c r="G42" s="22">
        <v>5541649.0827478468</v>
      </c>
      <c r="H42" s="22">
        <v>278110414.54294282</v>
      </c>
      <c r="I42" s="22">
        <v>8364161.2055773195</v>
      </c>
      <c r="J42" s="67"/>
      <c r="K42" s="68"/>
      <c r="L42" s="69"/>
      <c r="M42" s="67"/>
      <c r="O42" s="68"/>
      <c r="P42" s="69"/>
      <c r="Q42" s="67"/>
      <c r="W42" s="68"/>
      <c r="Y42" s="67"/>
      <c r="AD42" s="68"/>
      <c r="AE42" s="69"/>
      <c r="AF42" s="67"/>
      <c r="AK42" s="68"/>
      <c r="AL42" s="69"/>
      <c r="AM42" s="67"/>
      <c r="AR42" s="68"/>
      <c r="AS42" s="69"/>
      <c r="AT42" s="67"/>
      <c r="AZ42" s="68"/>
      <c r="BA42" s="70"/>
      <c r="BB42" s="67"/>
      <c r="BD42" s="68"/>
      <c r="BE42" s="70"/>
    </row>
    <row r="43" spans="2:59" x14ac:dyDescent="0.2">
      <c r="B43" s="20">
        <v>44621</v>
      </c>
      <c r="C43" s="45">
        <v>91452.049210283905</v>
      </c>
      <c r="D43" s="21">
        <v>510.9563437375088</v>
      </c>
      <c r="E43" s="22">
        <v>599764179.67822111</v>
      </c>
      <c r="F43" s="22">
        <v>107212303.93914047</v>
      </c>
      <c r="G43" s="22">
        <v>5394434.3217815878</v>
      </c>
      <c r="H43" s="22">
        <v>283158690.25071049</v>
      </c>
      <c r="I43" s="22">
        <v>8369150.7695356403</v>
      </c>
      <c r="J43" s="71">
        <f>D37/D34-1</f>
        <v>6.5740176698624975E-2</v>
      </c>
      <c r="K43" s="72">
        <f>C37/C34-1</f>
        <v>7.2468307978369895E-2</v>
      </c>
      <c r="L43" s="73">
        <f>J43*0.7+K43*0.3</f>
        <v>6.7758616082548448E-2</v>
      </c>
      <c r="M43" s="42">
        <f>C40/C34-1</f>
        <v>0.15018827161798787</v>
      </c>
      <c r="N43" s="43">
        <f>(SUM($E35:$E40)/AVERAGE($I35:$I40))/(SUM($E23:$E28)/AVERAGE($I23:$I28))-1</f>
        <v>0.4239483593642388</v>
      </c>
      <c r="O43" s="44">
        <f>(SQRT(1+N43)-1)*1.03</f>
        <v>0.19909186574865953</v>
      </c>
      <c r="P43" s="73">
        <f>IF(M43&gt;O43,O43,M43)</f>
        <v>0.15018827161798787</v>
      </c>
      <c r="Q43" s="42">
        <f>$C40/$C34-1</f>
        <v>0.15018827161798787</v>
      </c>
      <c r="R43" s="43">
        <f>((SUM($F35:$F40)/AVERAGE($I35:$I40))/(SUM($F23:$F28)/AVERAGE($I23:$I28))-1)/2</f>
        <v>0.18180315091638133</v>
      </c>
      <c r="S43" s="43">
        <f>Q43*0.5+R43*0.5</f>
        <v>0.1659957112671846</v>
      </c>
      <c r="T43" s="43">
        <f>((SUM($H35:$H40)/AVERAGE($I35:$I40))/(SUM($H23:$H28)/AVERAGE($I23:$I28))-1)/2</f>
        <v>0.21963047844889683</v>
      </c>
      <c r="U43" s="43">
        <f>IF(S43&gt;T43,T43,S43)</f>
        <v>0.1659957112671846</v>
      </c>
      <c r="V43" s="43">
        <f>$D40/$D34-1</f>
        <v>0.13580212422961635</v>
      </c>
      <c r="W43" s="44">
        <f>(U43+V43)/2</f>
        <v>0.15089891774840047</v>
      </c>
      <c r="X43" s="74">
        <f>IF(V43&gt;U43,W43,U43)</f>
        <v>0.1659957112671846</v>
      </c>
      <c r="Y43" s="42">
        <f>AVERAGE($C35:$C40)/AVERAGE($C29:$C34)-1</f>
        <v>0.15018827161798765</v>
      </c>
      <c r="Z43" s="43">
        <f>(((SUM($F35:$F40)-SUM($G35:$G40))/AVERAGE($I35:$I40))/((SUM($F23:$F28)-SUM($G23:$G28))/AVERAGE($I23:$I28))-1)</f>
        <v>0.42263604756751305</v>
      </c>
      <c r="AA43" s="43">
        <f>SQRT(1+Z43)-1</f>
        <v>0.19274307693128656</v>
      </c>
      <c r="AB43" s="43">
        <f>0.7*Y43+0.3*AA43</f>
        <v>0.1629547132119773</v>
      </c>
      <c r="AC43" s="43"/>
      <c r="AD43" s="44"/>
      <c r="AE43" s="73">
        <f>AB43</f>
        <v>0.1629547132119773</v>
      </c>
      <c r="AF43" s="42">
        <f>AVERAGE($C35:$C40)/AVERAGE($C29:$C34)-1</f>
        <v>0.15018827161798765</v>
      </c>
      <c r="AG43" s="43">
        <f>(((SUM($F35:$F40))/AVERAGE($I35:$I40))/((SUM($F23:$F28))/AVERAGE($I23:$I28))-1)</f>
        <v>0.36360630183276266</v>
      </c>
      <c r="AH43" s="43">
        <f>SQRT(1+AG43)-1</f>
        <v>0.16773554447604377</v>
      </c>
      <c r="AI43" s="43">
        <f>0.7*AF43+0.3*AH43</f>
        <v>0.15545245347540448</v>
      </c>
      <c r="AJ43" s="43"/>
      <c r="AK43" s="44"/>
      <c r="AL43" s="73">
        <f>AI43</f>
        <v>0.15545245347540448</v>
      </c>
      <c r="AM43" s="42">
        <f>AVERAGE($C35:$C40)/AVERAGE($C29:$C34)-1</f>
        <v>0.15018827161798765</v>
      </c>
      <c r="AN43" s="43">
        <f>(((SUM($F35:$F40)-SUM($G35:$G40))/AVERAGE($I35:$I40))/((SUM($F23:$F28)-SUM($G23:$G28))/AVERAGE($I23:$I28))-1)</f>
        <v>0.42263604756751305</v>
      </c>
      <c r="AO43" s="43">
        <f>SQRT(1+AN43)-1</f>
        <v>0.19274307693128656</v>
      </c>
      <c r="AP43" s="43">
        <f>0.5*AM43+0.5*AO43</f>
        <v>0.1714656742746371</v>
      </c>
      <c r="AQ43" s="43"/>
      <c r="AR43" s="44"/>
      <c r="AS43" s="73">
        <f>AP43</f>
        <v>0.1714656742746371</v>
      </c>
      <c r="AT43" s="42">
        <f>$C40/$C34-1</f>
        <v>0.15018827161798787</v>
      </c>
      <c r="AU43" s="43">
        <f>(((SUM($F35:$F40)-SUM(G35:G40))/AVERAGE($I35:$I40))/((SUM($F23:$F28)-SUM(G23:G28))/AVERAGE($I23:$I28))-1)/2</f>
        <v>0.21131802378375653</v>
      </c>
      <c r="AV43" s="43">
        <f>AT43*0.5+AU43*0.5</f>
        <v>0.1807531477008722</v>
      </c>
      <c r="AW43" s="43">
        <f>((SUM($H35:$H40)/AVERAGE($I35:$I40))/(SUM($H23:$H28)/AVERAGE($I23:$I28))-1)/2</f>
        <v>0.21963047844889683</v>
      </c>
      <c r="AX43" s="43">
        <f>IF(AV43&gt;AW43,AW43,AV43)</f>
        <v>0.1807531477008722</v>
      </c>
      <c r="AY43" s="43">
        <f>$D40/$D34-1</f>
        <v>0.13580212422961635</v>
      </c>
      <c r="AZ43" s="44">
        <f>(AX43+AY43)/2</f>
        <v>0.15827763596524427</v>
      </c>
      <c r="BA43" s="75">
        <f>IF(AY43&gt;AX43,AZ43,AX43)</f>
        <v>0.1807531477008722</v>
      </c>
      <c r="BB43" s="71">
        <f>$C40/$C34-1</f>
        <v>0.15018827161798787</v>
      </c>
      <c r="BC43" s="92">
        <f>(((SUM($H35:$H40))/AVERAGE($I35:$I40))/((SUM($H23:$H28))/AVERAGE($I23:$I28))-1)</f>
        <v>0.43926095689779365</v>
      </c>
      <c r="BD43" s="44">
        <f>(SQRT(1+BC43)-1)*1.03</f>
        <v>0.20568278662967104</v>
      </c>
      <c r="BE43" s="75">
        <f>MIN(BB43,BD43)</f>
        <v>0.15018827161798787</v>
      </c>
    </row>
    <row r="44" spans="2:59" x14ac:dyDescent="0.2">
      <c r="B44" s="20">
        <v>44652</v>
      </c>
      <c r="C44" s="45">
        <v>93190.095405525339</v>
      </c>
      <c r="D44" s="21">
        <v>520.20465355915769</v>
      </c>
      <c r="E44" s="22">
        <v>613345764.70168436</v>
      </c>
      <c r="F44" s="22">
        <v>96932242.978757843</v>
      </c>
      <c r="G44" s="22">
        <v>4865032.7313460456</v>
      </c>
      <c r="H44" s="22">
        <v>275870869.06859982</v>
      </c>
      <c r="I44" s="22">
        <v>8374143.3099727603</v>
      </c>
      <c r="J44" s="67"/>
      <c r="K44" s="68"/>
      <c r="L44" s="69"/>
      <c r="M44" s="67"/>
      <c r="O44" s="68"/>
      <c r="P44" s="69"/>
      <c r="Q44" s="67"/>
      <c r="W44" s="68"/>
      <c r="Y44" s="67"/>
      <c r="AD44" s="68"/>
      <c r="AE44" s="69"/>
      <c r="AF44" s="67"/>
      <c r="AK44" s="68"/>
      <c r="AL44" s="69"/>
      <c r="AM44" s="67"/>
      <c r="AR44" s="68"/>
      <c r="AS44" s="69"/>
      <c r="AT44" s="67"/>
      <c r="AZ44" s="68"/>
      <c r="BA44" s="70"/>
      <c r="BB44" s="67"/>
      <c r="BD44" s="68"/>
      <c r="BE44" s="70"/>
    </row>
    <row r="45" spans="2:59" x14ac:dyDescent="0.2">
      <c r="B45" s="20">
        <v>44682</v>
      </c>
      <c r="C45" s="45">
        <v>94961.173168707348</v>
      </c>
      <c r="D45" s="21">
        <v>529.62035778857842</v>
      </c>
      <c r="E45" s="22">
        <v>732128899.00094414</v>
      </c>
      <c r="F45" s="22">
        <v>113050829.10821314</v>
      </c>
      <c r="G45" s="22">
        <v>4851615.9168906892</v>
      </c>
      <c r="H45" s="22">
        <v>293175199.52064222</v>
      </c>
      <c r="I45" s="22">
        <v>8379138.8286642693</v>
      </c>
      <c r="J45" s="67"/>
      <c r="K45" s="68"/>
      <c r="L45" s="69"/>
      <c r="M45" s="67"/>
      <c r="O45" s="68"/>
      <c r="P45" s="69"/>
      <c r="Q45" s="67"/>
      <c r="W45" s="68"/>
      <c r="Y45" s="67"/>
      <c r="AD45" s="68"/>
      <c r="AE45" s="69"/>
      <c r="AF45" s="67"/>
      <c r="AK45" s="68"/>
      <c r="AL45" s="69"/>
      <c r="AM45" s="67"/>
      <c r="AR45" s="68"/>
      <c r="AS45" s="69"/>
      <c r="AT45" s="67"/>
      <c r="AZ45" s="68"/>
      <c r="BA45" s="70"/>
      <c r="BB45" s="67"/>
      <c r="BD45" s="68"/>
      <c r="BE45" s="70"/>
    </row>
    <row r="46" spans="2:59" x14ac:dyDescent="0.2">
      <c r="B46" s="20">
        <v>44713</v>
      </c>
      <c r="C46" s="45">
        <v>96765.91026477862</v>
      </c>
      <c r="D46" s="21">
        <v>539.2064862645517</v>
      </c>
      <c r="E46" s="22">
        <v>771062100.97386479</v>
      </c>
      <c r="F46" s="22">
        <v>121858674.57819681</v>
      </c>
      <c r="G46" s="22">
        <v>4850125.3170279674</v>
      </c>
      <c r="H46" s="22">
        <v>305851551.49105346</v>
      </c>
      <c r="I46" s="22">
        <v>8384137.3273868188</v>
      </c>
      <c r="J46" s="71">
        <f>D40/D37-1</f>
        <v>6.5740176698624975E-2</v>
      </c>
      <c r="K46" s="72">
        <f>C40/C37-1</f>
        <v>7.2468307978370117E-2</v>
      </c>
      <c r="L46" s="73">
        <f>J46*0.7+K46*0.3</f>
        <v>6.7758616082548517E-2</v>
      </c>
      <c r="M46" s="67"/>
      <c r="O46" s="68"/>
      <c r="P46" s="69"/>
      <c r="Q46" s="67"/>
      <c r="W46" s="68"/>
      <c r="Y46" s="67"/>
      <c r="AD46" s="68"/>
      <c r="AE46" s="69"/>
      <c r="AF46" s="67"/>
      <c r="AK46" s="68"/>
      <c r="AL46" s="69"/>
      <c r="AM46" s="67"/>
      <c r="AR46" s="68"/>
      <c r="AS46" s="69"/>
      <c r="AT46" s="67"/>
      <c r="AZ46" s="68"/>
      <c r="BA46" s="70"/>
      <c r="BB46" s="67"/>
      <c r="BD46" s="68"/>
      <c r="BE46" s="70"/>
    </row>
    <row r="47" spans="2:59" x14ac:dyDescent="0.2">
      <c r="B47" s="20">
        <v>44743</v>
      </c>
      <c r="C47" s="45">
        <v>98604.946389360732</v>
      </c>
      <c r="D47" s="21">
        <v>548.96612366594013</v>
      </c>
      <c r="E47" s="22">
        <v>837050380.31271565</v>
      </c>
      <c r="F47" s="22">
        <v>128401880.54779711</v>
      </c>
      <c r="G47" s="22">
        <v>5517996.2197288265</v>
      </c>
      <c r="H47" s="22">
        <v>394867987.10518622</v>
      </c>
      <c r="I47" s="22">
        <v>8389138.8079181183</v>
      </c>
      <c r="J47" s="67"/>
      <c r="K47" s="68"/>
      <c r="L47" s="69"/>
      <c r="M47" s="67"/>
      <c r="O47" s="68"/>
      <c r="P47" s="69"/>
      <c r="Q47" s="67"/>
      <c r="W47" s="68"/>
      <c r="Y47" s="67"/>
      <c r="AD47" s="68"/>
      <c r="AE47" s="69"/>
      <c r="AF47" s="67"/>
      <c r="AK47" s="68"/>
      <c r="AL47" s="69"/>
      <c r="AM47" s="67"/>
      <c r="AR47" s="68"/>
      <c r="AS47" s="69"/>
      <c r="AT47" s="67"/>
      <c r="AZ47" s="68"/>
      <c r="BA47" s="70"/>
      <c r="BB47" s="67"/>
      <c r="BD47" s="68"/>
      <c r="BE47" s="70"/>
    </row>
    <row r="48" spans="2:59" x14ac:dyDescent="0.2">
      <c r="B48" s="20">
        <v>44774</v>
      </c>
      <c r="C48" s="45">
        <v>100478.93339549053</v>
      </c>
      <c r="D48" s="21">
        <v>558.9024105042937</v>
      </c>
      <c r="E48" s="22">
        <v>774201779.22096503</v>
      </c>
      <c r="F48" s="22">
        <v>128143305.7267403</v>
      </c>
      <c r="G48" s="22">
        <v>4887907.8240989726</v>
      </c>
      <c r="H48" s="22">
        <v>316559828.43243015</v>
      </c>
      <c r="I48" s="22">
        <v>8394143.272036938</v>
      </c>
      <c r="J48" s="67"/>
      <c r="K48" s="68"/>
      <c r="L48" s="69"/>
      <c r="M48" s="67"/>
      <c r="O48" s="68"/>
      <c r="P48" s="69"/>
      <c r="Q48" s="67"/>
      <c r="W48" s="68"/>
      <c r="Y48" s="67"/>
      <c r="AD48" s="68"/>
      <c r="AE48" s="69"/>
      <c r="AF48" s="67"/>
      <c r="AK48" s="68"/>
      <c r="AL48" s="69"/>
      <c r="AM48" s="67"/>
      <c r="AR48" s="68"/>
      <c r="AS48" s="69"/>
      <c r="AT48" s="67"/>
      <c r="AZ48" s="68"/>
      <c r="BA48" s="70"/>
      <c r="BB48" s="67"/>
      <c r="BD48" s="68"/>
      <c r="BE48" s="70"/>
    </row>
    <row r="49" spans="2:57" x14ac:dyDescent="0.2">
      <c r="B49" s="20">
        <v>44805</v>
      </c>
      <c r="C49" s="45">
        <v>102388.53552467182</v>
      </c>
      <c r="D49" s="21">
        <v>569.0185441344214</v>
      </c>
      <c r="E49" s="22">
        <v>783937883.19215071</v>
      </c>
      <c r="F49" s="22">
        <v>129113592.43386376</v>
      </c>
      <c r="G49" s="22">
        <v>5799562.6399639798</v>
      </c>
      <c r="H49" s="22">
        <v>324065045.60342836</v>
      </c>
      <c r="I49" s="22">
        <v>8399150.7215231117</v>
      </c>
      <c r="J49" s="71">
        <f>D43/D40-1</f>
        <v>5.5288759741000115E-2</v>
      </c>
      <c r="K49" s="72">
        <f>C43/C40-1</f>
        <v>5.810543449142469E-2</v>
      </c>
      <c r="L49" s="73">
        <f>J49*0.7+K49*0.3</f>
        <v>5.613376216612749E-2</v>
      </c>
      <c r="M49" s="42">
        <f>C46/C40-1</f>
        <v>0.11958711050028703</v>
      </c>
      <c r="N49" s="43">
        <f>(SUM($E41:$E46)/AVERAGE($I41:$I46))/(SUM($E29:$E34)/AVERAGE($I29:$I34))-1</f>
        <v>0.32579609896017536</v>
      </c>
      <c r="O49" s="44">
        <f>(SQRT(1+N49)-1)*1.03</f>
        <v>0.15597516052691848</v>
      </c>
      <c r="P49" s="73">
        <f>IF(M49&gt;O49,O49,M49)</f>
        <v>0.11958711050028703</v>
      </c>
      <c r="Q49" s="42">
        <f>$C46/$C40-1</f>
        <v>0.11958711050028703</v>
      </c>
      <c r="R49" s="43">
        <f>((SUM($F41:$F46)/AVERAGE($I41:$I46))/(SUM($F29:$F34)/AVERAGE($I29:$I34))-1)/2</f>
        <v>0.16224218322889672</v>
      </c>
      <c r="S49" s="43">
        <f>Q49*0.5+R49*0.5</f>
        <v>0.14091464686459187</v>
      </c>
      <c r="T49" s="43">
        <f>((SUM($H41:$H46)/AVERAGE($I41:$I46))/(SUM($H29:$H34)/AVERAGE($I29:$I34))-1)/2</f>
        <v>0.16813263801959877</v>
      </c>
      <c r="U49" s="43">
        <f>IF(S49&gt;T49,T49,S49)</f>
        <v>0.14091464686459187</v>
      </c>
      <c r="V49" s="43">
        <f>$D46/$D40-1</f>
        <v>0.11363436643569802</v>
      </c>
      <c r="W49" s="44">
        <f>(U49+V49)/2</f>
        <v>0.12727450665014495</v>
      </c>
      <c r="X49" s="74">
        <f>IF(V49&gt;U49,W49,U49)</f>
        <v>0.14091464686459187</v>
      </c>
      <c r="Y49" s="42">
        <f>AVERAGE($C41:$C46)/AVERAGE($C35:$C40)-1</f>
        <v>0.13192474669051091</v>
      </c>
      <c r="Z49" s="43">
        <f>(((SUM($F41:$F46)-SUM($G41:$G46))/AVERAGE($I41:$I46))/((SUM($F29:$F34)-SUM($G29:$G34))/AVERAGE($I29:$I34))-1)</f>
        <v>0.32485190440062151</v>
      </c>
      <c r="AA49" s="43">
        <f>SQRT(1+Z49)-1</f>
        <v>0.15102211290688139</v>
      </c>
      <c r="AB49" s="43">
        <f>0.7*Y49+0.3*AA49</f>
        <v>0.13765395655542204</v>
      </c>
      <c r="AC49" s="43">
        <f>((SUM($H35:$H46)-SUM(G35:G46))/AVERAGE($I35:$I46))/((SUM($H23:$H34)-SUM(G23:G34))/AVERAGE($I23:$I34))-1</f>
        <v>0.39364484081665552</v>
      </c>
      <c r="AD49" s="44">
        <f>(1+AC49*1.03)/(1+AE43)-1</f>
        <v>0.20852013416706128</v>
      </c>
      <c r="AE49" s="73">
        <f>IF(AB49&gt;AD49,AD49,AB49)</f>
        <v>0.13765395655542204</v>
      </c>
      <c r="AF49" s="42">
        <f>AVERAGE($C41:$C46)/AVERAGE($C35:$C40)-1</f>
        <v>0.13192474669051091</v>
      </c>
      <c r="AG49" s="43">
        <f>(((SUM($F41:$F46))/AVERAGE($I41:$I46))/((SUM($F29:$F34))/AVERAGE($I29:$I34))-1)</f>
        <v>0.32448436645779344</v>
      </c>
      <c r="AH49" s="43">
        <f>SQRT(1+AG49)-1</f>
        <v>0.15086244462915444</v>
      </c>
      <c r="AI49" s="43">
        <f>0.7*AF49+0.3*AH49</f>
        <v>0.13760605607210397</v>
      </c>
      <c r="AJ49" s="43">
        <f>(SUM($H35:$H46)/AVERAGE($I35:$I46))/(SUM($H23:$H34)/AVERAGE($I23:$I34))-1</f>
        <v>0.38270234211295318</v>
      </c>
      <c r="AK49" s="44">
        <f>(1+AJ49*1.03)/(1+AL43)-1</f>
        <v>0.2066125336294673</v>
      </c>
      <c r="AL49" s="73">
        <f>IF(AI49&gt;AK49,AK49,AI49)</f>
        <v>0.13760605607210397</v>
      </c>
      <c r="AM49" s="42">
        <f>AVERAGE($C41:$C46)/AVERAGE($C35:$C40)-1</f>
        <v>0.13192474669051091</v>
      </c>
      <c r="AN49" s="43">
        <f>(((SUM($F41:$F46)-SUM($G41:$G46))/AVERAGE($I41:$I46))/((SUM($F29:$F34)-SUM($G29:$G34))/AVERAGE($I29:$I34))-1)</f>
        <v>0.32485190440062151</v>
      </c>
      <c r="AO49" s="43">
        <f>SQRT(1+AN49)-1</f>
        <v>0.15102211290688139</v>
      </c>
      <c r="AP49" s="43">
        <f>0.5*AM49+0.5*AO49</f>
        <v>0.14147342979869615</v>
      </c>
      <c r="AQ49" s="43">
        <f>(SUM($H35:$H46)/AVERAGE($I35:$I46))/(SUM($H23:$H34)/AVERAGE($I23:$I34))-1</f>
        <v>0.38270234211295318</v>
      </c>
      <c r="AR49" s="44">
        <f>(1+AQ49*1.03)/(1+AS43)-1</f>
        <v>0.19011887671366057</v>
      </c>
      <c r="AS49" s="73">
        <f>IF(AP49&gt;AR49,AR49,AP49)</f>
        <v>0.14147342979869615</v>
      </c>
      <c r="AT49" s="42">
        <f>$C46/$C40-1</f>
        <v>0.11958711050028703</v>
      </c>
      <c r="AU49" s="43">
        <f>(((SUM($F41:$F46)-SUM(G41:G46))/AVERAGE($I41:$I46))/((SUM($F29:$F34)-SUM(G29:G34))/AVERAGE($I29:$I34))-1)/2</f>
        <v>0.16242595220031075</v>
      </c>
      <c r="AV49" s="43">
        <f>AT49*0.5+AU49*0.5</f>
        <v>0.14100653135029889</v>
      </c>
      <c r="AW49" s="43">
        <f>((SUM($H41:$H46)/AVERAGE($I41:$I46))/(SUM($H29:$H34)/AVERAGE($I29:$I34))-1)/2</f>
        <v>0.16813263801959877</v>
      </c>
      <c r="AX49" s="43">
        <f>IF(AV49&gt;AW49,AW49,AV49)</f>
        <v>0.14100653135029889</v>
      </c>
      <c r="AY49" s="43">
        <f>$D46/$D40-1</f>
        <v>0.11363436643569802</v>
      </c>
      <c r="AZ49" s="44">
        <f>(AX49+AY49)/2</f>
        <v>0.12732044889299846</v>
      </c>
      <c r="BA49" s="75">
        <f>IF(AY49&gt;AX49,AZ49,AX49)</f>
        <v>0.14100653135029889</v>
      </c>
      <c r="BB49" s="71">
        <f>$C46/$C40-1</f>
        <v>0.11958711050028703</v>
      </c>
      <c r="BC49" s="92">
        <f>(((SUM($H41:$H46))/AVERAGE($I41:$I46))/((SUM($H29:$H34))/AVERAGE($I29:$I34))-1)</f>
        <v>0.33626527603919754</v>
      </c>
      <c r="BD49" s="44">
        <f>(SQRT(1+BC49)-1)*1.03</f>
        <v>0.16064849193621572</v>
      </c>
      <c r="BE49" s="75">
        <f>MIN(BB49,BD49)</f>
        <v>0.11958711050028703</v>
      </c>
    </row>
    <row r="50" spans="2:57" x14ac:dyDescent="0.2">
      <c r="B50" s="20">
        <v>44835</v>
      </c>
      <c r="C50" s="45">
        <v>104334.42964231821</v>
      </c>
      <c r="D50" s="21">
        <v>579.31777978325442</v>
      </c>
      <c r="E50" s="22">
        <v>801577251.06082463</v>
      </c>
      <c r="F50" s="22">
        <v>140337669.78259155</v>
      </c>
      <c r="G50" s="22">
        <v>6011104.5652275225</v>
      </c>
      <c r="H50" s="22">
        <v>340823410.92448854</v>
      </c>
      <c r="I50" s="22">
        <v>8404161.1581575312</v>
      </c>
      <c r="J50" s="67"/>
      <c r="K50" s="68"/>
      <c r="L50" s="69"/>
      <c r="M50" s="67"/>
      <c r="O50" s="68"/>
      <c r="P50" s="69"/>
      <c r="Q50" s="67"/>
      <c r="W50" s="68"/>
      <c r="Y50" s="67"/>
      <c r="AD50" s="68"/>
      <c r="AE50" s="69"/>
      <c r="AF50" s="67"/>
      <c r="AK50" s="68"/>
      <c r="AL50" s="69"/>
      <c r="AM50" s="67"/>
      <c r="AR50" s="68"/>
      <c r="AS50" s="69"/>
      <c r="AT50" s="67"/>
      <c r="AZ50" s="68"/>
      <c r="BA50" s="70"/>
      <c r="BB50" s="67"/>
      <c r="BD50" s="68"/>
      <c r="BE50" s="70"/>
    </row>
    <row r="51" spans="2:57" x14ac:dyDescent="0.2">
      <c r="B51" s="20">
        <v>44866</v>
      </c>
      <c r="C51" s="45">
        <v>106317.30547767047</v>
      </c>
      <c r="D51" s="21">
        <v>589.80343159733138</v>
      </c>
      <c r="E51" s="22">
        <v>755177266.72387373</v>
      </c>
      <c r="F51" s="22">
        <v>130494344.63106358</v>
      </c>
      <c r="G51" s="22">
        <v>5836408.3576559769</v>
      </c>
      <c r="H51" s="22">
        <v>336849503.05302167</v>
      </c>
      <c r="I51" s="22">
        <v>8409174.5837221537</v>
      </c>
      <c r="J51" s="67"/>
      <c r="K51" s="68"/>
      <c r="L51" s="69"/>
      <c r="M51" s="67"/>
      <c r="O51" s="68"/>
      <c r="P51" s="69"/>
      <c r="Q51" s="67"/>
      <c r="W51" s="68"/>
      <c r="Y51" s="67"/>
      <c r="AD51" s="68"/>
      <c r="AE51" s="69"/>
      <c r="AF51" s="67"/>
      <c r="AK51" s="68"/>
      <c r="AL51" s="69"/>
      <c r="AM51" s="67"/>
      <c r="AR51" s="68"/>
      <c r="AS51" s="69"/>
      <c r="AT51" s="67"/>
      <c r="AZ51" s="68"/>
      <c r="BA51" s="70"/>
      <c r="BB51" s="67"/>
      <c r="BD51" s="68"/>
      <c r="BE51" s="70"/>
    </row>
    <row r="52" spans="2:57" x14ac:dyDescent="0.2">
      <c r="B52" s="29">
        <v>44896</v>
      </c>
      <c r="C52" s="51">
        <v>108337.86586827358</v>
      </c>
      <c r="D52" s="30">
        <v>600.47887370924309</v>
      </c>
      <c r="E52" s="52">
        <v>737273204.60834706</v>
      </c>
      <c r="F52" s="52">
        <v>127832315.4225255</v>
      </c>
      <c r="G52" s="52">
        <v>6821744.6837976268</v>
      </c>
      <c r="H52" s="52">
        <v>339114183.47579348</v>
      </c>
      <c r="I52" s="52">
        <v>8414191</v>
      </c>
      <c r="J52" s="76">
        <f>D46/D43-1</f>
        <v>5.5288759740999893E-2</v>
      </c>
      <c r="K52" s="77">
        <f>C46/C43-1</f>
        <v>5.8105434491424912E-2</v>
      </c>
      <c r="L52" s="78">
        <f>J52*0.7+K52*0.3</f>
        <v>5.6133762166127393E-2</v>
      </c>
      <c r="M52" s="79"/>
      <c r="N52" s="80"/>
      <c r="O52" s="81"/>
      <c r="P52" s="82"/>
      <c r="Q52" s="79"/>
      <c r="R52" s="80"/>
      <c r="S52" s="80"/>
      <c r="T52" s="80"/>
      <c r="U52" s="80"/>
      <c r="V52" s="80"/>
      <c r="W52" s="81"/>
      <c r="X52" s="80"/>
      <c r="Y52" s="79"/>
      <c r="Z52" s="80"/>
      <c r="AA52" s="80"/>
      <c r="AB52" s="80"/>
      <c r="AC52" s="80"/>
      <c r="AD52" s="81"/>
      <c r="AE52" s="82"/>
      <c r="AF52" s="79"/>
      <c r="AG52" s="80"/>
      <c r="AH52" s="80"/>
      <c r="AI52" s="80"/>
      <c r="AJ52" s="80"/>
      <c r="AK52" s="81"/>
      <c r="AL52" s="82"/>
      <c r="AM52" s="79"/>
      <c r="AN52" s="80"/>
      <c r="AO52" s="80"/>
      <c r="AP52" s="80"/>
      <c r="AQ52" s="80"/>
      <c r="AR52" s="81"/>
      <c r="AS52" s="82"/>
      <c r="AT52" s="79"/>
      <c r="AU52" s="80"/>
      <c r="AV52" s="80"/>
      <c r="AW52" s="80"/>
      <c r="AX52" s="80"/>
      <c r="AY52" s="80"/>
      <c r="AZ52" s="81"/>
      <c r="BA52" s="83"/>
      <c r="BB52" s="79"/>
      <c r="BC52" s="80"/>
      <c r="BD52" s="81"/>
      <c r="BE52" s="83"/>
    </row>
    <row r="53" spans="2:57" x14ac:dyDescent="0.2">
      <c r="B53" s="12">
        <v>44927</v>
      </c>
      <c r="C53" s="61">
        <v>110061.73798996955</v>
      </c>
      <c r="D53" s="13">
        <v>609.66620047699462</v>
      </c>
      <c r="E53" s="14">
        <v>895499448.22939253</v>
      </c>
      <c r="F53" s="14">
        <v>134392597.72288191</v>
      </c>
      <c r="G53" s="14">
        <v>6920597.2864027368</v>
      </c>
      <c r="H53" s="14">
        <v>449098370.21543032</v>
      </c>
      <c r="I53" s="14">
        <v>8420002.2083259299</v>
      </c>
      <c r="J53" s="62"/>
      <c r="K53" s="63"/>
      <c r="L53" s="64"/>
      <c r="M53" s="62"/>
      <c r="N53" s="65"/>
      <c r="O53" s="63"/>
      <c r="P53" s="64"/>
      <c r="Q53" s="62"/>
      <c r="R53" s="65"/>
      <c r="S53" s="65"/>
      <c r="T53" s="65"/>
      <c r="U53" s="65"/>
      <c r="V53" s="65"/>
      <c r="W53" s="63"/>
      <c r="X53" s="65"/>
      <c r="Y53" s="62"/>
      <c r="Z53" s="65"/>
      <c r="AA53" s="65"/>
      <c r="AB53" s="65"/>
      <c r="AC53" s="65"/>
      <c r="AD53" s="63"/>
      <c r="AE53" s="64"/>
      <c r="AF53" s="62"/>
      <c r="AG53" s="65"/>
      <c r="AH53" s="65"/>
      <c r="AI53" s="65"/>
      <c r="AJ53" s="65"/>
      <c r="AK53" s="63"/>
      <c r="AL53" s="64"/>
      <c r="AM53" s="62"/>
      <c r="AN53" s="65"/>
      <c r="AO53" s="65"/>
      <c r="AP53" s="65"/>
      <c r="AQ53" s="65"/>
      <c r="AR53" s="63"/>
      <c r="AS53" s="64"/>
      <c r="AT53" s="62"/>
      <c r="AU53" s="65"/>
      <c r="AV53" s="65"/>
      <c r="AW53" s="65"/>
      <c r="AX53" s="65"/>
      <c r="AY53" s="65"/>
      <c r="AZ53" s="63"/>
      <c r="BA53" s="66"/>
      <c r="BB53" s="67"/>
      <c r="BD53" s="68"/>
      <c r="BE53" s="66"/>
    </row>
    <row r="54" spans="2:57" x14ac:dyDescent="0.2">
      <c r="B54" s="20">
        <v>44958</v>
      </c>
      <c r="C54" s="45">
        <v>111813.04036486594</v>
      </c>
      <c r="D54" s="21">
        <v>618.99409334429265</v>
      </c>
      <c r="E54" s="22">
        <v>773708345.64618957</v>
      </c>
      <c r="F54" s="22">
        <v>135518591.67038596</v>
      </c>
      <c r="G54" s="22">
        <v>6986017.4622768415</v>
      </c>
      <c r="H54" s="22">
        <v>355330509.58417368</v>
      </c>
      <c r="I54" s="22">
        <v>8425817.4301265012</v>
      </c>
      <c r="J54" s="67"/>
      <c r="K54" s="68"/>
      <c r="L54" s="69"/>
      <c r="M54" s="67"/>
      <c r="O54" s="68"/>
      <c r="P54" s="69"/>
      <c r="Q54" s="67"/>
      <c r="W54" s="68"/>
      <c r="Y54" s="67"/>
      <c r="AD54" s="68"/>
      <c r="AE54" s="69"/>
      <c r="AF54" s="67"/>
      <c r="AK54" s="68"/>
      <c r="AL54" s="69"/>
      <c r="AM54" s="67"/>
      <c r="AR54" s="68"/>
      <c r="AS54" s="69"/>
      <c r="AT54" s="67"/>
      <c r="AZ54" s="68"/>
      <c r="BA54" s="70"/>
      <c r="BB54" s="67"/>
      <c r="BD54" s="68"/>
      <c r="BE54" s="70"/>
    </row>
    <row r="55" spans="2:57" x14ac:dyDescent="0.2">
      <c r="B55" s="20">
        <v>44986</v>
      </c>
      <c r="C55" s="45">
        <v>113592.20946315168</v>
      </c>
      <c r="D55" s="21">
        <v>628.46470297246037</v>
      </c>
      <c r="E55" s="22">
        <v>763446943.79791355</v>
      </c>
      <c r="F55" s="22">
        <v>136796491.00546917</v>
      </c>
      <c r="G55" s="22">
        <v>6788532.276325698</v>
      </c>
      <c r="H55" s="22">
        <v>360535470.83632958</v>
      </c>
      <c r="I55" s="22">
        <v>8431636.6681735944</v>
      </c>
      <c r="J55" s="71">
        <f>D49/D46-1</f>
        <v>5.5288759741000115E-2</v>
      </c>
      <c r="K55" s="72">
        <f>C49/C46-1</f>
        <v>5.8105434491424912E-2</v>
      </c>
      <c r="L55" s="73">
        <f>J55*0.7+K55*0.3</f>
        <v>5.6133762166127553E-2</v>
      </c>
      <c r="M55" s="42">
        <f>C52/C46-1</f>
        <v>0.11958711050028725</v>
      </c>
      <c r="N55" s="43">
        <f>(SUM($E47:$E52)/AVERAGE($I47:$I52))/(SUM($E35:$E40)/AVERAGE($I35:$I40))-1</f>
        <v>0.29672475628863082</v>
      </c>
      <c r="O55" s="44">
        <f>(SQRT(1+N55)-1)*1.03</f>
        <v>0.14290037682089973</v>
      </c>
      <c r="P55" s="73">
        <f>IF(M55&gt;O55,O55,M55)</f>
        <v>0.11958711050028725</v>
      </c>
      <c r="Q55" s="42">
        <f>$C52/$C46-1</f>
        <v>0.11958711050028725</v>
      </c>
      <c r="R55" s="43">
        <f>((SUM($F47:$F52)/AVERAGE($I47:$I52))/(SUM($F35:$F40)/AVERAGE($I35:$I40))-1)/2</f>
        <v>0.15097614099957879</v>
      </c>
      <c r="S55" s="43">
        <f>Q55*0.5+R55*0.5</f>
        <v>0.13528162574993302</v>
      </c>
      <c r="T55" s="43">
        <f>((SUM($H47:$H52)/AVERAGE($I47:$I52))/(SUM($H35:$H40)/AVERAGE($I35:$I40))-1)/2</f>
        <v>0.14586404908834261</v>
      </c>
      <c r="U55" s="43">
        <f>IF(S55&gt;T55,T55,S55)</f>
        <v>0.13528162574993302</v>
      </c>
      <c r="V55" s="43">
        <f>$D52/$D46-1</f>
        <v>0.11363436643569824</v>
      </c>
      <c r="W55" s="44">
        <f>(U55+V55)/2</f>
        <v>0.12445799609281563</v>
      </c>
      <c r="X55" s="74">
        <f>IF(V55&gt;U55,W55,U55)</f>
        <v>0.13528162574993302</v>
      </c>
      <c r="Y55" s="42">
        <f>AVERAGE($C47:$C52)/AVERAGE($C41:$C46)-1</f>
        <v>0.11958711050028725</v>
      </c>
      <c r="Z55" s="43">
        <f>(((SUM($F47:$F52)-SUM($G47:$G52))/AVERAGE($I47:$I52))/((SUM($F35:$F40)-SUM($G35:$G40))/AVERAGE($I35:$I40))-1)</f>
        <v>0.30244711889279086</v>
      </c>
      <c r="AA55" s="43">
        <f>SQRT(1+Z55)-1</f>
        <v>0.1412480531824758</v>
      </c>
      <c r="AB55" s="43">
        <f>0.7*Y55+0.3*AA55</f>
        <v>0.12608539330494381</v>
      </c>
      <c r="AC55" s="43"/>
      <c r="AD55" s="44"/>
      <c r="AE55" s="73">
        <f>AB55</f>
        <v>0.12608539330494381</v>
      </c>
      <c r="AF55" s="42">
        <f>AVERAGE($C47:$C52)/AVERAGE($C41:$C46)-1</f>
        <v>0.11958711050028725</v>
      </c>
      <c r="AG55" s="43">
        <f>(((SUM($F47:$F52))/AVERAGE($I47:$I52))/((SUM($F35:$F40))/AVERAGE($I35:$I40))-1)</f>
        <v>0.30195228199915758</v>
      </c>
      <c r="AH55" s="43">
        <f>SQRT(1+AG55)-1</f>
        <v>0.14103123620659819</v>
      </c>
      <c r="AI55" s="43">
        <f>0.7*AF55+0.3*AH55</f>
        <v>0.12602034821218053</v>
      </c>
      <c r="AJ55" s="43"/>
      <c r="AK55" s="44"/>
      <c r="AL55" s="73">
        <f>AI55</f>
        <v>0.12602034821218053</v>
      </c>
      <c r="AM55" s="42">
        <f>AVERAGE($C47:$C52)/AVERAGE($C41:$C46)-1</f>
        <v>0.11958711050028725</v>
      </c>
      <c r="AN55" s="43">
        <f>(((SUM($F47:$F52)-SUM($G47:$G52))/AVERAGE($I47:$I52))/((SUM($F35:$F40)-SUM($G35:$G40))/AVERAGE($I35:$I40))-1)</f>
        <v>0.30244711889279086</v>
      </c>
      <c r="AO55" s="43">
        <f>SQRT(1+AN55)-1</f>
        <v>0.1412480531824758</v>
      </c>
      <c r="AP55" s="43">
        <f>0.5*AM55+0.5*AO55</f>
        <v>0.13041758184138152</v>
      </c>
      <c r="AQ55" s="43"/>
      <c r="AR55" s="44"/>
      <c r="AS55" s="73">
        <f>AP55</f>
        <v>0.13041758184138152</v>
      </c>
      <c r="AT55" s="42">
        <f>$C52/$C46-1</f>
        <v>0.11958711050028725</v>
      </c>
      <c r="AU55" s="43">
        <f>(((SUM($F47:$F52)-SUM(G47:G52))/AVERAGE($I47:$I52))/((SUM($F35:$F40)-SUM(G35:G40))/AVERAGE($I35:$I40))-1)/2</f>
        <v>0.15122355944639543</v>
      </c>
      <c r="AV55" s="43">
        <f>AT55*0.5+AU55*0.5</f>
        <v>0.13540533497334134</v>
      </c>
      <c r="AW55" s="43">
        <f>((SUM($H47:$H52)/AVERAGE($I47:$I52))/(SUM($H35:$H40)/AVERAGE($I35:$I40))-1)/2</f>
        <v>0.14586404908834261</v>
      </c>
      <c r="AX55" s="43">
        <f>IF(AV55&gt;AW55,AW55,AV55)</f>
        <v>0.13540533497334134</v>
      </c>
      <c r="AY55" s="43">
        <f>$D52/$D46-1</f>
        <v>0.11363436643569824</v>
      </c>
      <c r="AZ55" s="44">
        <f>(AX55+AY55)/2</f>
        <v>0.12451985070451979</v>
      </c>
      <c r="BA55" s="75">
        <f>IF(AY55&gt;AX55,AZ55,AX55)</f>
        <v>0.13540533497334134</v>
      </c>
      <c r="BB55" s="71">
        <f>$C52/$C46-1</f>
        <v>0.11958711050028725</v>
      </c>
      <c r="BC55" s="92">
        <f>(((SUM($H47:$H52))/AVERAGE($I47:$I52))/((SUM($H35:$H40))/AVERAGE($I35:$I40))-1)</f>
        <v>0.29172809817668521</v>
      </c>
      <c r="BD55" s="44">
        <f>(SQRT(1+BC55)-1)*1.03</f>
        <v>0.14063843237596016</v>
      </c>
      <c r="BE55" s="75">
        <f>MIN(BB55,BD55)</f>
        <v>0.11958711050028725</v>
      </c>
    </row>
    <row r="56" spans="2:57" x14ac:dyDescent="0.2">
      <c r="B56" s="20">
        <v>45017</v>
      </c>
      <c r="C56" s="45">
        <v>115399.68870012934</v>
      </c>
      <c r="D56" s="21">
        <v>638.0802129279391</v>
      </c>
      <c r="E56" s="22">
        <v>779034659.97376239</v>
      </c>
      <c r="F56" s="22">
        <v>123126714.60880792</v>
      </c>
      <c r="G56" s="22">
        <v>6111602.157946907</v>
      </c>
      <c r="H56" s="22">
        <v>350092507.46016359</v>
      </c>
      <c r="I56" s="22">
        <v>8437459.9252410065</v>
      </c>
      <c r="J56" s="67"/>
      <c r="K56" s="68"/>
      <c r="L56" s="69"/>
      <c r="M56" s="67"/>
      <c r="O56" s="68"/>
      <c r="P56" s="69"/>
      <c r="Q56" s="67"/>
      <c r="W56" s="68"/>
      <c r="Y56" s="67"/>
      <c r="AD56" s="68"/>
      <c r="AE56" s="69"/>
      <c r="AF56" s="67"/>
      <c r="AK56" s="68"/>
      <c r="AL56" s="69"/>
      <c r="AM56" s="67"/>
      <c r="AR56" s="68"/>
      <c r="AS56" s="69"/>
      <c r="AT56" s="67"/>
      <c r="AZ56" s="68"/>
      <c r="BA56" s="70"/>
      <c r="BB56" s="67"/>
      <c r="BD56" s="68"/>
      <c r="BE56" s="70"/>
    </row>
    <row r="57" spans="2:57" x14ac:dyDescent="0.2">
      <c r="B57" s="20">
        <v>45047</v>
      </c>
      <c r="C57" s="45">
        <v>117235.92854672579</v>
      </c>
      <c r="D57" s="21">
        <v>647.84284018573658</v>
      </c>
      <c r="E57" s="22">
        <v>928406997.39936364</v>
      </c>
      <c r="F57" s="22">
        <v>143507401.31277344</v>
      </c>
      <c r="G57" s="22">
        <v>6084081.9191344799</v>
      </c>
      <c r="H57" s="22">
        <v>370849426.3806076</v>
      </c>
      <c r="I57" s="22">
        <v>8443287.2041044477</v>
      </c>
      <c r="J57" s="67"/>
      <c r="K57" s="68"/>
      <c r="L57" s="69"/>
      <c r="M57" s="67"/>
      <c r="O57" s="68"/>
      <c r="P57" s="69"/>
      <c r="Q57" s="67"/>
      <c r="W57" s="68"/>
      <c r="Y57" s="67"/>
      <c r="AD57" s="68"/>
      <c r="AE57" s="69"/>
      <c r="AF57" s="67"/>
      <c r="AK57" s="68"/>
      <c r="AL57" s="69"/>
      <c r="AM57" s="67"/>
      <c r="AR57" s="68"/>
      <c r="AS57" s="69"/>
      <c r="AT57" s="67"/>
      <c r="AZ57" s="68"/>
      <c r="BA57" s="70"/>
      <c r="BB57" s="67"/>
      <c r="BD57" s="68"/>
      <c r="BE57" s="70"/>
    </row>
    <row r="58" spans="2:57" x14ac:dyDescent="0.2">
      <c r="B58" s="20">
        <v>45078</v>
      </c>
      <c r="C58" s="45">
        <v>119101.38664176127</v>
      </c>
      <c r="D58" s="21">
        <v>657.75483564057845</v>
      </c>
      <c r="E58" s="22">
        <v>976864617.88323677</v>
      </c>
      <c r="F58" s="22">
        <v>154772493.99872431</v>
      </c>
      <c r="G58" s="22">
        <v>6071568.9665714018</v>
      </c>
      <c r="H58" s="22">
        <v>386305960.63245916</v>
      </c>
      <c r="I58" s="22">
        <v>8449118.5075415466</v>
      </c>
      <c r="J58" s="71">
        <f>D52/D49-1</f>
        <v>5.5288759741000115E-2</v>
      </c>
      <c r="K58" s="72">
        <f>C52/C49-1</f>
        <v>5.8105434491424912E-2</v>
      </c>
      <c r="L58" s="73">
        <f>J58*0.7+K58*0.3</f>
        <v>5.6133762166127553E-2</v>
      </c>
      <c r="M58" s="67"/>
      <c r="O58" s="68"/>
      <c r="P58" s="69"/>
      <c r="Q58" s="67"/>
      <c r="W58" s="68"/>
      <c r="Y58" s="67"/>
      <c r="AD58" s="68"/>
      <c r="AE58" s="69"/>
      <c r="AF58" s="67"/>
      <c r="AK58" s="68"/>
      <c r="AL58" s="69"/>
      <c r="AM58" s="67"/>
      <c r="AR58" s="68"/>
      <c r="AS58" s="69"/>
      <c r="AT58" s="67"/>
      <c r="AZ58" s="68"/>
      <c r="BA58" s="70"/>
      <c r="BB58" s="67"/>
      <c r="BD58" s="68"/>
      <c r="BE58" s="70"/>
    </row>
    <row r="59" spans="2:57" x14ac:dyDescent="0.2">
      <c r="B59" s="20">
        <v>45108</v>
      </c>
      <c r="C59" s="45">
        <v>120996.52790600497</v>
      </c>
      <c r="D59" s="21">
        <v>667.81848462587936</v>
      </c>
      <c r="E59" s="22">
        <v>1053931669.5648305</v>
      </c>
      <c r="F59" s="22">
        <v>161821999.18720466</v>
      </c>
      <c r="G59" s="22">
        <v>6895546.6803612104</v>
      </c>
      <c r="H59" s="22">
        <v>496018935.54882944</v>
      </c>
      <c r="I59" s="22">
        <v>8454953.8383318484</v>
      </c>
      <c r="J59" s="67"/>
      <c r="K59" s="68"/>
      <c r="L59" s="69"/>
      <c r="M59" s="67"/>
      <c r="O59" s="68"/>
      <c r="P59" s="69"/>
      <c r="Q59" s="67"/>
      <c r="W59" s="68"/>
      <c r="Y59" s="67"/>
      <c r="AD59" s="68"/>
      <c r="AE59" s="69"/>
      <c r="AF59" s="67"/>
      <c r="AK59" s="68"/>
      <c r="AL59" s="69"/>
      <c r="AM59" s="67"/>
      <c r="AR59" s="68"/>
      <c r="AS59" s="69"/>
      <c r="AT59" s="67"/>
      <c r="AZ59" s="68"/>
      <c r="BA59" s="70"/>
      <c r="BB59" s="67"/>
      <c r="BD59" s="68"/>
      <c r="BE59" s="70"/>
    </row>
    <row r="60" spans="2:57" x14ac:dyDescent="0.2">
      <c r="B60" s="20">
        <v>45139</v>
      </c>
      <c r="C60" s="45">
        <v>122921.82465804531</v>
      </c>
      <c r="D60" s="21">
        <v>678.03610744065543</v>
      </c>
      <c r="E60" s="22">
        <v>974100409.15026164</v>
      </c>
      <c r="F60" s="22">
        <v>161378354.80693868</v>
      </c>
      <c r="G60" s="22">
        <v>6097469.5943808528</v>
      </c>
      <c r="H60" s="22">
        <v>397293507.02841312</v>
      </c>
      <c r="I60" s="22">
        <v>8460793.1992568206</v>
      </c>
      <c r="J60" s="67"/>
      <c r="K60" s="68"/>
      <c r="L60" s="69"/>
      <c r="M60" s="67"/>
      <c r="O60" s="68"/>
      <c r="P60" s="69"/>
      <c r="Q60" s="67"/>
      <c r="W60" s="68"/>
      <c r="Y60" s="67"/>
      <c r="AD60" s="68"/>
      <c r="AE60" s="69"/>
      <c r="AF60" s="67"/>
      <c r="AK60" s="68"/>
      <c r="AL60" s="69"/>
      <c r="AM60" s="67"/>
      <c r="AR60" s="68"/>
      <c r="AS60" s="69"/>
      <c r="AT60" s="67"/>
      <c r="AZ60" s="68"/>
      <c r="BA60" s="70"/>
      <c r="BB60" s="67"/>
      <c r="BD60" s="68"/>
      <c r="BE60" s="70"/>
    </row>
    <row r="61" spans="2:57" x14ac:dyDescent="0.2">
      <c r="B61" s="20">
        <v>45170</v>
      </c>
      <c r="C61" s="45">
        <v>124877.75673200413</v>
      </c>
      <c r="D61" s="21">
        <v>688.41005988449751</v>
      </c>
      <c r="E61" s="22">
        <v>985568462.7891171</v>
      </c>
      <c r="F61" s="22">
        <v>162633054.57062241</v>
      </c>
      <c r="G61" s="22">
        <v>7222061.9788748026</v>
      </c>
      <c r="H61" s="22">
        <v>406077814.63234067</v>
      </c>
      <c r="I61" s="22">
        <v>8466636.5930998512</v>
      </c>
      <c r="J61" s="71">
        <f>D55/D52-1</f>
        <v>4.6605851577000257E-2</v>
      </c>
      <c r="K61" s="72">
        <f>C55/C52-1</f>
        <v>4.8499604019030418E-2</v>
      </c>
      <c r="L61" s="73">
        <f>J61*0.7+K61*0.3</f>
        <v>4.7173977309609302E-2</v>
      </c>
      <c r="M61" s="42">
        <f>C58/C52-1</f>
        <v>9.9351419628063375E-2</v>
      </c>
      <c r="N61" s="43">
        <f>(SUM($E53:$E58)/AVERAGE($I53:$I58))/(SUM($E41:$E46)/AVERAGE($I41:$I46))-1</f>
        <v>0.26285953001351636</v>
      </c>
      <c r="O61" s="44">
        <f>(SQRT(1+N61)-1)*1.03</f>
        <v>0.12748333698215264</v>
      </c>
      <c r="P61" s="73">
        <f>IF(M61&gt;O61,O61,M61)</f>
        <v>9.9351419628063375E-2</v>
      </c>
      <c r="Q61" s="42">
        <f>$C58/$C52-1</f>
        <v>9.9351419628063375E-2</v>
      </c>
      <c r="R61" s="43">
        <f>((SUM($F53:$F58)/AVERAGE($I53:$I58))/(SUM($F41:$F46)/AVERAGE($I41:$I46))-1)/2</f>
        <v>0.13210829506339139</v>
      </c>
      <c r="S61" s="43">
        <f>Q61*0.5+R61*0.5</f>
        <v>0.11572985734572738</v>
      </c>
      <c r="T61" s="43">
        <f>((SUM($H53:$H58)/AVERAGE($I53:$I58))/(SUM($H41:$H46)/AVERAGE($I41:$I46))-1)/2</f>
        <v>0.13103396811964863</v>
      </c>
      <c r="U61" s="43">
        <f>IF(S61&gt;T61,T61,S61)</f>
        <v>0.11572985734572738</v>
      </c>
      <c r="V61" s="43">
        <f>$D58/$D52-1</f>
        <v>9.5383808555217886E-2</v>
      </c>
      <c r="W61" s="44">
        <f>(U61+V61)/2</f>
        <v>0.10555683295047263</v>
      </c>
      <c r="X61" s="74">
        <f>IF(V61&gt;U61,W61,U61)</f>
        <v>0.11572985734572738</v>
      </c>
      <c r="Y61" s="42">
        <f>AVERAGE($C53:$C58)/AVERAGE($C47:$C52)-1</f>
        <v>0.10756818895547982</v>
      </c>
      <c r="Z61" s="43">
        <f>(((SUM($F53:$F58)-SUM($G53:$G58))/AVERAGE($I53:$I58))/((SUM($F41:$F46)-SUM($G41:$G46))/AVERAGE($I41:$I46))-1)</f>
        <v>0.26501991950197112</v>
      </c>
      <c r="AA61" s="43">
        <f>SQRT(1+Z61)-1</f>
        <v>0.12473104318409001</v>
      </c>
      <c r="AB61" s="43">
        <f>0.7*Y61+0.3*AA61</f>
        <v>0.11271704522406287</v>
      </c>
      <c r="AC61" s="43">
        <f>((SUM($H47:$H58)-SUM(G47:G58))/AVERAGE($I47:$I58))/((SUM($H35:$H46)-SUM(G35:G46))/AVERAGE($I35:$I46))-1</f>
        <v>0.27612948589270214</v>
      </c>
      <c r="AD61" s="44">
        <f>(1+AC61*1.03)/(1+AE55)-1</f>
        <v>0.14060032934080025</v>
      </c>
      <c r="AE61" s="73">
        <f>IF(AB61&gt;AD61,AD61,AB61)</f>
        <v>0.11271704522406287</v>
      </c>
      <c r="AF61" s="42">
        <f>AVERAGE($C53:$C58)/AVERAGE($C47:$C52)-1</f>
        <v>0.10756818895547982</v>
      </c>
      <c r="AG61" s="43">
        <f>(((SUM($F53:$F58))/AVERAGE($I53:$I58))/((SUM($F41:$F46))/AVERAGE($I41:$I46))-1)</f>
        <v>0.26421659012678278</v>
      </c>
      <c r="AH61" s="43">
        <f>SQRT(1+AG61)-1</f>
        <v>0.12437386581456211</v>
      </c>
      <c r="AI61" s="43">
        <f>0.7*AF61+0.3*AH61</f>
        <v>0.1126098920132045</v>
      </c>
      <c r="AJ61" s="43">
        <f>(SUM($H47:$H58)/AVERAGE($I47:$I58))/(SUM($H35:$H46)/AVERAGE($I35:$I46))-1</f>
        <v>0.27599407979094437</v>
      </c>
      <c r="AK61" s="44">
        <f>(1+AJ61*1.03)/(1+AL55)-1</f>
        <v>0.14054235718187202</v>
      </c>
      <c r="AL61" s="73">
        <f>IF(AI61&gt;AK61,AK61,AI61)</f>
        <v>0.1126098920132045</v>
      </c>
      <c r="AM61" s="42">
        <f>AVERAGE($C53:$C58)/AVERAGE($C47:$C52)-1</f>
        <v>0.10756818895547982</v>
      </c>
      <c r="AN61" s="43">
        <f>(((SUM($F53:$F58)-SUM($G53:$G58))/AVERAGE($I53:$I58))/((SUM($F41:$F46)-SUM($G41:$G46))/AVERAGE($I41:$I46))-1)</f>
        <v>0.26501991950197112</v>
      </c>
      <c r="AO61" s="43">
        <f>SQRT(1+AN61)-1</f>
        <v>0.12473104318409001</v>
      </c>
      <c r="AP61" s="43">
        <f>0.5*AM61+0.5*AO61</f>
        <v>0.11614961606978491</v>
      </c>
      <c r="AQ61" s="43">
        <f>(SUM($H47:$H58)/AVERAGE($I47:$I58))/(SUM($H35:$H46)/AVERAGE($I35:$I46))-1</f>
        <v>0.27599407979094437</v>
      </c>
      <c r="AR61" s="44">
        <f>(1+AQ61*1.03)/(1+AS55)-1</f>
        <v>0.13610573898954104</v>
      </c>
      <c r="AS61" s="73">
        <f>IF(AP61&gt;AR61,AR61,AP61)</f>
        <v>0.11614961606978491</v>
      </c>
      <c r="AT61" s="42">
        <f>$C58/$C52-1</f>
        <v>9.9351419628063375E-2</v>
      </c>
      <c r="AU61" s="43">
        <f>(((SUM($F53:$F58)-SUM(G53:G58))/AVERAGE($I53:$I58))/((SUM($F41:$F46)-SUM(G41:G46))/AVERAGE($I41:$I46))-1)/2</f>
        <v>0.13250995975098556</v>
      </c>
      <c r="AV61" s="43">
        <f>AT61*0.5+AU61*0.5</f>
        <v>0.11593068968952447</v>
      </c>
      <c r="AW61" s="43">
        <f>((SUM($H53:$H58)/AVERAGE($I53:$I58))/(SUM($H41:$H46)/AVERAGE($I41:$I46))-1)/2</f>
        <v>0.13103396811964863</v>
      </c>
      <c r="AX61" s="43">
        <f>IF(AV61&gt;AW61,AW61,AV61)</f>
        <v>0.11593068968952447</v>
      </c>
      <c r="AY61" s="43">
        <f>$D58/$D52-1</f>
        <v>9.5383808555217886E-2</v>
      </c>
      <c r="AZ61" s="44">
        <f>(AX61+AY61)/2</f>
        <v>0.10565724912237118</v>
      </c>
      <c r="BA61" s="75">
        <f>IF(AY61&gt;AX61,AZ61,AX61)</f>
        <v>0.11593068968952447</v>
      </c>
      <c r="BB61" s="71">
        <f>$C58/$C52-1</f>
        <v>9.9351419628063375E-2</v>
      </c>
      <c r="BC61" s="92">
        <f>(((SUM($H53:$H58))/AVERAGE($I53:$I58))/((SUM($H41:$H46))/AVERAGE($I41:$I46))-1)</f>
        <v>0.26206793623929725</v>
      </c>
      <c r="BD61" s="44">
        <f>(SQRT(1+BC61)-1)*1.03</f>
        <v>0.12712050952192105</v>
      </c>
      <c r="BE61" s="75">
        <f>MIN(BB61,BD61)</f>
        <v>9.9351419628063375E-2</v>
      </c>
    </row>
    <row r="62" spans="2:57" x14ac:dyDescent="0.2">
      <c r="B62" s="20">
        <v>45200</v>
      </c>
      <c r="C62" s="45">
        <v>126864.81159712377</v>
      </c>
      <c r="D62" s="21">
        <v>698.94273380073037</v>
      </c>
      <c r="E62" s="22">
        <v>1004746773.7878255</v>
      </c>
      <c r="F62" s="22">
        <v>175656714.10492218</v>
      </c>
      <c r="G62" s="22">
        <v>7528933.9818062419</v>
      </c>
      <c r="H62" s="22">
        <v>424884314.85261071</v>
      </c>
      <c r="I62" s="22">
        <v>8472484.0226462502</v>
      </c>
      <c r="J62" s="67"/>
      <c r="K62" s="68"/>
      <c r="L62" s="69"/>
      <c r="M62" s="67"/>
      <c r="O62" s="68"/>
      <c r="P62" s="69"/>
      <c r="Q62" s="67"/>
      <c r="W62" s="68"/>
      <c r="Y62" s="67"/>
      <c r="AD62" s="68"/>
      <c r="AE62" s="69"/>
      <c r="AF62" s="67"/>
      <c r="AK62" s="68"/>
      <c r="AL62" s="69"/>
      <c r="AM62" s="67"/>
      <c r="AR62" s="68"/>
      <c r="AS62" s="69"/>
      <c r="AT62" s="67"/>
      <c r="AZ62" s="68"/>
      <c r="BA62" s="70"/>
      <c r="BB62" s="67"/>
      <c r="BD62" s="68"/>
      <c r="BE62" s="70"/>
    </row>
    <row r="63" spans="2:57" x14ac:dyDescent="0.2">
      <c r="B63" s="20">
        <v>45231</v>
      </c>
      <c r="C63" s="45">
        <v>128883.4844792572</v>
      </c>
      <c r="D63" s="21">
        <v>709.63655762788164</v>
      </c>
      <c r="E63" s="22">
        <v>940523163.79188693</v>
      </c>
      <c r="F63" s="22">
        <v>162795615.06307361</v>
      </c>
      <c r="G63" s="22">
        <v>7219345.3180025602</v>
      </c>
      <c r="H63" s="22">
        <v>418223884.86535323</v>
      </c>
      <c r="I63" s="22">
        <v>8478335.4906832483</v>
      </c>
      <c r="J63" s="67"/>
      <c r="K63" s="68"/>
      <c r="L63" s="69"/>
      <c r="M63" s="67"/>
      <c r="O63" s="68"/>
      <c r="P63" s="69"/>
      <c r="Q63" s="67"/>
      <c r="W63" s="68"/>
      <c r="Y63" s="67"/>
      <c r="AD63" s="68"/>
      <c r="AE63" s="69"/>
      <c r="AF63" s="67"/>
      <c r="AK63" s="68"/>
      <c r="AL63" s="69"/>
      <c r="AM63" s="67"/>
      <c r="AR63" s="68"/>
      <c r="AS63" s="69"/>
      <c r="AT63" s="67"/>
      <c r="AZ63" s="68"/>
      <c r="BA63" s="70"/>
      <c r="BB63" s="67"/>
      <c r="BD63" s="68"/>
      <c r="BE63" s="70"/>
    </row>
    <row r="64" spans="2:57" x14ac:dyDescent="0.2">
      <c r="B64" s="29">
        <v>45261</v>
      </c>
      <c r="C64" s="51">
        <v>130934.27848429112</v>
      </c>
      <c r="D64" s="30">
        <v>720.49399695958834</v>
      </c>
      <c r="E64" s="52">
        <v>913277636.16441</v>
      </c>
      <c r="F64" s="52">
        <v>158995493.50584051</v>
      </c>
      <c r="G64" s="52">
        <v>8317871.3616124354</v>
      </c>
      <c r="H64" s="52">
        <v>419824796.34499705</v>
      </c>
      <c r="I64" s="52">
        <v>8484191</v>
      </c>
      <c r="J64" s="76">
        <f>D58/D55-1</f>
        <v>4.6605851577000257E-2</v>
      </c>
      <c r="K64" s="77">
        <f>C58/C55-1</f>
        <v>4.8499604019030196E-2</v>
      </c>
      <c r="L64" s="78">
        <f>J64*0.7+K64*0.3</f>
        <v>4.7173977309609233E-2</v>
      </c>
      <c r="M64" s="79"/>
      <c r="N64" s="80"/>
      <c r="O64" s="81"/>
      <c r="P64" s="82"/>
      <c r="Q64" s="79"/>
      <c r="R64" s="80"/>
      <c r="S64" s="80"/>
      <c r="T64" s="80"/>
      <c r="U64" s="80"/>
      <c r="V64" s="80"/>
      <c r="W64" s="81"/>
      <c r="X64" s="80"/>
      <c r="Y64" s="79"/>
      <c r="Z64" s="80"/>
      <c r="AA64" s="80"/>
      <c r="AB64" s="80"/>
      <c r="AC64" s="80"/>
      <c r="AD64" s="81"/>
      <c r="AE64" s="82"/>
      <c r="AF64" s="79"/>
      <c r="AG64" s="80"/>
      <c r="AH64" s="80"/>
      <c r="AI64" s="80"/>
      <c r="AJ64" s="80"/>
      <c r="AK64" s="81"/>
      <c r="AL64" s="82"/>
      <c r="AM64" s="79"/>
      <c r="AN64" s="80"/>
      <c r="AO64" s="80"/>
      <c r="AP64" s="80"/>
      <c r="AQ64" s="80"/>
      <c r="AR64" s="81"/>
      <c r="AS64" s="82"/>
      <c r="AT64" s="79"/>
      <c r="AU64" s="80"/>
      <c r="AV64" s="80"/>
      <c r="AW64" s="80"/>
      <c r="AX64" s="80"/>
      <c r="AY64" s="80"/>
      <c r="AZ64" s="81"/>
      <c r="BA64" s="83"/>
      <c r="BB64" s="79"/>
      <c r="BC64" s="80"/>
      <c r="BD64" s="81"/>
      <c r="BE64" s="83"/>
    </row>
    <row r="65" spans="2:57" x14ac:dyDescent="0.2">
      <c r="B65" s="12">
        <v>45292</v>
      </c>
      <c r="C65" s="61">
        <v>132670.46701699283</v>
      </c>
      <c r="D65" s="13">
        <v>729.8604189200629</v>
      </c>
      <c r="E65" s="14">
        <v>1105670809.6762834</v>
      </c>
      <c r="F65" s="14">
        <v>165461834.90602174</v>
      </c>
      <c r="G65" s="14">
        <v>8361253.8304099189</v>
      </c>
      <c r="H65" s="14">
        <v>555655308.40060782</v>
      </c>
      <c r="I65" s="14">
        <v>8490829.0272955969</v>
      </c>
      <c r="J65" s="62"/>
      <c r="K65" s="63"/>
      <c r="L65" s="64"/>
      <c r="M65" s="62"/>
      <c r="N65" s="65"/>
      <c r="O65" s="63"/>
      <c r="P65" s="64"/>
      <c r="Q65" s="62"/>
      <c r="R65" s="65"/>
      <c r="S65" s="65"/>
      <c r="T65" s="65"/>
      <c r="U65" s="65"/>
      <c r="V65" s="65"/>
      <c r="W65" s="63"/>
      <c r="X65" s="65"/>
      <c r="Y65" s="62"/>
      <c r="Z65" s="65"/>
      <c r="AA65" s="65"/>
      <c r="AB65" s="65"/>
      <c r="AC65" s="65"/>
      <c r="AD65" s="63"/>
      <c r="AE65" s="64"/>
      <c r="AF65" s="62"/>
      <c r="AG65" s="65"/>
      <c r="AH65" s="65"/>
      <c r="AI65" s="65"/>
      <c r="AJ65" s="65"/>
      <c r="AK65" s="63"/>
      <c r="AL65" s="64"/>
      <c r="AM65" s="62"/>
      <c r="AN65" s="65"/>
      <c r="AO65" s="65"/>
      <c r="AP65" s="65"/>
      <c r="AQ65" s="65"/>
      <c r="AR65" s="63"/>
      <c r="AS65" s="64"/>
      <c r="AT65" s="62"/>
      <c r="AU65" s="65"/>
      <c r="AV65" s="65"/>
      <c r="AW65" s="65"/>
      <c r="AX65" s="65"/>
      <c r="AY65" s="65"/>
      <c r="AZ65" s="63"/>
      <c r="BA65" s="66"/>
      <c r="BB65" s="67"/>
      <c r="BD65" s="68"/>
      <c r="BE65" s="66"/>
    </row>
    <row r="66" spans="2:57" x14ac:dyDescent="0.2">
      <c r="B66" s="20">
        <v>45323</v>
      </c>
      <c r="C66" s="45">
        <v>134429.67740963816</v>
      </c>
      <c r="D66" s="21">
        <v>739.34860436602366</v>
      </c>
      <c r="E66" s="22">
        <v>952489830.62536836</v>
      </c>
      <c r="F66" s="22">
        <v>166609155.91981295</v>
      </c>
      <c r="G66" s="22">
        <v>8419906.6427369323</v>
      </c>
      <c r="H66" s="22">
        <v>438658122.85841012</v>
      </c>
      <c r="I66" s="22">
        <v>8497472.2481808215</v>
      </c>
      <c r="J66" s="67"/>
      <c r="K66" s="68"/>
      <c r="L66" s="69"/>
      <c r="M66" s="67"/>
      <c r="O66" s="68"/>
      <c r="P66" s="69"/>
      <c r="Q66" s="67"/>
      <c r="W66" s="68"/>
      <c r="Y66" s="67"/>
      <c r="AD66" s="68"/>
      <c r="AE66" s="69"/>
      <c r="AF66" s="67"/>
      <c r="AK66" s="68"/>
      <c r="AL66" s="69"/>
      <c r="AM66" s="67"/>
      <c r="AR66" s="68"/>
      <c r="AS66" s="69"/>
      <c r="AT66" s="67"/>
      <c r="AZ66" s="68"/>
      <c r="BA66" s="70"/>
      <c r="BB66" s="67"/>
      <c r="BD66" s="68"/>
      <c r="BE66" s="70"/>
    </row>
    <row r="67" spans="2:57" x14ac:dyDescent="0.2">
      <c r="B67" s="20">
        <v>45352</v>
      </c>
      <c r="C67" s="45">
        <v>136212.21493208996</v>
      </c>
      <c r="D67" s="21">
        <v>748.9601362227819</v>
      </c>
      <c r="E67" s="22">
        <v>937328185.62793052</v>
      </c>
      <c r="F67" s="22">
        <v>167865024.32963711</v>
      </c>
      <c r="G67" s="22">
        <v>8162125.6492986027</v>
      </c>
      <c r="H67" s="22">
        <v>443914853.91484022</v>
      </c>
      <c r="I67" s="22">
        <v>8504120.6667191368</v>
      </c>
      <c r="J67" s="71">
        <f>D61/D58-1</f>
        <v>4.6605851577000257E-2</v>
      </c>
      <c r="K67" s="72">
        <f>C61/C58-1</f>
        <v>4.8499604019030418E-2</v>
      </c>
      <c r="L67" s="73">
        <f>J67*0.7+K67*0.3</f>
        <v>4.7173977309609302E-2</v>
      </c>
      <c r="M67" s="42">
        <f>C64/C58-1</f>
        <v>9.9351419628063375E-2</v>
      </c>
      <c r="N67" s="43">
        <f>(SUM($E59:$E64)/AVERAGE($I59:$I64))/(SUM($E47:$E52)/AVERAGE($I47:$I52))-1</f>
        <v>0.24222583587484037</v>
      </c>
      <c r="O67" s="44">
        <f>(SQRT(1+N67)-1)*1.03</f>
        <v>0.11798840990648428</v>
      </c>
      <c r="P67" s="73">
        <f>IF(M67&gt;O67,O67,M67)</f>
        <v>9.9351419628063375E-2</v>
      </c>
      <c r="Q67" s="42">
        <f>$C64/$C58-1</f>
        <v>9.9351419628063375E-2</v>
      </c>
      <c r="R67" s="43">
        <f>((SUM($F59:$F64)/AVERAGE($I59:$I64))/(SUM($F47:$F52)/AVERAGE($I47:$I52))-1)/2</f>
        <v>0.12180856618658997</v>
      </c>
      <c r="S67" s="43">
        <f>Q67*0.5+R67*0.5</f>
        <v>0.11057999290732667</v>
      </c>
      <c r="T67" s="43">
        <f>((SUM($H59:$H64)/AVERAGE($I59:$I64))/(SUM($H47:$H52)/AVERAGE($I47:$I52))-1)/2</f>
        <v>0.11925750095552112</v>
      </c>
      <c r="U67" s="43">
        <f>IF(S67&gt;T67,T67,S67)</f>
        <v>0.11057999290732667</v>
      </c>
      <c r="V67" s="43">
        <f>$D64/$D58-1</f>
        <v>9.5383808555218108E-2</v>
      </c>
      <c r="W67" s="44">
        <f>(U67+V67)/2</f>
        <v>0.10298190073127239</v>
      </c>
      <c r="X67" s="74">
        <f>IF(V67&gt;U67,W67,U67)</f>
        <v>0.11057999290732667</v>
      </c>
      <c r="Y67" s="42">
        <f>AVERAGE($C59:$C64)/AVERAGE($C53:$C58)-1</f>
        <v>9.9351419628063598E-2</v>
      </c>
      <c r="Z67" s="43">
        <f>(((SUM($F59:$F64)-SUM($G59:$G64))/AVERAGE($I59:$I64))/((SUM($F47:$F52)-SUM($G47:$G52))/AVERAGE($I47:$I52))-1)</f>
        <v>0.24419967840767409</v>
      </c>
      <c r="AA67" s="43">
        <f>SQRT(1+Z67)-1</f>
        <v>0.11543698988677709</v>
      </c>
      <c r="AB67" s="43">
        <f>0.7*Y67+0.3*AA67</f>
        <v>0.10417709070567763</v>
      </c>
      <c r="AC67" s="43"/>
      <c r="AD67" s="44"/>
      <c r="AE67" s="73">
        <f>AB67</f>
        <v>0.10417709070567763</v>
      </c>
      <c r="AF67" s="42">
        <f>AVERAGE($C59:$C64)/AVERAGE($C53:$C58)-1</f>
        <v>9.9351419628063598E-2</v>
      </c>
      <c r="AG67" s="43">
        <f>(((SUM($F59:$F64))/AVERAGE($I59:$I64))/((SUM($F47:$F52))/AVERAGE($I47:$I52))-1)</f>
        <v>0.24361713237317995</v>
      </c>
      <c r="AH67" s="43">
        <f>SQRT(1+AG67)-1</f>
        <v>0.11517583024973232</v>
      </c>
      <c r="AI67" s="43">
        <f>0.7*AF67+0.3*AH67</f>
        <v>0.10409874281456422</v>
      </c>
      <c r="AJ67" s="43"/>
      <c r="AK67" s="44"/>
      <c r="AL67" s="73">
        <f>AI67</f>
        <v>0.10409874281456422</v>
      </c>
      <c r="AM67" s="42">
        <f>AVERAGE($C59:$C64)/AVERAGE($C53:$C58)-1</f>
        <v>9.9351419628063598E-2</v>
      </c>
      <c r="AN67" s="43">
        <f>(((SUM($F59:$F64)-SUM($G59:$G64))/AVERAGE($I59:$I64))/((SUM($F47:$F52)-SUM($G47:$G52))/AVERAGE($I47:$I52))-1)</f>
        <v>0.24419967840767409</v>
      </c>
      <c r="AO67" s="43">
        <f>SQRT(1+AN67)-1</f>
        <v>0.11543698988677709</v>
      </c>
      <c r="AP67" s="43">
        <f>0.5*AM67+0.5*AO67</f>
        <v>0.10739420475742034</v>
      </c>
      <c r="AQ67" s="43"/>
      <c r="AR67" s="44"/>
      <c r="AS67" s="73">
        <f>AP67</f>
        <v>0.10739420475742034</v>
      </c>
      <c r="AT67" s="42">
        <f>$C64/$C58-1</f>
        <v>9.9351419628063375E-2</v>
      </c>
      <c r="AU67" s="43">
        <f>(((SUM($F59:$F64)-SUM(G59:G64))/AVERAGE($I59:$I64))/((SUM($F47:$F52)-SUM(G47:G52))/AVERAGE($I47:$I52))-1)/2</f>
        <v>0.12209983920383705</v>
      </c>
      <c r="AV67" s="43">
        <f>AT67*0.5+AU67*0.5</f>
        <v>0.11072562941595021</v>
      </c>
      <c r="AW67" s="43">
        <f>((SUM($H59:$H64)/AVERAGE($I59:$I64))/(SUM($H47:$H52)/AVERAGE($I47:$I52))-1)/2</f>
        <v>0.11925750095552112</v>
      </c>
      <c r="AX67" s="43">
        <f>IF(AV67&gt;AW67,AW67,AV67)</f>
        <v>0.11072562941595021</v>
      </c>
      <c r="AY67" s="43">
        <f>$D64/$D58-1</f>
        <v>9.5383808555218108E-2</v>
      </c>
      <c r="AZ67" s="44">
        <f>(AX67+AY67)/2</f>
        <v>0.10305471898558416</v>
      </c>
      <c r="BA67" s="75">
        <f>IF(AY67&gt;AX67,AZ67,AX67)</f>
        <v>0.11072562941595021</v>
      </c>
      <c r="BB67" s="71">
        <f>$C64/$C58-1</f>
        <v>9.9351419628063375E-2</v>
      </c>
      <c r="BC67" s="92">
        <f>(((SUM($H59:$H64))/AVERAGE($I59:$I64))/((SUM($H47:$H52))/AVERAGE($I47:$I52))-1)</f>
        <v>0.23851500191104225</v>
      </c>
      <c r="BD67" s="44">
        <f>(SQRT(1+BC67)-1)*1.03</f>
        <v>0.11627246565876501</v>
      </c>
      <c r="BE67" s="75">
        <f>MIN(BB67,BD67)</f>
        <v>9.9351419628063375E-2</v>
      </c>
    </row>
    <row r="68" spans="2:57" x14ac:dyDescent="0.2">
      <c r="B68" s="20">
        <v>45383</v>
      </c>
      <c r="C68" s="45">
        <v>138018.38890208947</v>
      </c>
      <c r="D68" s="21">
        <v>758.69661799367793</v>
      </c>
      <c r="E68" s="22">
        <v>954570263.46936083</v>
      </c>
      <c r="F68" s="22">
        <v>150601299.23463285</v>
      </c>
      <c r="G68" s="22">
        <v>7330477.1444068188</v>
      </c>
      <c r="H68" s="22">
        <v>429737370.19714129</v>
      </c>
      <c r="I68" s="22">
        <v>8510774.2869771831</v>
      </c>
      <c r="J68" s="67"/>
      <c r="K68" s="68"/>
      <c r="L68" s="69"/>
      <c r="M68" s="67"/>
      <c r="O68" s="68"/>
      <c r="P68" s="69"/>
      <c r="Q68" s="67"/>
      <c r="W68" s="68"/>
      <c r="Y68" s="67"/>
      <c r="AD68" s="68"/>
      <c r="AE68" s="69"/>
      <c r="AF68" s="67"/>
      <c r="AK68" s="68"/>
      <c r="AL68" s="69"/>
      <c r="AM68" s="67"/>
      <c r="AR68" s="68"/>
      <c r="AS68" s="69"/>
      <c r="AT68" s="67"/>
      <c r="AZ68" s="68"/>
      <c r="BA68" s="70"/>
      <c r="BB68" s="67"/>
      <c r="BD68" s="68"/>
      <c r="BE68" s="70"/>
    </row>
    <row r="69" spans="2:57" x14ac:dyDescent="0.2">
      <c r="B69" s="20">
        <v>45413</v>
      </c>
      <c r="C69" s="45">
        <v>139848.5127389312</v>
      </c>
      <c r="D69" s="21">
        <v>768.55967402759563</v>
      </c>
      <c r="E69" s="22">
        <v>1135579223.9667108</v>
      </c>
      <c r="F69" s="22">
        <v>175379481.81686023</v>
      </c>
      <c r="G69" s="22">
        <v>7279842.7941271933</v>
      </c>
      <c r="H69" s="22">
        <v>453863799.53867018</v>
      </c>
      <c r="I69" s="22">
        <v>8517433.1130247843</v>
      </c>
      <c r="J69" s="67"/>
      <c r="K69" s="68"/>
      <c r="L69" s="69"/>
      <c r="M69" s="67"/>
      <c r="O69" s="68"/>
      <c r="P69" s="69"/>
      <c r="Q69" s="67"/>
      <c r="W69" s="68"/>
      <c r="Y69" s="67"/>
      <c r="AD69" s="68"/>
      <c r="AE69" s="69"/>
      <c r="AF69" s="67"/>
      <c r="AK69" s="68"/>
      <c r="AL69" s="69"/>
      <c r="AM69" s="67"/>
      <c r="AR69" s="68"/>
      <c r="AS69" s="69"/>
      <c r="AT69" s="67"/>
      <c r="AZ69" s="68"/>
      <c r="BA69" s="70"/>
      <c r="BB69" s="67"/>
      <c r="BD69" s="68"/>
      <c r="BE69" s="70"/>
    </row>
    <row r="70" spans="2:57" x14ac:dyDescent="0.2">
      <c r="B70" s="20">
        <v>45444</v>
      </c>
      <c r="C70" s="45">
        <v>141702.90401784942</v>
      </c>
      <c r="D70" s="21">
        <v>778.5509497899543</v>
      </c>
      <c r="E70" s="22">
        <v>1193685509.1345019</v>
      </c>
      <c r="F70" s="22">
        <v>189266674.46751854</v>
      </c>
      <c r="G70" s="22">
        <v>7247323.710447561</v>
      </c>
      <c r="H70" s="22">
        <v>472143462.64644539</v>
      </c>
      <c r="I70" s="22">
        <v>8524097.1489349473</v>
      </c>
      <c r="J70" s="71">
        <f>D64/D61-1</f>
        <v>4.6605851577000479E-2</v>
      </c>
      <c r="K70" s="72">
        <f>C64/C61-1</f>
        <v>4.8499604019030196E-2</v>
      </c>
      <c r="L70" s="73">
        <f>J70*0.7+K70*0.3</f>
        <v>4.7173977309609386E-2</v>
      </c>
      <c r="M70" s="67"/>
      <c r="O70" s="68"/>
      <c r="P70" s="69"/>
      <c r="Q70" s="67"/>
      <c r="W70" s="68"/>
      <c r="Y70" s="67"/>
      <c r="AD70" s="68"/>
      <c r="AE70" s="69"/>
      <c r="AF70" s="67"/>
      <c r="AK70" s="68"/>
      <c r="AL70" s="69"/>
      <c r="AM70" s="67"/>
      <c r="AR70" s="68"/>
      <c r="AS70" s="69"/>
      <c r="AT70" s="67"/>
      <c r="AZ70" s="68"/>
      <c r="BA70" s="70"/>
      <c r="BB70" s="67"/>
      <c r="BD70" s="68"/>
      <c r="BE70" s="70"/>
    </row>
    <row r="71" spans="2:57" x14ac:dyDescent="0.2">
      <c r="B71" s="20">
        <v>45474</v>
      </c>
      <c r="C71" s="45">
        <v>143581.88452512611</v>
      </c>
      <c r="D71" s="21">
        <v>788.67211213722362</v>
      </c>
      <c r="E71" s="22">
        <v>1282160579.5388875</v>
      </c>
      <c r="F71" s="22">
        <v>196566961.68704829</v>
      </c>
      <c r="G71" s="22">
        <v>8210984.0766509473</v>
      </c>
      <c r="H71" s="22">
        <v>603830289.20839667</v>
      </c>
      <c r="I71" s="22">
        <v>8530766.3987838663</v>
      </c>
      <c r="J71" s="67"/>
      <c r="K71" s="68"/>
      <c r="L71" s="69"/>
      <c r="M71" s="67"/>
      <c r="O71" s="68"/>
      <c r="P71" s="69"/>
      <c r="Q71" s="67"/>
      <c r="W71" s="68"/>
      <c r="Y71" s="67"/>
      <c r="AD71" s="68"/>
      <c r="AE71" s="69"/>
      <c r="AF71" s="67"/>
      <c r="AK71" s="68"/>
      <c r="AL71" s="69"/>
      <c r="AM71" s="67"/>
      <c r="AR71" s="68"/>
      <c r="AS71" s="69"/>
      <c r="AT71" s="67"/>
      <c r="AZ71" s="68"/>
      <c r="BA71" s="70"/>
      <c r="BB71" s="67"/>
      <c r="BD71" s="68"/>
      <c r="BE71" s="70"/>
    </row>
    <row r="72" spans="2:57" x14ac:dyDescent="0.2">
      <c r="B72" s="20">
        <v>45505</v>
      </c>
      <c r="C72" s="45">
        <v>145485.78031392928</v>
      </c>
      <c r="D72" s="21">
        <v>798.92484959500746</v>
      </c>
      <c r="E72" s="22">
        <v>1182629093.519474</v>
      </c>
      <c r="F72" s="22">
        <v>195840275.39637819</v>
      </c>
      <c r="G72" s="22">
        <v>7243124.1621292541</v>
      </c>
      <c r="H72" s="22">
        <v>482648973.0373553</v>
      </c>
      <c r="I72" s="22">
        <v>8537440.8666509259</v>
      </c>
      <c r="J72" s="67"/>
      <c r="K72" s="68"/>
      <c r="L72" s="69"/>
      <c r="M72" s="67"/>
      <c r="O72" s="68"/>
      <c r="P72" s="69"/>
      <c r="Q72" s="67"/>
      <c r="W72" s="68"/>
      <c r="Y72" s="67"/>
      <c r="AD72" s="68"/>
      <c r="AE72" s="69"/>
      <c r="AF72" s="67"/>
      <c r="AK72" s="68"/>
      <c r="AL72" s="69"/>
      <c r="AM72" s="67"/>
      <c r="AR72" s="68"/>
      <c r="AS72" s="69"/>
      <c r="AT72" s="67"/>
      <c r="AZ72" s="68"/>
      <c r="BA72" s="70"/>
      <c r="BB72" s="67"/>
      <c r="BD72" s="68"/>
      <c r="BE72" s="70"/>
    </row>
    <row r="73" spans="2:57" x14ac:dyDescent="0.2">
      <c r="B73" s="20">
        <v>45536</v>
      </c>
      <c r="C73" s="45">
        <v>147414.921760892</v>
      </c>
      <c r="D73" s="21">
        <v>809.31087263974246</v>
      </c>
      <c r="E73" s="22">
        <v>1195093809.2382205</v>
      </c>
      <c r="F73" s="22">
        <v>197305532.25131628</v>
      </c>
      <c r="G73" s="22">
        <v>8558295.4933856502</v>
      </c>
      <c r="H73" s="22">
        <v>492325127.77768028</v>
      </c>
      <c r="I73" s="22">
        <v>8544120.5566186998</v>
      </c>
      <c r="J73" s="71">
        <f>D67/D64-1</f>
        <v>3.9509196999999663E-2</v>
      </c>
      <c r="K73" s="72">
        <f>C67/C64-1</f>
        <v>4.0309814273976174E-2</v>
      </c>
      <c r="L73" s="73">
        <f>J73*0.7+K73*0.3</f>
        <v>3.9749382182192615E-2</v>
      </c>
      <c r="M73" s="42">
        <f>C70/C64-1</f>
        <v>8.2244509674754607E-2</v>
      </c>
      <c r="N73" s="43">
        <f>(SUM($E65:$E70)/AVERAGE($I65:$I70))/(SUM($E53:$E58)/AVERAGE($I53:$I58))-1</f>
        <v>0.21664323798448093</v>
      </c>
      <c r="O73" s="44">
        <f>(SQRT(1+N73)-1)*1.03</f>
        <v>0.10610598589116488</v>
      </c>
      <c r="P73" s="73">
        <f>IF(M73&gt;O73,O73,M73)</f>
        <v>8.2244509674754607E-2</v>
      </c>
      <c r="Q73" s="42">
        <f>$C70/$C64-1</f>
        <v>8.2244509674754607E-2</v>
      </c>
      <c r="R73" s="43">
        <f>((SUM($F65:$F70)/AVERAGE($I65:$I70))/(SUM($F53:$F58)/AVERAGE($I53:$I58))-1)/2</f>
        <v>0.10769650385816543</v>
      </c>
      <c r="S73" s="43">
        <f>Q73*0.5+R73*0.5</f>
        <v>9.4970506766460017E-2</v>
      </c>
      <c r="T73" s="43">
        <f>((SUM($H65:$H70)/AVERAGE($I65:$I70))/(SUM($H53:$H58)/AVERAGE($I53:$I58))-1)/2</f>
        <v>0.10954500277089119</v>
      </c>
      <c r="U73" s="43">
        <f>IF(S73&gt;T73,T73,S73)</f>
        <v>9.4970506766460017E-2</v>
      </c>
      <c r="V73" s="43">
        <f>$D70/$D64-1</f>
        <v>8.0579370647584136E-2</v>
      </c>
      <c r="W73" s="44">
        <f>(U73+V73)/2</f>
        <v>8.7774938707022077E-2</v>
      </c>
      <c r="X73" s="74">
        <f>IF(V73&gt;U73,W73,U73)</f>
        <v>9.4970506766460017E-2</v>
      </c>
      <c r="Y73" s="42">
        <f>AVERAGE($C65:$C70)/AVERAGE($C59:$C64)-1</f>
        <v>8.9219567144858347E-2</v>
      </c>
      <c r="Z73" s="43">
        <f>(((SUM($F65:$F70)-SUM($G65:$G70))/AVERAGE($I65:$I70))/((SUM($F53:$F58)-SUM($G53:$G58))/AVERAGE($I53:$I58))-1)</f>
        <v>0.21660283577491946</v>
      </c>
      <c r="AA73" s="43">
        <f>SQRT(1+Z73)-1</f>
        <v>0.10299720569678672</v>
      </c>
      <c r="AB73" s="43">
        <f>0.7*Y73+0.3*AA73</f>
        <v>9.3352858710436859E-2</v>
      </c>
      <c r="AC73" s="43">
        <f>((SUM($H59:$H70)-SUM(G59:G70))/AVERAGE($I59:$I70))/((SUM($H47:$H58)-SUM(G47:G58))/AVERAGE($I47:$I58))-1</f>
        <v>0.22864269356757427</v>
      </c>
      <c r="AD73" s="44">
        <f>(1+AC73*1.03)/(1+AE67)-1</f>
        <v>0.11893462088132489</v>
      </c>
      <c r="AE73" s="73">
        <f>IF(AB73&gt;AD73,AD73,AB73)</f>
        <v>9.3352858710436859E-2</v>
      </c>
      <c r="AF73" s="42">
        <f>AVERAGE($C65:$C70)/AVERAGE($C59:$C64)-1</f>
        <v>8.9219567144858347E-2</v>
      </c>
      <c r="AG73" s="43">
        <f>(((SUM($F65:$F70))/AVERAGE($I65:$I70))/((SUM($F53:$F58))/AVERAGE($I53:$I58))-1)</f>
        <v>0.21539300771633085</v>
      </c>
      <c r="AH73" s="43">
        <f>SQRT(1+AG73)-1</f>
        <v>0.10244864175903046</v>
      </c>
      <c r="AI73" s="43">
        <f>0.7*AF73+0.3*AH73</f>
        <v>9.3188289529109972E-2</v>
      </c>
      <c r="AJ73" s="43">
        <f>(SUM($H59:$H70)/AVERAGE($I59:$I70))/(SUM($H47:$H58)/AVERAGE($I47:$I58))-1</f>
        <v>0.22832255854114147</v>
      </c>
      <c r="AK73" s="44">
        <f>(1+AJ73*1.03)/(1+AL67)-1</f>
        <v>0.11871537155153322</v>
      </c>
      <c r="AL73" s="73">
        <f>IF(AI73&gt;AK73,AK73,AI73)</f>
        <v>9.3188289529109972E-2</v>
      </c>
      <c r="AM73" s="42">
        <f>AVERAGE($C65:$C70)/AVERAGE($C59:$C64)-1</f>
        <v>8.9219567144858347E-2</v>
      </c>
      <c r="AN73" s="43">
        <f>(((SUM($F65:$F70)-SUM($G65:$G70))/AVERAGE($I65:$I70))/((SUM($F53:$F58)-SUM($G53:$G58))/AVERAGE($I53:$I58))-1)</f>
        <v>0.21660283577491946</v>
      </c>
      <c r="AO73" s="43">
        <f>SQRT(1+AN73)-1</f>
        <v>0.10299720569678672</v>
      </c>
      <c r="AP73" s="43">
        <f>0.5*AM73+0.5*AO73</f>
        <v>9.6108386420822534E-2</v>
      </c>
      <c r="AQ73" s="43">
        <f>(SUM($H59:$H70)/AVERAGE($I59:$I70))/(SUM($H47:$H58)/AVERAGE($I47:$I58))-1</f>
        <v>0.22832255854114147</v>
      </c>
      <c r="AR73" s="44">
        <f>(1+AQ73*1.03)/(1+AS67)-1</f>
        <v>0.11538621928037429</v>
      </c>
      <c r="AS73" s="73">
        <f>IF(AP73&gt;AR73,AR73,AP73)</f>
        <v>9.6108386420822534E-2</v>
      </c>
      <c r="AT73" s="42">
        <f>$C70/$C64-1</f>
        <v>8.2244509674754607E-2</v>
      </c>
      <c r="AU73" s="43">
        <f>(((SUM($F65:$F70)-SUM(G65:G70))/AVERAGE($I65:$I70))/((SUM($F53:$F58)-SUM(G53:G58))/AVERAGE($I53:$I58))-1)/2</f>
        <v>0.10830141788745973</v>
      </c>
      <c r="AV73" s="43">
        <f>AT73*0.5+AU73*0.5</f>
        <v>9.5272963781107167E-2</v>
      </c>
      <c r="AW73" s="43">
        <f>((SUM($H65:$H70)/AVERAGE($I65:$I70))/(SUM($H53:$H58)/AVERAGE($I53:$I58))-1)/2</f>
        <v>0.10954500277089119</v>
      </c>
      <c r="AX73" s="43">
        <f>IF(AV73&gt;AW73,AW73,AV73)</f>
        <v>9.5272963781107167E-2</v>
      </c>
      <c r="AY73" s="43">
        <f>$D70/$D64-1</f>
        <v>8.0579370647584136E-2</v>
      </c>
      <c r="AZ73" s="44">
        <f>(AX73+AY73)/2</f>
        <v>8.7926167214345652E-2</v>
      </c>
      <c r="BA73" s="75">
        <f>IF(AY73&gt;AX73,AZ73,AX73)</f>
        <v>9.5272963781107167E-2</v>
      </c>
      <c r="BB73" s="71">
        <f>$C70/$C64-1</f>
        <v>8.2244509674754607E-2</v>
      </c>
      <c r="BC73" s="92">
        <f>(((SUM($H65:$H70))/AVERAGE($I65:$I70))/((SUM($H53:$H58))/AVERAGE($I53:$I58))-1)</f>
        <v>0.21909000554178237</v>
      </c>
      <c r="BD73" s="44">
        <f>(SQRT(1+BC73)-1)*1.03</f>
        <v>0.10724781243108002</v>
      </c>
      <c r="BE73" s="75">
        <f>MIN(BB73,BD73)</f>
        <v>8.2244509674754607E-2</v>
      </c>
    </row>
    <row r="74" spans="2:57" x14ac:dyDescent="0.2">
      <c r="B74" s="20">
        <v>45566</v>
      </c>
      <c r="C74" s="45">
        <v>149369.64362344143</v>
      </c>
      <c r="D74" s="21">
        <v>819.83191398405904</v>
      </c>
      <c r="E74" s="22">
        <v>1213066874.5254941</v>
      </c>
      <c r="F74" s="22">
        <v>211792108.35685283</v>
      </c>
      <c r="G74" s="22">
        <v>8900396.0994245075</v>
      </c>
      <c r="H74" s="22">
        <v>512976256.60291171</v>
      </c>
      <c r="I74" s="22">
        <v>8550805.4727729578</v>
      </c>
      <c r="J74" s="67"/>
      <c r="K74" s="68"/>
      <c r="L74" s="69"/>
      <c r="M74" s="67"/>
      <c r="O74" s="68"/>
      <c r="P74" s="69"/>
      <c r="Q74" s="67"/>
      <c r="W74" s="68"/>
      <c r="Y74" s="67"/>
      <c r="AD74" s="68"/>
      <c r="AE74" s="69"/>
      <c r="AF74" s="67"/>
      <c r="AK74" s="68"/>
      <c r="AL74" s="69"/>
      <c r="AM74" s="67"/>
      <c r="AR74" s="68"/>
      <c r="AS74" s="69"/>
      <c r="AT74" s="67"/>
      <c r="AZ74" s="68"/>
      <c r="BA74" s="70"/>
      <c r="BB74" s="67"/>
      <c r="BD74" s="68"/>
      <c r="BE74" s="70"/>
    </row>
    <row r="75" spans="2:57" x14ac:dyDescent="0.2">
      <c r="B75" s="20">
        <v>45597</v>
      </c>
      <c r="C75" s="45">
        <v>151350.28509788826</v>
      </c>
      <c r="D75" s="21">
        <v>830.4897288658517</v>
      </c>
      <c r="E75" s="22">
        <v>1135218114.3202775</v>
      </c>
      <c r="F75" s="22">
        <v>196215005.9957757</v>
      </c>
      <c r="G75" s="22">
        <v>8589664.296734456</v>
      </c>
      <c r="H75" s="22">
        <v>504030718.00952142</v>
      </c>
      <c r="I75" s="22">
        <v>8557495.619202666</v>
      </c>
      <c r="J75" s="67"/>
      <c r="K75" s="68"/>
      <c r="L75" s="69"/>
      <c r="M75" s="67"/>
      <c r="O75" s="68"/>
      <c r="P75" s="69"/>
      <c r="Q75" s="67"/>
      <c r="W75" s="68"/>
      <c r="Y75" s="67"/>
      <c r="AD75" s="68"/>
      <c r="AE75" s="69"/>
      <c r="AF75" s="67"/>
      <c r="AK75" s="68"/>
      <c r="AL75" s="69"/>
      <c r="AM75" s="67"/>
      <c r="AR75" s="68"/>
      <c r="AS75" s="69"/>
      <c r="AT75" s="67"/>
      <c r="AZ75" s="68"/>
      <c r="BA75" s="70"/>
      <c r="BB75" s="67"/>
      <c r="BD75" s="68"/>
      <c r="BE75" s="70"/>
    </row>
    <row r="76" spans="2:57" x14ac:dyDescent="0.2">
      <c r="B76" s="29">
        <v>45627</v>
      </c>
      <c r="C76" s="51">
        <v>153357.18987828627</v>
      </c>
      <c r="D76" s="30">
        <v>841.28609534110774</v>
      </c>
      <c r="E76" s="52">
        <v>1095545482.8731334</v>
      </c>
      <c r="F76" s="52">
        <v>191040106.05207652</v>
      </c>
      <c r="G76" s="52">
        <v>9758146.8410592116</v>
      </c>
      <c r="H76" s="52">
        <v>504500422.40438008</v>
      </c>
      <c r="I76" s="52">
        <v>8564191</v>
      </c>
      <c r="J76" s="76">
        <f>D70/D67-1</f>
        <v>3.9509196999999663E-2</v>
      </c>
      <c r="K76" s="77">
        <f>C70/C67-1</f>
        <v>4.0309814273975952E-2</v>
      </c>
      <c r="L76" s="78">
        <f>J76*0.7+K76*0.3</f>
        <v>3.9749382182192546E-2</v>
      </c>
      <c r="M76" s="79"/>
      <c r="N76" s="80"/>
      <c r="O76" s="81"/>
      <c r="P76" s="82"/>
      <c r="Q76" s="79"/>
      <c r="R76" s="80"/>
      <c r="S76" s="80"/>
      <c r="T76" s="80"/>
      <c r="U76" s="80"/>
      <c r="V76" s="80"/>
      <c r="W76" s="81"/>
      <c r="X76" s="80"/>
      <c r="Y76" s="79"/>
      <c r="Z76" s="80"/>
      <c r="AA76" s="80"/>
      <c r="AB76" s="80"/>
      <c r="AC76" s="80"/>
      <c r="AD76" s="81"/>
      <c r="AE76" s="82"/>
      <c r="AF76" s="79"/>
      <c r="AG76" s="80"/>
      <c r="AH76" s="80"/>
      <c r="AI76" s="80"/>
      <c r="AJ76" s="80"/>
      <c r="AK76" s="81"/>
      <c r="AL76" s="82"/>
      <c r="AM76" s="79"/>
      <c r="AN76" s="80"/>
      <c r="AO76" s="80"/>
      <c r="AP76" s="80"/>
      <c r="AQ76" s="80"/>
      <c r="AR76" s="81"/>
      <c r="AS76" s="82"/>
      <c r="AT76" s="79"/>
      <c r="AU76" s="80"/>
      <c r="AV76" s="80"/>
      <c r="AW76" s="80"/>
      <c r="AX76" s="80"/>
      <c r="AY76" s="80"/>
      <c r="AZ76" s="81"/>
      <c r="BA76" s="83"/>
      <c r="BB76" s="79"/>
      <c r="BC76" s="80"/>
      <c r="BD76" s="81"/>
      <c r="BE76" s="83"/>
    </row>
    <row r="77" spans="2:57" x14ac:dyDescent="0.2">
      <c r="B77" s="12">
        <v>45658</v>
      </c>
      <c r="C77" s="61">
        <v>155173.70579239458</v>
      </c>
      <c r="D77" s="13">
        <v>850.96088543753058</v>
      </c>
      <c r="E77" s="14">
        <v>1329647021.4904308</v>
      </c>
      <c r="F77" s="14">
        <v>197476349.44914997</v>
      </c>
      <c r="G77" s="14">
        <v>9744835.2094303835</v>
      </c>
      <c r="H77" s="14">
        <v>670879112.46810663</v>
      </c>
      <c r="I77" s="14">
        <v>8571655.1164422724</v>
      </c>
      <c r="J77" s="62"/>
      <c r="K77" s="63"/>
      <c r="L77" s="64"/>
      <c r="M77" s="62"/>
      <c r="N77" s="65"/>
      <c r="O77" s="63"/>
      <c r="P77" s="64"/>
      <c r="Q77" s="62"/>
      <c r="R77" s="65"/>
      <c r="S77" s="65"/>
      <c r="T77" s="65"/>
      <c r="U77" s="65"/>
      <c r="V77" s="65"/>
      <c r="W77" s="63"/>
      <c r="X77" s="65"/>
      <c r="Y77" s="62"/>
      <c r="Z77" s="65"/>
      <c r="AA77" s="65"/>
      <c r="AB77" s="65"/>
      <c r="AC77" s="65"/>
      <c r="AD77" s="63"/>
      <c r="AE77" s="64"/>
      <c r="AF77" s="62"/>
      <c r="AG77" s="65"/>
      <c r="AH77" s="65"/>
      <c r="AI77" s="65"/>
      <c r="AJ77" s="65"/>
      <c r="AK77" s="63"/>
      <c r="AL77" s="64"/>
      <c r="AM77" s="62"/>
      <c r="AN77" s="65"/>
      <c r="AO77" s="65"/>
      <c r="AP77" s="65"/>
      <c r="AQ77" s="65"/>
      <c r="AR77" s="63"/>
      <c r="AS77" s="64"/>
      <c r="AT77" s="62"/>
      <c r="AU77" s="65"/>
      <c r="AV77" s="65"/>
      <c r="AW77" s="65"/>
      <c r="AX77" s="65"/>
      <c r="AY77" s="65"/>
      <c r="AZ77" s="63"/>
      <c r="BA77" s="66"/>
      <c r="BB77" s="67"/>
      <c r="BD77" s="68"/>
      <c r="BE77" s="66"/>
    </row>
    <row r="78" spans="2:57" x14ac:dyDescent="0.2">
      <c r="B78" s="20">
        <v>45689</v>
      </c>
      <c r="C78" s="45">
        <v>157011.73833750552</v>
      </c>
      <c r="D78" s="21">
        <v>860.74693562006223</v>
      </c>
      <c r="E78" s="22">
        <v>1141850553.406743</v>
      </c>
      <c r="F78" s="22">
        <v>198567525.82376045</v>
      </c>
      <c r="G78" s="22">
        <v>9806027.5587943383</v>
      </c>
      <c r="H78" s="22">
        <v>528224706.00818801</v>
      </c>
      <c r="I78" s="22">
        <v>8579125.738231549</v>
      </c>
      <c r="J78" s="67"/>
      <c r="K78" s="68"/>
      <c r="L78" s="69"/>
      <c r="M78" s="67"/>
      <c r="O78" s="68"/>
      <c r="P78" s="69"/>
      <c r="Q78" s="67"/>
      <c r="W78" s="68"/>
      <c r="Y78" s="67"/>
      <c r="AD78" s="68"/>
      <c r="AE78" s="69"/>
      <c r="AF78" s="67"/>
      <c r="AK78" s="68"/>
      <c r="AL78" s="69"/>
      <c r="AM78" s="67"/>
      <c r="AR78" s="68"/>
      <c r="AS78" s="69"/>
      <c r="AT78" s="67"/>
      <c r="AZ78" s="68"/>
      <c r="BA78" s="70"/>
      <c r="BB78" s="67"/>
      <c r="BD78" s="68"/>
      <c r="BE78" s="70"/>
    </row>
    <row r="79" spans="2:57" x14ac:dyDescent="0.2">
      <c r="B79" s="20">
        <v>45717</v>
      </c>
      <c r="C79" s="45">
        <v>158871.54237811328</v>
      </c>
      <c r="D79" s="21">
        <v>870.64552537969303</v>
      </c>
      <c r="E79" s="22">
        <v>1121292391.8640919</v>
      </c>
      <c r="F79" s="22">
        <v>199667675.30604282</v>
      </c>
      <c r="G79" s="22">
        <v>9498867.9685069937</v>
      </c>
      <c r="H79" s="22">
        <v>533496751.23686099</v>
      </c>
      <c r="I79" s="22">
        <v>8586602.8710375614</v>
      </c>
      <c r="J79" s="71">
        <f>D73/D70-1</f>
        <v>3.9509196999999663E-2</v>
      </c>
      <c r="K79" s="72">
        <f>C73/C70-1</f>
        <v>4.0309814273976174E-2</v>
      </c>
      <c r="L79" s="73">
        <f>J79*0.7+K79*0.3</f>
        <v>3.9749382182192615E-2</v>
      </c>
      <c r="M79" s="42">
        <f>C76/C70-1</f>
        <v>8.2244509674754607E-2</v>
      </c>
      <c r="N79" s="43">
        <f>(SUM($E71:$E76)/AVERAGE($I71:$I76))/(SUM($E59:$E64)/AVERAGE($I59:$I64))-1</f>
        <v>0.19870418142559254</v>
      </c>
      <c r="O79" s="44">
        <f>(SQRT(1+N79)-1)*1.03</f>
        <v>9.7699102630844206E-2</v>
      </c>
      <c r="P79" s="73">
        <f>IF(M79&gt;O79,O79,M79)</f>
        <v>8.2244509674754607E-2</v>
      </c>
      <c r="Q79" s="42">
        <f>$C76/$C70-1</f>
        <v>8.2244509674754607E-2</v>
      </c>
      <c r="R79" s="43">
        <f>((SUM($F71:$F76)/AVERAGE($I71:$I76))/(SUM($F59:$F64)/AVERAGE($I59:$I64))-1)/2</f>
        <v>9.8976785441116211E-2</v>
      </c>
      <c r="S79" s="43">
        <f>Q79*0.5+R79*0.5</f>
        <v>9.0610647557935409E-2</v>
      </c>
      <c r="T79" s="43">
        <f>((SUM($H71:$H76)/AVERAGE($I71:$I76))/(SUM($H59:$H64)/AVERAGE($I59:$I64))-1)/2</f>
        <v>9.9466632284059719E-2</v>
      </c>
      <c r="U79" s="43">
        <f>IF(S79&gt;T79,T79,S79)</f>
        <v>9.0610647557935409E-2</v>
      </c>
      <c r="V79" s="43">
        <f>$D76/$D70-1</f>
        <v>8.0579370647584136E-2</v>
      </c>
      <c r="W79" s="44">
        <f>(U79+V79)/2</f>
        <v>8.5595009102759773E-2</v>
      </c>
      <c r="X79" s="74">
        <f>IF(V79&gt;U79,W79,U79)</f>
        <v>9.0610647557935409E-2</v>
      </c>
      <c r="Y79" s="42">
        <f>AVERAGE($C71:$C76)/AVERAGE($C65:$C70)-1</f>
        <v>8.2244509674754607E-2</v>
      </c>
      <c r="Z79" s="43">
        <f>(((SUM($F71:$F76)-SUM($G71:$G76))/AVERAGE($I71:$I76))/((SUM($F59:$F64)-SUM($G59:$G64))/AVERAGE($I59:$I64))-1)</f>
        <v>0.19907643990470292</v>
      </c>
      <c r="AA79" s="43">
        <f>SQRT(1+Z79)-1</f>
        <v>9.5023488289042612E-2</v>
      </c>
      <c r="AB79" s="43">
        <f>0.7*Y79+0.3*AA79</f>
        <v>8.6078203259041003E-2</v>
      </c>
      <c r="AC79" s="43"/>
      <c r="AD79" s="44"/>
      <c r="AE79" s="73">
        <f>AB79</f>
        <v>8.6078203259041003E-2</v>
      </c>
      <c r="AF79" s="42">
        <f>AVERAGE($C71:$C76)/AVERAGE($C65:$C70)-1</f>
        <v>8.2244509674754607E-2</v>
      </c>
      <c r="AG79" s="43">
        <f>(((SUM($F71:$F76))/AVERAGE($I71:$I76))/((SUM($F59:$F64))/AVERAGE($I59:$I64))-1)</f>
        <v>0.19795357088223242</v>
      </c>
      <c r="AH79" s="43">
        <f>SQRT(1+AG79)-1</f>
        <v>9.4510653617511542E-2</v>
      </c>
      <c r="AI79" s="43">
        <f>0.7*AF79+0.3*AH79</f>
        <v>8.5924352857581682E-2</v>
      </c>
      <c r="AJ79" s="43"/>
      <c r="AK79" s="44"/>
      <c r="AL79" s="73">
        <f>AI79</f>
        <v>8.5924352857581682E-2</v>
      </c>
      <c r="AM79" s="42">
        <f>AVERAGE($C71:$C76)/AVERAGE($C65:$C70)-1</f>
        <v>8.2244509674754607E-2</v>
      </c>
      <c r="AN79" s="43">
        <f>(((SUM($F71:$F76)-SUM($G71:$G76))/AVERAGE($I71:$I76))/((SUM($F59:$F64)-SUM($G59:$G64))/AVERAGE($I59:$I64))-1)</f>
        <v>0.19907643990470292</v>
      </c>
      <c r="AO79" s="43">
        <f>SQRT(1+AN79)-1</f>
        <v>9.5023488289042612E-2</v>
      </c>
      <c r="AP79" s="43">
        <f>0.5*AM79+0.5*AO79</f>
        <v>8.863399898189861E-2</v>
      </c>
      <c r="AQ79" s="43"/>
      <c r="AR79" s="44"/>
      <c r="AS79" s="73">
        <f>AP79</f>
        <v>8.863399898189861E-2</v>
      </c>
      <c r="AT79" s="42">
        <f>$C76/$C70-1</f>
        <v>8.2244509674754607E-2</v>
      </c>
      <c r="AU79" s="43">
        <f>(((SUM($F71:$F76)-SUM(G71:G76))/AVERAGE($I71:$I76))/((SUM($F59:$F64)-SUM(G59:G64))/AVERAGE($I59:$I64))-1)/2</f>
        <v>9.9538219952351459E-2</v>
      </c>
      <c r="AV79" s="43">
        <f>AT79*0.5+AU79*0.5</f>
        <v>9.0891364813553033E-2</v>
      </c>
      <c r="AW79" s="43">
        <f>((SUM($H71:$H76)/AVERAGE($I71:$I76))/(SUM($H59:$H64)/AVERAGE($I59:$I64))-1)/2</f>
        <v>9.9466632284059719E-2</v>
      </c>
      <c r="AX79" s="43">
        <f>IF(AV79&gt;AW79,AW79,AV79)</f>
        <v>9.0891364813553033E-2</v>
      </c>
      <c r="AY79" s="43">
        <f>$D76/$D70-1</f>
        <v>8.0579370647584136E-2</v>
      </c>
      <c r="AZ79" s="44">
        <f>(AX79+AY79)/2</f>
        <v>8.5735367730568585E-2</v>
      </c>
      <c r="BA79" s="75">
        <f>IF(AY79&gt;AX79,AZ79,AX79)</f>
        <v>9.0891364813553033E-2</v>
      </c>
      <c r="BB79" s="71">
        <f>$C76/$C70-1</f>
        <v>8.2244509674754607E-2</v>
      </c>
      <c r="BC79" s="92">
        <f>(((SUM($H71:$H76))/AVERAGE($I71:$I76))/((SUM($H59:$H64))/AVERAGE($I59:$I64))-1)</f>
        <v>0.19893326456811944</v>
      </c>
      <c r="BD79" s="44">
        <f>(SQRT(1+BC79)-1)*1.03</f>
        <v>9.780685419991933E-2</v>
      </c>
      <c r="BE79" s="75">
        <f>MIN(BB79,BD79)</f>
        <v>8.2244509674754607E-2</v>
      </c>
    </row>
    <row r="80" spans="2:57" x14ac:dyDescent="0.2">
      <c r="B80" s="20">
        <v>45748</v>
      </c>
      <c r="C80" s="45">
        <v>160753.37579758206</v>
      </c>
      <c r="D80" s="21">
        <v>880.65794892155952</v>
      </c>
      <c r="E80" s="22">
        <v>1142158786.2968166</v>
      </c>
      <c r="F80" s="22">
        <v>179016911.72662592</v>
      </c>
      <c r="G80" s="22">
        <v>8524787.4774940591</v>
      </c>
      <c r="H80" s="22">
        <v>515897829.4933002</v>
      </c>
      <c r="I80" s="22">
        <v>8594086.5205349829</v>
      </c>
      <c r="J80" s="67"/>
      <c r="K80" s="68"/>
      <c r="L80" s="69"/>
      <c r="M80" s="67"/>
      <c r="O80" s="68"/>
      <c r="P80" s="69"/>
      <c r="Q80" s="67"/>
      <c r="W80" s="68"/>
      <c r="Y80" s="67"/>
      <c r="AD80" s="68"/>
      <c r="AE80" s="69"/>
      <c r="AF80" s="67"/>
      <c r="AK80" s="68"/>
      <c r="AL80" s="69"/>
      <c r="AM80" s="67"/>
      <c r="AR80" s="68"/>
      <c r="AS80" s="69"/>
      <c r="AT80" s="67"/>
      <c r="AZ80" s="68"/>
      <c r="BA80" s="70"/>
      <c r="BB80" s="67"/>
      <c r="BD80" s="68"/>
      <c r="BE80" s="70"/>
    </row>
    <row r="81" spans="2:57" x14ac:dyDescent="0.2">
      <c r="B81" s="20">
        <v>45778</v>
      </c>
      <c r="C81" s="45">
        <v>162657.49953390443</v>
      </c>
      <c r="D81" s="21">
        <v>890.78551533415748</v>
      </c>
      <c r="E81" s="22">
        <v>1355919422.1533968</v>
      </c>
      <c r="F81" s="22">
        <v>208292343.86559042</v>
      </c>
      <c r="G81" s="22">
        <v>8459721.3759550191</v>
      </c>
      <c r="H81" s="22">
        <v>543764252.76045585</v>
      </c>
      <c r="I81" s="22">
        <v>8601576.6924034338</v>
      </c>
      <c r="J81" s="67"/>
      <c r="K81" s="68"/>
      <c r="L81" s="69"/>
      <c r="M81" s="67"/>
      <c r="O81" s="68"/>
      <c r="P81" s="69"/>
      <c r="Q81" s="67"/>
      <c r="W81" s="68"/>
      <c r="Y81" s="67"/>
      <c r="AD81" s="68"/>
      <c r="AE81" s="69"/>
      <c r="AF81" s="67"/>
      <c r="AK81" s="68"/>
      <c r="AL81" s="69"/>
      <c r="AM81" s="67"/>
      <c r="AR81" s="68"/>
      <c r="AS81" s="69"/>
      <c r="AT81" s="67"/>
      <c r="AZ81" s="68"/>
      <c r="BA81" s="70"/>
      <c r="BB81" s="67"/>
      <c r="BD81" s="68"/>
      <c r="BE81" s="70"/>
    </row>
    <row r="82" spans="2:57" x14ac:dyDescent="0.2">
      <c r="B82" s="20">
        <v>45809</v>
      </c>
      <c r="C82" s="45">
        <v>164584.17761588353</v>
      </c>
      <c r="D82" s="21">
        <v>901.02954876050035</v>
      </c>
      <c r="E82" s="22">
        <v>1425059446.3850605</v>
      </c>
      <c r="F82" s="22">
        <v>225010597.54268551</v>
      </c>
      <c r="G82" s="22">
        <v>8415781.6781200059</v>
      </c>
      <c r="H82" s="22">
        <v>565296089.98801422</v>
      </c>
      <c r="I82" s="22">
        <v>8609073.3923274819</v>
      </c>
      <c r="J82" s="71">
        <f>D76/D73-1</f>
        <v>3.9509196999999663E-2</v>
      </c>
      <c r="K82" s="72">
        <f>C76/C73-1</f>
        <v>4.0309814273976174E-2</v>
      </c>
      <c r="L82" s="73">
        <f>J82*0.7+K82*0.3</f>
        <v>3.9749382182192615E-2</v>
      </c>
      <c r="M82" s="67"/>
      <c r="O82" s="68"/>
      <c r="P82" s="69"/>
      <c r="Q82" s="67"/>
      <c r="W82" s="68"/>
      <c r="Y82" s="67"/>
      <c r="AD82" s="68"/>
      <c r="AE82" s="69"/>
      <c r="AF82" s="67"/>
      <c r="AK82" s="68"/>
      <c r="AL82" s="69"/>
      <c r="AM82" s="67"/>
      <c r="AR82" s="68"/>
      <c r="AS82" s="69"/>
      <c r="AT82" s="67"/>
      <c r="AZ82" s="68"/>
      <c r="BA82" s="70"/>
      <c r="BB82" s="67"/>
      <c r="BD82" s="68"/>
      <c r="BE82" s="70"/>
    </row>
    <row r="83" spans="2:57" x14ac:dyDescent="0.2">
      <c r="B83" s="20">
        <v>45839</v>
      </c>
      <c r="C83" s="45">
        <v>166533.67719974369</v>
      </c>
      <c r="D83" s="21">
        <v>911.39138857124613</v>
      </c>
      <c r="E83" s="22">
        <v>1528414716.692306</v>
      </c>
      <c r="F83" s="22">
        <v>232648668.97269458</v>
      </c>
      <c r="G83" s="22">
        <v>9527846.5094823446</v>
      </c>
      <c r="H83" s="22">
        <v>721932811.56007433</v>
      </c>
      <c r="I83" s="22">
        <v>8616576.6259966511</v>
      </c>
      <c r="J83" s="67"/>
      <c r="K83" s="68"/>
      <c r="L83" s="69"/>
      <c r="M83" s="67"/>
      <c r="O83" s="68"/>
      <c r="P83" s="69"/>
      <c r="Q83" s="67"/>
      <c r="W83" s="68"/>
      <c r="Y83" s="67"/>
      <c r="AD83" s="68"/>
      <c r="AE83" s="69"/>
      <c r="AF83" s="67"/>
      <c r="AK83" s="68"/>
      <c r="AL83" s="69"/>
      <c r="AM83" s="67"/>
      <c r="AR83" s="68"/>
      <c r="AS83" s="69"/>
      <c r="AT83" s="67"/>
      <c r="AZ83" s="68"/>
      <c r="BA83" s="70"/>
      <c r="BB83" s="67"/>
      <c r="BD83" s="68"/>
      <c r="BE83" s="70"/>
    </row>
    <row r="84" spans="2:57" x14ac:dyDescent="0.2">
      <c r="B84" s="20">
        <v>45870</v>
      </c>
      <c r="C84" s="45">
        <v>168506.26860617468</v>
      </c>
      <c r="D84" s="21">
        <v>921.87238953981557</v>
      </c>
      <c r="E84" s="22">
        <v>1406207479.1089265</v>
      </c>
      <c r="F84" s="22">
        <v>231589694.13633093</v>
      </c>
      <c r="G84" s="22">
        <v>8398625.4578793999</v>
      </c>
      <c r="H84" s="22">
        <v>575716919.87428069</v>
      </c>
      <c r="I84" s="22">
        <v>8624086.3991054241</v>
      </c>
      <c r="J84" s="67"/>
      <c r="K84" s="68"/>
      <c r="L84" s="69"/>
      <c r="M84" s="67"/>
      <c r="O84" s="68"/>
      <c r="P84" s="69"/>
      <c r="Q84" s="67"/>
      <c r="W84" s="68"/>
      <c r="Y84" s="67"/>
      <c r="AD84" s="68"/>
      <c r="AE84" s="69"/>
      <c r="AF84" s="67"/>
      <c r="AK84" s="68"/>
      <c r="AL84" s="69"/>
      <c r="AM84" s="67"/>
      <c r="AR84" s="68"/>
      <c r="AS84" s="69"/>
      <c r="AT84" s="67"/>
      <c r="AZ84" s="68"/>
      <c r="BA84" s="70"/>
      <c r="BB84" s="67"/>
      <c r="BD84" s="68"/>
      <c r="BE84" s="70"/>
    </row>
    <row r="85" spans="2:57" x14ac:dyDescent="0.2">
      <c r="B85" s="20">
        <v>45901</v>
      </c>
      <c r="C85" s="45">
        <v>170502.22535781484</v>
      </c>
      <c r="D85" s="21">
        <v>932.47392201952346</v>
      </c>
      <c r="E85" s="22">
        <v>1420879462.1646786</v>
      </c>
      <c r="F85" s="22">
        <v>233341386.2548191</v>
      </c>
      <c r="G85" s="22">
        <v>9916360.4196754228</v>
      </c>
      <c r="H85" s="22">
        <v>586809706.62848163</v>
      </c>
      <c r="I85" s="22">
        <v>8631602.7173532471</v>
      </c>
      <c r="J85" s="71">
        <f>D79/D76-1</f>
        <v>3.4898270875000303E-2</v>
      </c>
      <c r="K85" s="72">
        <f>C79/C76-1</f>
        <v>3.5957573976176382E-2</v>
      </c>
      <c r="L85" s="73">
        <f>J85*0.7+K85*0.3</f>
        <v>3.5216061805353124E-2</v>
      </c>
      <c r="M85" s="42">
        <f>C82/C76-1</f>
        <v>7.3208095078604929E-2</v>
      </c>
      <c r="N85" s="43">
        <f>(SUM($E77:$E82)/AVERAGE($I77:$I82))/(SUM($E65:$E70)/AVERAGE($I65:$I70))-1</f>
        <v>0.18538194961511922</v>
      </c>
      <c r="O85" s="44">
        <f>(SQRT(1+N85)-1)*1.03</f>
        <v>9.1415048207700744E-2</v>
      </c>
      <c r="P85" s="73">
        <f>IF(M85&gt;O85,O85,M85)</f>
        <v>7.3208095078604929E-2</v>
      </c>
      <c r="Q85" s="42">
        <f>$C82/$C76-1</f>
        <v>7.3208095078604929E-2</v>
      </c>
      <c r="R85" s="43">
        <f>((SUM($F77:$F82)/AVERAGE($I77:$I82))/(SUM($F65:$F70)/AVERAGE($I65:$I70))-1)/2</f>
        <v>8.9240095558987376E-2</v>
      </c>
      <c r="S85" s="43">
        <f>Q85*0.5+R85*0.5</f>
        <v>8.1224095318796152E-2</v>
      </c>
      <c r="T85" s="43">
        <f>((SUM($H77:$H82)/AVERAGE($I77:$I82))/(SUM($H65:$H70)/AVERAGE($I65:$I70))-1)/2</f>
        <v>9.5059005910664074E-2</v>
      </c>
      <c r="U85" s="43">
        <f>IF(S85&gt;T85,T85,S85)</f>
        <v>8.1224095318796152E-2</v>
      </c>
      <c r="V85" s="43">
        <f>$D82/$D76-1</f>
        <v>7.1014431060065331E-2</v>
      </c>
      <c r="W85" s="44">
        <f>(U85+V85)/2</f>
        <v>7.6119263189430741E-2</v>
      </c>
      <c r="X85" s="74">
        <f>IF(V85&gt;U85,W85,U85)</f>
        <v>8.1224095318796152E-2</v>
      </c>
      <c r="Y85" s="42">
        <f>AVERAGE($C77:$C82)/AVERAGE($C71:$C76)-1</f>
        <v>7.6909312038176747E-2</v>
      </c>
      <c r="Z85" s="43">
        <f>(((SUM($F77:$F82)-SUM($G77:$G82))/AVERAGE($I77:$I82))/((SUM($F65:$F70)-SUM($G65:$G70))/AVERAGE($I65:$I70))-1)</f>
        <v>0.17974973401406125</v>
      </c>
      <c r="AA85" s="43">
        <f>SQRT(1+Z85)-1</f>
        <v>8.6162848754302246E-2</v>
      </c>
      <c r="AB85" s="43">
        <f>0.7*Y85+0.3*AA85</f>
        <v>7.9685373053014388E-2</v>
      </c>
      <c r="AC85" s="43">
        <f>((SUM($H71:$H82)-SUM(G71:G82))/AVERAGE($I71:$I82))/((SUM($H59:$H70)-SUM(G59:G70))/AVERAGE($I59:$I70))-1</f>
        <v>0.19489217681893312</v>
      </c>
      <c r="AD85" s="44">
        <f>(1+AC85*1.03)/(1+AE79)-1</f>
        <v>0.10557318848715735</v>
      </c>
      <c r="AE85" s="73">
        <f>IF(AB85&gt;AD85,AD85,AB85)</f>
        <v>7.9685373053014388E-2</v>
      </c>
      <c r="AF85" s="42">
        <f>AVERAGE($C77:$C82)/AVERAGE($C71:$C76)-1</f>
        <v>7.6909312038176747E-2</v>
      </c>
      <c r="AG85" s="43">
        <f>(((SUM($F77:$F82))/AVERAGE($I77:$I82))/((SUM($F65:$F70))/AVERAGE($I65:$I70))-1)</f>
        <v>0.17848019111797475</v>
      </c>
      <c r="AH85" s="43">
        <f>SQRT(1+AG85)-1</f>
        <v>8.5578274984339675E-2</v>
      </c>
      <c r="AI85" s="43">
        <f>0.7*AF85+0.3*AH85</f>
        <v>7.951000092202562E-2</v>
      </c>
      <c r="AJ85" s="43">
        <f>(SUM($H71:$H82)/AVERAGE($I71:$I82))/(SUM($H59:$H70)/AVERAGE($I59:$I70))-1</f>
        <v>0.19434707783817862</v>
      </c>
      <c r="AK85" s="44">
        <f>(1+AJ85*1.03)/(1+AL79)-1</f>
        <v>0.10521279591445576</v>
      </c>
      <c r="AL85" s="73">
        <f>IF(AI85&gt;AK85,AK85,AI85)</f>
        <v>7.951000092202562E-2</v>
      </c>
      <c r="AM85" s="42">
        <f>AVERAGE($C77:$C82)/AVERAGE($C71:$C76)-1</f>
        <v>7.6909312038176747E-2</v>
      </c>
      <c r="AN85" s="43">
        <f>(((SUM($F77:$F82)-SUM($G77:$G82))/AVERAGE($I77:$I82))/((SUM($F65:$F70)-SUM($G65:$G70))/AVERAGE($I65:$I70))-1)</f>
        <v>0.17974973401406125</v>
      </c>
      <c r="AO85" s="43">
        <f>SQRT(1+AN85)-1</f>
        <v>8.6162848754302246E-2</v>
      </c>
      <c r="AP85" s="43">
        <f>0.5*AM85+0.5*AO85</f>
        <v>8.1536080396239496E-2</v>
      </c>
      <c r="AQ85" s="43">
        <f>(SUM($H71:$H82)/AVERAGE($I71:$I82))/(SUM($H59:$H70)/AVERAGE($I59:$I70))-1</f>
        <v>0.19434707783817862</v>
      </c>
      <c r="AR85" s="44">
        <f>(1+AQ85*1.03)/(1+AS79)-1</f>
        <v>0.10246188461479422</v>
      </c>
      <c r="AS85" s="73">
        <f>IF(AP85&gt;AR85,AR85,AP85)</f>
        <v>8.1536080396239496E-2</v>
      </c>
      <c r="AT85" s="42">
        <f>$C82/$C76-1</f>
        <v>7.3208095078604929E-2</v>
      </c>
      <c r="AU85" s="43">
        <f>(((SUM($F77:$F82)-SUM(G77:G82))/AVERAGE($I77:$I82))/((SUM($F65:$F70)-SUM(G65:G70))/AVERAGE($I65:$I70))-1)/2</f>
        <v>8.9874867007030623E-2</v>
      </c>
      <c r="AV85" s="43">
        <f>AT85*0.5+AU85*0.5</f>
        <v>8.1541481042817776E-2</v>
      </c>
      <c r="AW85" s="43">
        <f>((SUM($H77:$H82)/AVERAGE($I77:$I82))/(SUM($H65:$H70)/AVERAGE($I65:$I70))-1)/2</f>
        <v>9.5059005910664074E-2</v>
      </c>
      <c r="AX85" s="43">
        <f>IF(AV85&gt;AW85,AW85,AV85)</f>
        <v>8.1541481042817776E-2</v>
      </c>
      <c r="AY85" s="43">
        <f>$D82/$D76-1</f>
        <v>7.1014431060065331E-2</v>
      </c>
      <c r="AZ85" s="44">
        <f>(AX85+AY85)/2</f>
        <v>7.6277956051441553E-2</v>
      </c>
      <c r="BA85" s="75">
        <f>IF(AY85&gt;AX85,AZ85,AX85)</f>
        <v>8.1541481042817776E-2</v>
      </c>
      <c r="BB85" s="71">
        <f>$C82/$C76-1</f>
        <v>7.3208095078604929E-2</v>
      </c>
      <c r="BC85" s="92">
        <f>(((SUM($H77:$H82))/AVERAGE($I77:$I82))/((SUM($H65:$H70))/AVERAGE($I65:$I70))-1)</f>
        <v>0.19011801182132815</v>
      </c>
      <c r="BD85" s="44">
        <f>(SQRT(1+BC85)-1)*1.03</f>
        <v>9.3653059774789743E-2</v>
      </c>
      <c r="BE85" s="75">
        <f>MIN(BB85,BD85)</f>
        <v>7.3208095078604929E-2</v>
      </c>
    </row>
    <row r="86" spans="2:57" x14ac:dyDescent="0.2">
      <c r="B86" s="20">
        <v>45931</v>
      </c>
      <c r="C86" s="45">
        <v>172521.82421717816</v>
      </c>
      <c r="D86" s="21">
        <v>943.19737212274799</v>
      </c>
      <c r="E86" s="22">
        <v>1438914100.0486224</v>
      </c>
      <c r="F86" s="22">
        <v>249448177.11779639</v>
      </c>
      <c r="G86" s="22">
        <v>10305216.077981174</v>
      </c>
      <c r="H86" s="22">
        <v>609811614.51324677</v>
      </c>
      <c r="I86" s="22">
        <v>8639125.5864445306</v>
      </c>
      <c r="J86" s="67"/>
      <c r="K86" s="68"/>
      <c r="L86" s="69"/>
      <c r="M86" s="67"/>
      <c r="O86" s="68"/>
      <c r="P86" s="69"/>
      <c r="W86" s="68"/>
      <c r="Y86" s="67"/>
      <c r="AD86" s="68"/>
      <c r="AE86" s="69"/>
      <c r="AF86" s="67"/>
      <c r="AK86" s="68"/>
      <c r="AL86" s="69"/>
      <c r="AM86" s="67"/>
      <c r="AR86" s="68"/>
      <c r="AS86" s="69"/>
      <c r="AT86" s="67"/>
      <c r="AZ86" s="68"/>
      <c r="BA86" s="70"/>
      <c r="BB86" s="67"/>
      <c r="BD86" s="68"/>
      <c r="BE86" s="70"/>
    </row>
    <row r="87" spans="2:57" x14ac:dyDescent="0.2">
      <c r="B87" s="20">
        <v>45962</v>
      </c>
      <c r="C87" s="45">
        <v>174565.34522503064</v>
      </c>
      <c r="D87" s="21">
        <v>954.04414190215971</v>
      </c>
      <c r="E87" s="22">
        <v>1343350332.8676279</v>
      </c>
      <c r="F87" s="22">
        <v>230777296.14548865</v>
      </c>
      <c r="G87" s="22">
        <v>9938176.3856157456</v>
      </c>
      <c r="H87" s="22">
        <v>598556875.9774133</v>
      </c>
      <c r="I87" s="22">
        <v>8646655.012088662</v>
      </c>
      <c r="J87" s="67"/>
      <c r="K87" s="68"/>
      <c r="L87" s="69"/>
      <c r="M87" s="67"/>
      <c r="O87" s="68"/>
      <c r="P87" s="69"/>
      <c r="W87" s="68"/>
      <c r="Y87" s="67"/>
      <c r="AD87" s="68"/>
      <c r="AE87" s="69"/>
      <c r="AF87" s="67"/>
      <c r="AK87" s="68"/>
      <c r="AL87" s="69"/>
      <c r="AM87" s="67"/>
      <c r="AR87" s="68"/>
      <c r="AS87" s="69"/>
      <c r="AT87" s="67"/>
      <c r="AZ87" s="68"/>
      <c r="BA87" s="70"/>
      <c r="BB87" s="67"/>
      <c r="BD87" s="68"/>
      <c r="BE87" s="70"/>
    </row>
    <row r="88" spans="2:57" ht="17" thickBot="1" x14ac:dyDescent="0.25">
      <c r="B88" s="29">
        <v>45992</v>
      </c>
      <c r="C88" s="51">
        <v>176633.07173922114</v>
      </c>
      <c r="D88" s="30">
        <v>965.01564953403465</v>
      </c>
      <c r="E88" s="52">
        <v>1294461846.3710525</v>
      </c>
      <c r="F88" s="52">
        <v>224352577.31001443</v>
      </c>
      <c r="G88" s="52">
        <v>11281857.253678517</v>
      </c>
      <c r="H88" s="52">
        <v>598351477.57179153</v>
      </c>
      <c r="I88" s="52">
        <v>8654191</v>
      </c>
      <c r="J88" s="84">
        <f>D82/D79-1</f>
        <v>3.4898270875000081E-2</v>
      </c>
      <c r="K88" s="85">
        <f>C82/C79-1</f>
        <v>3.5957573976176382E-2</v>
      </c>
      <c r="L88" s="86">
        <f>J88*0.7+K88*0.3</f>
        <v>3.5216061805352972E-2</v>
      </c>
      <c r="M88" s="87"/>
      <c r="N88" s="88"/>
      <c r="O88" s="89"/>
      <c r="P88" s="90"/>
      <c r="Q88" s="88"/>
      <c r="R88" s="88"/>
      <c r="S88" s="88"/>
      <c r="T88" s="88"/>
      <c r="U88" s="88"/>
      <c r="V88" s="88"/>
      <c r="W88" s="89"/>
      <c r="X88" s="88"/>
      <c r="Y88" s="87"/>
      <c r="Z88" s="88"/>
      <c r="AA88" s="88"/>
      <c r="AB88" s="88"/>
      <c r="AC88" s="88"/>
      <c r="AD88" s="89"/>
      <c r="AE88" s="90"/>
      <c r="AF88" s="87"/>
      <c r="AG88" s="88"/>
      <c r="AH88" s="88"/>
      <c r="AI88" s="88"/>
      <c r="AJ88" s="88"/>
      <c r="AK88" s="89"/>
      <c r="AL88" s="90"/>
      <c r="AM88" s="87"/>
      <c r="AN88" s="88"/>
      <c r="AO88" s="88"/>
      <c r="AP88" s="88"/>
      <c r="AQ88" s="88"/>
      <c r="AR88" s="89"/>
      <c r="AS88" s="90"/>
      <c r="AT88" s="87"/>
      <c r="AU88" s="88"/>
      <c r="AV88" s="88"/>
      <c r="AW88" s="88"/>
      <c r="AX88" s="88"/>
      <c r="AY88" s="88"/>
      <c r="AZ88" s="89"/>
      <c r="BA88" s="91"/>
      <c r="BB88" s="87"/>
      <c r="BC88" s="88"/>
      <c r="BD88" s="89"/>
      <c r="BE88" s="91"/>
    </row>
  </sheetData>
  <mergeCells count="25">
    <mergeCell ref="AT2:BA2"/>
    <mergeCell ref="BB2:BE2"/>
    <mergeCell ref="B3:B4"/>
    <mergeCell ref="C3:C4"/>
    <mergeCell ref="D3:D4"/>
    <mergeCell ref="E3:E4"/>
    <mergeCell ref="F3:F4"/>
    <mergeCell ref="G3:G4"/>
    <mergeCell ref="H3:H4"/>
    <mergeCell ref="I3:I4"/>
    <mergeCell ref="J2:L2"/>
    <mergeCell ref="M2:P2"/>
    <mergeCell ref="Q2:X2"/>
    <mergeCell ref="Y2:AE2"/>
    <mergeCell ref="AF2:AL2"/>
    <mergeCell ref="AM2:AS2"/>
    <mergeCell ref="AT3:BA3"/>
    <mergeCell ref="BB3:BE3"/>
    <mergeCell ref="A17:A28"/>
    <mergeCell ref="J3:L3"/>
    <mergeCell ref="M3:P3"/>
    <mergeCell ref="Q3:X3"/>
    <mergeCell ref="Y3:AE3"/>
    <mergeCell ref="AF3:AL3"/>
    <mergeCell ref="AM3:A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BE8C-BF00-694C-8B2E-F593A88858B8}">
  <sheetPr>
    <tabColor theme="7" tint="-0.249977111117893"/>
    <pageSetUpPr fitToPage="1"/>
  </sheetPr>
  <dimension ref="B1:Z56"/>
  <sheetViews>
    <sheetView showGridLines="0" tabSelected="1" zoomScale="120" zoomScaleNormal="12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A6" sqref="A6"/>
    </sheetView>
  </sheetViews>
  <sheetFormatPr baseColWidth="10" defaultRowHeight="15" x14ac:dyDescent="0.2"/>
  <cols>
    <col min="1" max="1" width="1.5" style="93" customWidth="1"/>
    <col min="2" max="2" width="12" style="93" customWidth="1"/>
    <col min="3" max="3" width="28.5" style="93" customWidth="1"/>
    <col min="4" max="10" width="13.1640625" style="93" hidden="1" customWidth="1"/>
    <col min="11" max="12" width="11.6640625" style="93" customWidth="1"/>
    <col min="13" max="26" width="11.83203125" style="93" customWidth="1"/>
    <col min="27" max="16384" width="10.83203125" style="93"/>
  </cols>
  <sheetData>
    <row r="1" spans="2:26" x14ac:dyDescent="0.2">
      <c r="K1" s="94">
        <v>0</v>
      </c>
      <c r="L1" s="94">
        <v>0</v>
      </c>
      <c r="M1" s="94">
        <v>0</v>
      </c>
      <c r="N1" s="94">
        <v>0</v>
      </c>
      <c r="O1" s="94">
        <v>0</v>
      </c>
      <c r="P1" s="94">
        <v>0</v>
      </c>
      <c r="Q1" s="94">
        <v>0</v>
      </c>
      <c r="R1" s="94">
        <v>0</v>
      </c>
      <c r="S1" s="94">
        <v>0</v>
      </c>
      <c r="T1" s="94"/>
      <c r="U1" s="95"/>
      <c r="V1" s="94">
        <v>1</v>
      </c>
      <c r="W1" s="94">
        <v>1</v>
      </c>
      <c r="X1" s="94">
        <v>1</v>
      </c>
      <c r="Y1" s="94">
        <v>1</v>
      </c>
      <c r="Z1" s="94">
        <v>1</v>
      </c>
    </row>
    <row r="2" spans="2:26" ht="26" x14ac:dyDescent="0.3">
      <c r="B2" s="96" t="s">
        <v>39</v>
      </c>
      <c r="T2" s="97"/>
      <c r="U2" s="98"/>
    </row>
    <row r="3" spans="2:26" x14ac:dyDescent="0.2">
      <c r="U3" s="99"/>
    </row>
    <row r="4" spans="2:26" ht="25.5" customHeight="1" x14ac:dyDescent="0.2">
      <c r="B4" s="203" t="s">
        <v>40</v>
      </c>
      <c r="C4" s="203"/>
      <c r="D4" s="100">
        <v>2003</v>
      </c>
      <c r="E4" s="100">
        <v>2004</v>
      </c>
      <c r="F4" s="100">
        <v>2005</v>
      </c>
      <c r="G4" s="100">
        <v>2006</v>
      </c>
      <c r="H4" s="100">
        <v>2007</v>
      </c>
      <c r="I4" s="100">
        <v>2008</v>
      </c>
      <c r="J4" s="100">
        <v>2009</v>
      </c>
      <c r="K4" s="100">
        <v>2010</v>
      </c>
      <c r="L4" s="100">
        <v>2011</v>
      </c>
      <c r="M4" s="100">
        <v>2012</v>
      </c>
      <c r="N4" s="100">
        <v>2013</v>
      </c>
      <c r="O4" s="100">
        <v>2014</v>
      </c>
      <c r="P4" s="100">
        <v>2015</v>
      </c>
      <c r="Q4" s="100">
        <f>+P4+1</f>
        <v>2016</v>
      </c>
      <c r="R4" s="100">
        <f t="shared" ref="R4:Z4" si="0">+Q4+1</f>
        <v>2017</v>
      </c>
      <c r="S4" s="100">
        <f t="shared" si="0"/>
        <v>2018</v>
      </c>
      <c r="T4" s="101">
        <f t="shared" si="0"/>
        <v>2019</v>
      </c>
      <c r="U4" s="102">
        <f t="shared" si="0"/>
        <v>2020</v>
      </c>
      <c r="V4" s="102">
        <f t="shared" si="0"/>
        <v>2021</v>
      </c>
      <c r="W4" s="102">
        <f t="shared" si="0"/>
        <v>2022</v>
      </c>
      <c r="X4" s="102">
        <f t="shared" si="0"/>
        <v>2023</v>
      </c>
      <c r="Y4" s="102">
        <f t="shared" si="0"/>
        <v>2024</v>
      </c>
      <c r="Z4" s="102">
        <f t="shared" si="0"/>
        <v>2025</v>
      </c>
    </row>
    <row r="5" spans="2:26" ht="8" customHeight="1" thickBot="1" x14ac:dyDescent="0.25"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4"/>
      <c r="U5" s="103"/>
      <c r="V5" s="103"/>
      <c r="W5" s="103"/>
      <c r="X5" s="103"/>
      <c r="Y5" s="103"/>
      <c r="Z5" s="103"/>
    </row>
    <row r="6" spans="2:26" ht="15" customHeight="1" x14ac:dyDescent="0.2">
      <c r="B6" s="192" t="s">
        <v>41</v>
      </c>
      <c r="C6" s="105" t="s">
        <v>42</v>
      </c>
      <c r="D6" s="106">
        <v>375909.36139664898</v>
      </c>
      <c r="E6" s="106">
        <v>485115.19472475466</v>
      </c>
      <c r="F6" s="106">
        <v>582538.17293727468</v>
      </c>
      <c r="G6" s="106">
        <v>715904.27173384849</v>
      </c>
      <c r="H6" s="106">
        <v>896980.17407190299</v>
      </c>
      <c r="I6" s="106">
        <v>1149646.0905836353</v>
      </c>
      <c r="J6" s="106">
        <v>1247929.2689250214</v>
      </c>
      <c r="K6" s="107">
        <v>1661720.925944584</v>
      </c>
      <c r="L6" s="107">
        <v>2179024.1036307807</v>
      </c>
      <c r="M6" s="107">
        <v>2637913.8482155525</v>
      </c>
      <c r="N6" s="107">
        <v>3348308.4882272095</v>
      </c>
      <c r="O6" s="107">
        <v>4579086.4254101049</v>
      </c>
      <c r="P6" s="107">
        <v>5954510.8956923401</v>
      </c>
      <c r="Q6" s="107">
        <v>8228159.5565364268</v>
      </c>
      <c r="R6" s="107">
        <v>10660228.494808456</v>
      </c>
      <c r="S6" s="107">
        <v>14542722.14809528</v>
      </c>
      <c r="T6" s="108">
        <v>21447249.859798744</v>
      </c>
      <c r="U6" s="107">
        <v>26808471.640832394</v>
      </c>
      <c r="V6" s="107">
        <v>36930570.993939616</v>
      </c>
      <c r="W6" s="107">
        <v>48331674.447429366</v>
      </c>
      <c r="X6" s="107">
        <v>60516598.927682333</v>
      </c>
      <c r="Y6" s="107">
        <v>73256385.339403734</v>
      </c>
      <c r="Z6" s="109">
        <v>86393748.799838886</v>
      </c>
    </row>
    <row r="7" spans="2:26" ht="16" x14ac:dyDescent="0.2">
      <c r="B7" s="193"/>
      <c r="C7" s="110" t="s">
        <v>43</v>
      </c>
      <c r="D7" s="111"/>
      <c r="E7" s="111"/>
      <c r="F7" s="111"/>
      <c r="G7" s="111"/>
      <c r="H7" s="111"/>
      <c r="I7" s="111"/>
      <c r="J7" s="111"/>
      <c r="K7" s="112">
        <f>+K6/J6-1</f>
        <v>0.33158262036437902</v>
      </c>
      <c r="L7" s="112">
        <f>+L6/K6-1</f>
        <v>0.31130568894541799</v>
      </c>
      <c r="M7" s="112">
        <f t="shared" ref="M7:Z7" si="1">+M6/L6-1</f>
        <v>0.2105941571826353</v>
      </c>
      <c r="N7" s="112">
        <f t="shared" si="1"/>
        <v>0.26930168340873295</v>
      </c>
      <c r="O7" s="112">
        <f t="shared" si="1"/>
        <v>0.36758200193033619</v>
      </c>
      <c r="P7" s="112">
        <f t="shared" si="1"/>
        <v>0.30037093483315314</v>
      </c>
      <c r="Q7" s="112">
        <f t="shared" si="1"/>
        <v>0.38183634234155273</v>
      </c>
      <c r="R7" s="112">
        <f t="shared" si="1"/>
        <v>0.29557872833664245</v>
      </c>
      <c r="S7" s="112">
        <f t="shared" si="1"/>
        <v>0.36420360550222752</v>
      </c>
      <c r="T7" s="113">
        <f t="shared" si="1"/>
        <v>0.47477546785199221</v>
      </c>
      <c r="U7" s="112">
        <f t="shared" si="1"/>
        <v>0.2499724587571881</v>
      </c>
      <c r="V7" s="112">
        <f t="shared" si="1"/>
        <v>0.37757092193536668</v>
      </c>
      <c r="W7" s="112">
        <f t="shared" si="1"/>
        <v>0.30871722658609024</v>
      </c>
      <c r="X7" s="112">
        <f t="shared" si="1"/>
        <v>0.2521105386801068</v>
      </c>
      <c r="Y7" s="112">
        <f t="shared" si="1"/>
        <v>0.21051722399247041</v>
      </c>
      <c r="Z7" s="114">
        <f t="shared" si="1"/>
        <v>0.1793340389314666</v>
      </c>
    </row>
    <row r="8" spans="2:26" ht="15" customHeight="1" x14ac:dyDescent="0.2">
      <c r="B8" s="193"/>
      <c r="C8" s="115" t="s">
        <v>44</v>
      </c>
      <c r="D8" s="116"/>
      <c r="E8" s="116"/>
      <c r="F8" s="116"/>
      <c r="G8" s="116"/>
      <c r="H8" s="116"/>
      <c r="I8" s="116"/>
      <c r="J8" s="116">
        <v>608872.87641287537</v>
      </c>
      <c r="K8" s="117">
        <v>670523.67944179918</v>
      </c>
      <c r="L8" s="117">
        <v>710781.5972206021</v>
      </c>
      <c r="M8" s="117">
        <v>703485.98945894965</v>
      </c>
      <c r="N8" s="117">
        <v>720407.10530281614</v>
      </c>
      <c r="O8" s="117">
        <v>702306.04596336605</v>
      </c>
      <c r="P8" s="117">
        <v>721487.14663803962</v>
      </c>
      <c r="Q8" s="117">
        <v>706477.84859766171</v>
      </c>
      <c r="R8" s="117">
        <v>726389.94776282413</v>
      </c>
      <c r="S8" s="117">
        <v>707755.48960364342</v>
      </c>
      <c r="T8" s="118">
        <v>692977.44978354487</v>
      </c>
      <c r="U8" s="117">
        <v>615491.22929396771</v>
      </c>
      <c r="V8" s="117">
        <v>650572.34933406627</v>
      </c>
      <c r="W8" s="117">
        <v>680173.49255048565</v>
      </c>
      <c r="X8" s="117">
        <v>704134.18999483285</v>
      </c>
      <c r="Y8" s="117">
        <v>725168.7340036832</v>
      </c>
      <c r="Z8" s="119">
        <v>743091.34741323802</v>
      </c>
    </row>
    <row r="9" spans="2:26" ht="16" x14ac:dyDescent="0.2">
      <c r="B9" s="193"/>
      <c r="C9" s="110" t="s">
        <v>45</v>
      </c>
      <c r="D9" s="111"/>
      <c r="E9" s="111"/>
      <c r="F9" s="111"/>
      <c r="G9" s="111"/>
      <c r="H9" s="111"/>
      <c r="I9" s="111"/>
      <c r="J9" s="111"/>
      <c r="K9" s="112">
        <f t="shared" ref="K9:Z9" si="2">+K8/J8-1</f>
        <v>0.1012539816063649</v>
      </c>
      <c r="L9" s="112">
        <f t="shared" si="2"/>
        <v>6.0039516892702371E-2</v>
      </c>
      <c r="M9" s="112">
        <f t="shared" si="2"/>
        <v>-1.0264204630762497E-2</v>
      </c>
      <c r="N9" s="112">
        <f t="shared" si="2"/>
        <v>2.4053237871703104E-2</v>
      </c>
      <c r="O9" s="112">
        <f t="shared" si="2"/>
        <v>-2.5126153262801987E-2</v>
      </c>
      <c r="P9" s="112">
        <f t="shared" si="2"/>
        <v>2.7311598390645342E-2</v>
      </c>
      <c r="Q9" s="112">
        <f t="shared" si="2"/>
        <v>-2.0803278492649069E-2</v>
      </c>
      <c r="R9" s="112">
        <f t="shared" si="2"/>
        <v>2.8185029728373445E-2</v>
      </c>
      <c r="S9" s="112">
        <f t="shared" si="2"/>
        <v>-2.5653518769873096E-2</v>
      </c>
      <c r="T9" s="113">
        <f t="shared" si="2"/>
        <v>-2.0880148634911389E-2</v>
      </c>
      <c r="U9" s="112">
        <f>+U8/T8-1</f>
        <v>-0.11181636648318116</v>
      </c>
      <c r="V9" s="112">
        <f t="shared" si="2"/>
        <v>5.6996945480994432E-2</v>
      </c>
      <c r="W9" s="112">
        <f t="shared" si="2"/>
        <v>4.550015574243127E-2</v>
      </c>
      <c r="X9" s="112">
        <f t="shared" si="2"/>
        <v>3.5227332006868339E-2</v>
      </c>
      <c r="Y9" s="112">
        <f t="shared" si="2"/>
        <v>2.9872919548196819E-2</v>
      </c>
      <c r="Z9" s="114">
        <f t="shared" si="2"/>
        <v>2.4715093976271474E-2</v>
      </c>
    </row>
    <row r="10" spans="2:26" ht="15" customHeight="1" x14ac:dyDescent="0.2">
      <c r="B10" s="193"/>
      <c r="C10" s="115" t="s">
        <v>46</v>
      </c>
      <c r="D10" s="116"/>
      <c r="E10" s="116"/>
      <c r="F10" s="116"/>
      <c r="G10" s="116"/>
      <c r="H10" s="116"/>
      <c r="I10" s="116"/>
      <c r="J10" s="116">
        <v>15349.901981763702</v>
      </c>
      <c r="K10" s="117">
        <v>16714.162945438497</v>
      </c>
      <c r="L10" s="117">
        <v>17518.236735134378</v>
      </c>
      <c r="M10" s="117">
        <v>17142.947335671626</v>
      </c>
      <c r="N10" s="117">
        <v>17357.050017235055</v>
      </c>
      <c r="O10" s="117">
        <v>16729.549117760918</v>
      </c>
      <c r="P10" s="117">
        <v>16991.75696330364</v>
      </c>
      <c r="Q10" s="117">
        <v>16449.473446091652</v>
      </c>
      <c r="R10" s="117">
        <v>16720.87053370522</v>
      </c>
      <c r="S10" s="117">
        <v>16106.445206806762</v>
      </c>
      <c r="T10" s="118">
        <v>15590.307338540921</v>
      </c>
      <c r="U10" s="117">
        <v>13688.889903866297</v>
      </c>
      <c r="V10" s="117">
        <v>14303.567000557689</v>
      </c>
      <c r="W10" s="117">
        <v>14782.993595847436</v>
      </c>
      <c r="X10" s="117">
        <v>15128.070032352289</v>
      </c>
      <c r="Y10" s="117">
        <v>15400.824857778662</v>
      </c>
      <c r="Z10" s="119">
        <v>15599.665067653792</v>
      </c>
    </row>
    <row r="11" spans="2:26" ht="16" x14ac:dyDescent="0.2">
      <c r="B11" s="193"/>
      <c r="C11" s="110" t="s">
        <v>47</v>
      </c>
      <c r="D11" s="111"/>
      <c r="E11" s="111"/>
      <c r="F11" s="111"/>
      <c r="G11" s="111"/>
      <c r="H11" s="111"/>
      <c r="I11" s="111"/>
      <c r="J11" s="111"/>
      <c r="K11" s="112">
        <f t="shared" ref="K11:Z11" si="3">+K10/J10-1</f>
        <v>8.8877503276280967E-2</v>
      </c>
      <c r="L11" s="112">
        <f t="shared" si="3"/>
        <v>4.810733222601038E-2</v>
      </c>
      <c r="M11" s="112">
        <f t="shared" si="3"/>
        <v>-2.1422783875849505E-2</v>
      </c>
      <c r="N11" s="112">
        <f t="shared" si="3"/>
        <v>1.2489257382125585E-2</v>
      </c>
      <c r="O11" s="112">
        <f t="shared" si="3"/>
        <v>-3.6152508568624619E-2</v>
      </c>
      <c r="P11" s="112">
        <f t="shared" si="3"/>
        <v>1.5673336065247012E-2</v>
      </c>
      <c r="Q11" s="112">
        <f t="shared" si="3"/>
        <v>-3.1914505273535565E-2</v>
      </c>
      <c r="R11" s="112">
        <f t="shared" si="3"/>
        <v>1.6498831315360452E-2</v>
      </c>
      <c r="S11" s="112">
        <f t="shared" si="3"/>
        <v>-3.6746013053562288E-2</v>
      </c>
      <c r="T11" s="113">
        <f t="shared" si="3"/>
        <v>-3.2045424154034663E-2</v>
      </c>
      <c r="U11" s="112">
        <f>+U10/T10-1</f>
        <v>-0.12196151066080108</v>
      </c>
      <c r="V11" s="112">
        <f t="shared" si="3"/>
        <v>4.4903356006814166E-2</v>
      </c>
      <c r="W11" s="112">
        <f t="shared" si="3"/>
        <v>3.3517974591306787E-2</v>
      </c>
      <c r="X11" s="112">
        <f t="shared" si="3"/>
        <v>2.3342798213873639E-2</v>
      </c>
      <c r="Y11" s="112">
        <f t="shared" si="3"/>
        <v>1.8029717263541967E-2</v>
      </c>
      <c r="Z11" s="114">
        <f t="shared" si="3"/>
        <v>1.2911010397907319E-2</v>
      </c>
    </row>
    <row r="12" spans="2:26" ht="15" customHeight="1" x14ac:dyDescent="0.2">
      <c r="B12" s="193"/>
      <c r="C12" s="115" t="s">
        <v>42</v>
      </c>
      <c r="D12" s="116"/>
      <c r="E12" s="116"/>
      <c r="F12" s="116"/>
      <c r="G12" s="116"/>
      <c r="H12" s="116"/>
      <c r="I12" s="116"/>
      <c r="J12" s="116">
        <f>J6/J17</f>
        <v>334632.77305759105</v>
      </c>
      <c r="K12" s="117">
        <f>K6/K17</f>
        <v>424728.24055223528</v>
      </c>
      <c r="L12" s="117">
        <f t="shared" ref="L12:Z12" si="4">L6/L17</f>
        <v>527643.87547131605</v>
      </c>
      <c r="M12" s="117">
        <f t="shared" si="4"/>
        <v>579665.73602495249</v>
      </c>
      <c r="N12" s="117">
        <f t="shared" si="4"/>
        <v>611470.12416263146</v>
      </c>
      <c r="O12" s="117">
        <f t="shared" si="4"/>
        <v>563613.97361400595</v>
      </c>
      <c r="P12" s="117">
        <f t="shared" si="4"/>
        <v>642463.92248357146</v>
      </c>
      <c r="Q12" s="117">
        <f t="shared" si="4"/>
        <v>556805.24574291264</v>
      </c>
      <c r="R12" s="117">
        <f t="shared" si="4"/>
        <v>643861.26243680308</v>
      </c>
      <c r="S12" s="117">
        <f t="shared" si="4"/>
        <v>517305.76010554156</v>
      </c>
      <c r="T12" s="118">
        <f t="shared" si="4"/>
        <v>444457.8349323115</v>
      </c>
      <c r="U12" s="117">
        <f>U6/U17</f>
        <v>379420.29144373914</v>
      </c>
      <c r="V12" s="117">
        <f t="shared" si="4"/>
        <v>408447.88821031846</v>
      </c>
      <c r="W12" s="117">
        <f t="shared" si="4"/>
        <v>427528.91070601786</v>
      </c>
      <c r="X12" s="117">
        <f t="shared" si="4"/>
        <v>444864.60082337394</v>
      </c>
      <c r="Y12" s="117">
        <f t="shared" si="4"/>
        <v>465614.12795919244</v>
      </c>
      <c r="Z12" s="119">
        <f t="shared" si="4"/>
        <v>484917.63756606891</v>
      </c>
    </row>
    <row r="13" spans="2:26" ht="16" x14ac:dyDescent="0.2">
      <c r="B13" s="193"/>
      <c r="C13" s="110" t="s">
        <v>48</v>
      </c>
      <c r="D13" s="111"/>
      <c r="E13" s="111"/>
      <c r="F13" s="111"/>
      <c r="G13" s="111"/>
      <c r="H13" s="111"/>
      <c r="I13" s="111"/>
      <c r="J13" s="111"/>
      <c r="K13" s="112">
        <f t="shared" ref="K13:Z13" si="5">+K12/J12-1</f>
        <v>0.26923683138213894</v>
      </c>
      <c r="L13" s="112">
        <f t="shared" si="5"/>
        <v>0.24230937595595003</v>
      </c>
      <c r="M13" s="112">
        <f t="shared" si="5"/>
        <v>9.8592749716213568E-2</v>
      </c>
      <c r="N13" s="112">
        <f t="shared" si="5"/>
        <v>5.4866772626198212E-2</v>
      </c>
      <c r="O13" s="112">
        <f t="shared" si="5"/>
        <v>-7.8264086269400956E-2</v>
      </c>
      <c r="P13" s="112">
        <f t="shared" si="5"/>
        <v>0.13990062802020997</v>
      </c>
      <c r="Q13" s="112">
        <f t="shared" si="5"/>
        <v>-0.13332838427647153</v>
      </c>
      <c r="R13" s="112">
        <f t="shared" si="5"/>
        <v>0.15634913169278186</v>
      </c>
      <c r="S13" s="112">
        <f t="shared" si="5"/>
        <v>-0.19655709966505919</v>
      </c>
      <c r="T13" s="113">
        <f t="shared" si="5"/>
        <v>-0.14082179397802863</v>
      </c>
      <c r="U13" s="112">
        <f t="shared" si="5"/>
        <v>-0.1463300641296541</v>
      </c>
      <c r="V13" s="112">
        <f t="shared" si="5"/>
        <v>7.650512484750327E-2</v>
      </c>
      <c r="W13" s="112">
        <f t="shared" si="5"/>
        <v>4.671592887725784E-2</v>
      </c>
      <c r="X13" s="112">
        <f t="shared" si="5"/>
        <v>4.0548579717633704E-2</v>
      </c>
      <c r="Y13" s="112">
        <f t="shared" si="5"/>
        <v>4.664234263057665E-2</v>
      </c>
      <c r="Z13" s="114">
        <f t="shared" si="5"/>
        <v>4.1458169861564587E-2</v>
      </c>
    </row>
    <row r="14" spans="2:26" ht="15" customHeight="1" x14ac:dyDescent="0.2">
      <c r="B14" s="193"/>
      <c r="C14" s="115" t="s">
        <v>49</v>
      </c>
      <c r="D14" s="116"/>
      <c r="E14" s="116"/>
      <c r="F14" s="116"/>
      <c r="G14" s="116"/>
      <c r="H14" s="116"/>
      <c r="I14" s="116"/>
      <c r="J14" s="116">
        <v>8436.2113428036773</v>
      </c>
      <c r="K14" s="117">
        <v>10587.213006450795</v>
      </c>
      <c r="L14" s="117">
        <v>13004.543672057747</v>
      </c>
      <c r="M14" s="117">
        <v>14125.624865125979</v>
      </c>
      <c r="N14" s="117">
        <v>14732.388743826337</v>
      </c>
      <c r="O14" s="117">
        <v>13425.781693361298</v>
      </c>
      <c r="P14" s="117">
        <v>15130.679568444619</v>
      </c>
      <c r="Q14" s="117">
        <v>12964.529776373362</v>
      </c>
      <c r="R14" s="117">
        <v>14821.131327644693</v>
      </c>
      <c r="S14" s="117">
        <v>11772.366308273333</v>
      </c>
      <c r="T14" s="118">
        <v>9999.2203899010092</v>
      </c>
      <c r="U14" s="117">
        <v>8438.5322644224907</v>
      </c>
      <c r="V14" s="117">
        <v>8980.1875859507345</v>
      </c>
      <c r="W14" s="117">
        <v>9291.9780294695647</v>
      </c>
      <c r="X14" s="117">
        <v>9557.7560808683829</v>
      </c>
      <c r="Y14" s="117">
        <v>9888.5146308175554</v>
      </c>
      <c r="Z14" s="119">
        <v>10179.842300359756</v>
      </c>
    </row>
    <row r="15" spans="2:26" ht="17" thickBot="1" x14ac:dyDescent="0.25">
      <c r="B15" s="194"/>
      <c r="C15" s="120" t="s">
        <v>50</v>
      </c>
      <c r="D15" s="121"/>
      <c r="E15" s="121"/>
      <c r="F15" s="121"/>
      <c r="G15" s="121"/>
      <c r="H15" s="121"/>
      <c r="I15" s="121"/>
      <c r="J15" s="121"/>
      <c r="K15" s="112">
        <f>+K14/J14-1</f>
        <v>0.25497247238619525</v>
      </c>
      <c r="L15" s="112">
        <f t="shared" ref="L15:Z15" si="6">+L14/K14-1</f>
        <v>0.22832549643934352</v>
      </c>
      <c r="M15" s="112">
        <f t="shared" si="6"/>
        <v>8.6206884404336881E-2</v>
      </c>
      <c r="N15" s="112">
        <f t="shared" si="6"/>
        <v>4.2954834529010055E-2</v>
      </c>
      <c r="O15" s="112">
        <f t="shared" si="6"/>
        <v>-8.8689422549522279E-2</v>
      </c>
      <c r="P15" s="112">
        <f t="shared" si="6"/>
        <v>0.12698686110219937</v>
      </c>
      <c r="Q15" s="112">
        <f t="shared" si="6"/>
        <v>-0.14316275632383446</v>
      </c>
      <c r="R15" s="112">
        <f t="shared" si="6"/>
        <v>0.14320623912290387</v>
      </c>
      <c r="S15" s="112">
        <f t="shared" si="6"/>
        <v>-0.20570393392876407</v>
      </c>
      <c r="T15" s="113">
        <f t="shared" si="6"/>
        <v>-0.15061932936339228</v>
      </c>
      <c r="U15" s="112">
        <f t="shared" si="6"/>
        <v>-0.15608098077873944</v>
      </c>
      <c r="V15" s="112">
        <f>+V14/U14-1</f>
        <v>6.4188333297237499E-2</v>
      </c>
      <c r="W15" s="112">
        <f t="shared" si="6"/>
        <v>3.4719814094598345E-2</v>
      </c>
      <c r="X15" s="112">
        <f t="shared" si="6"/>
        <v>2.8602957363426995E-2</v>
      </c>
      <c r="Y15" s="112">
        <f t="shared" si="6"/>
        <v>3.4606297456287516E-2</v>
      </c>
      <c r="Z15" s="114">
        <f t="shared" si="6"/>
        <v>2.9461216413057434E-2</v>
      </c>
    </row>
    <row r="16" spans="2:26" ht="8" customHeight="1" thickBot="1" x14ac:dyDescent="0.25">
      <c r="B16" s="122"/>
      <c r="C16" s="122"/>
      <c r="D16" s="123"/>
      <c r="E16" s="123"/>
      <c r="F16" s="123"/>
      <c r="G16" s="123"/>
      <c r="H16" s="123"/>
      <c r="I16" s="123"/>
      <c r="J16" s="123"/>
      <c r="K16" s="124"/>
      <c r="L16" s="124"/>
      <c r="M16" s="124"/>
      <c r="N16" s="124"/>
      <c r="O16" s="124"/>
      <c r="P16" s="124"/>
      <c r="Q16" s="124"/>
      <c r="R16" s="124"/>
      <c r="S16" s="124"/>
      <c r="T16" s="125"/>
      <c r="U16" s="124"/>
      <c r="V16" s="124"/>
      <c r="W16" s="124"/>
      <c r="X16" s="124"/>
      <c r="Y16" s="124"/>
      <c r="Z16" s="124"/>
    </row>
    <row r="17" spans="2:26" ht="15" customHeight="1" x14ac:dyDescent="0.2">
      <c r="B17" s="192" t="s">
        <v>51</v>
      </c>
      <c r="C17" s="105" t="s">
        <v>52</v>
      </c>
      <c r="D17" s="126"/>
      <c r="E17" s="126"/>
      <c r="F17" s="126"/>
      <c r="G17" s="126"/>
      <c r="H17" s="126"/>
      <c r="I17" s="126"/>
      <c r="J17" s="126">
        <v>3.72925</v>
      </c>
      <c r="K17" s="127">
        <v>3.9124333333333339</v>
      </c>
      <c r="L17" s="127">
        <v>4.1297250000000005</v>
      </c>
      <c r="M17" s="127">
        <v>4.5507499999999999</v>
      </c>
      <c r="N17" s="127">
        <v>5.4758333333333331</v>
      </c>
      <c r="O17" s="127">
        <v>8.124508333333333</v>
      </c>
      <c r="P17" s="127">
        <v>9.2682416666666665</v>
      </c>
      <c r="Q17" s="127">
        <v>14.777446188672441</v>
      </c>
      <c r="R17" s="127">
        <v>16.556716666666663</v>
      </c>
      <c r="S17" s="127">
        <v>28.112430345117847</v>
      </c>
      <c r="T17" s="128">
        <v>48.254858333333338</v>
      </c>
      <c r="U17" s="127">
        <v>70.656399368686863</v>
      </c>
      <c r="V17" s="127">
        <v>90.416848905149152</v>
      </c>
      <c r="W17" s="127">
        <v>113.04890321362086</v>
      </c>
      <c r="X17" s="127">
        <v>136.03374783175755</v>
      </c>
      <c r="Y17" s="127">
        <v>157.33282334127134</v>
      </c>
      <c r="Z17" s="129">
        <v>178.16169614591084</v>
      </c>
    </row>
    <row r="18" spans="2:26" ht="16" x14ac:dyDescent="0.2">
      <c r="B18" s="193"/>
      <c r="C18" s="110" t="s">
        <v>53</v>
      </c>
      <c r="D18" s="111"/>
      <c r="E18" s="111"/>
      <c r="F18" s="111"/>
      <c r="G18" s="111"/>
      <c r="H18" s="111"/>
      <c r="I18" s="111"/>
      <c r="J18" s="111"/>
      <c r="K18" s="112">
        <f>+K17/J17-1</f>
        <v>4.9120690040446169E-2</v>
      </c>
      <c r="L18" s="112">
        <f>+L17/K17-1</f>
        <v>5.5538752524004753E-2</v>
      </c>
      <c r="M18" s="112">
        <f t="shared" ref="M18:Z18" si="7">+M17/L17-1</f>
        <v>0.10194988770438695</v>
      </c>
      <c r="N18" s="112">
        <f t="shared" si="7"/>
        <v>0.20328151037374798</v>
      </c>
      <c r="O18" s="112">
        <f t="shared" si="7"/>
        <v>0.48370263278039882</v>
      </c>
      <c r="P18" s="112">
        <f t="shared" si="7"/>
        <v>0.14077569822173852</v>
      </c>
      <c r="Q18" s="112">
        <f t="shared" si="7"/>
        <v>0.59441744401418539</v>
      </c>
      <c r="R18" s="112">
        <f t="shared" si="7"/>
        <v>0.12040446334753785</v>
      </c>
      <c r="S18" s="112">
        <f t="shared" si="7"/>
        <v>0.69794717824193331</v>
      </c>
      <c r="T18" s="113">
        <f t="shared" si="7"/>
        <v>0.71649543425951179</v>
      </c>
      <c r="U18" s="112">
        <f t="shared" si="7"/>
        <v>0.46423389911558521</v>
      </c>
      <c r="V18" s="112">
        <f t="shared" si="7"/>
        <v>0.27966963662203859</v>
      </c>
      <c r="W18" s="112">
        <f t="shared" si="7"/>
        <v>0.25030793024222309</v>
      </c>
      <c r="X18" s="112">
        <f t="shared" si="7"/>
        <v>0.20331771441164515</v>
      </c>
      <c r="Y18" s="112">
        <f t="shared" si="7"/>
        <v>0.15657199664788957</v>
      </c>
      <c r="Z18" s="114">
        <f t="shared" si="7"/>
        <v>0.13238733254954371</v>
      </c>
    </row>
    <row r="19" spans="2:26" ht="15" customHeight="1" x14ac:dyDescent="0.2">
      <c r="B19" s="193"/>
      <c r="C19" s="115" t="s">
        <v>54</v>
      </c>
      <c r="D19" s="130"/>
      <c r="E19" s="130"/>
      <c r="F19" s="130"/>
      <c r="G19" s="130"/>
      <c r="H19" s="130"/>
      <c r="I19" s="130"/>
      <c r="J19" s="130">
        <v>3.8069999999999999</v>
      </c>
      <c r="K19" s="131">
        <v>3.9775999999999998</v>
      </c>
      <c r="L19" s="131">
        <v>4.2888000000000002</v>
      </c>
      <c r="M19" s="131">
        <v>4.88</v>
      </c>
      <c r="N19" s="131">
        <v>6.3192000000000004</v>
      </c>
      <c r="O19" s="131">
        <v>8.5495000000000001</v>
      </c>
      <c r="P19" s="131">
        <v>11.4278</v>
      </c>
      <c r="Q19" s="131">
        <v>15.829599999999999</v>
      </c>
      <c r="R19" s="131">
        <v>17.700099999999999</v>
      </c>
      <c r="S19" s="131">
        <v>37.885199999999998</v>
      </c>
      <c r="T19" s="132">
        <v>59.883199999999988</v>
      </c>
      <c r="U19" s="131">
        <v>81.400000000000006</v>
      </c>
      <c r="V19" s="131">
        <v>102.4</v>
      </c>
      <c r="W19" s="131">
        <v>124.8</v>
      </c>
      <c r="X19" s="131">
        <v>146.6</v>
      </c>
      <c r="Y19" s="131">
        <v>166.81321573869971</v>
      </c>
      <c r="Z19" s="133">
        <v>188.15676624295907</v>
      </c>
    </row>
    <row r="20" spans="2:26" ht="16" x14ac:dyDescent="0.2">
      <c r="B20" s="193"/>
      <c r="C20" s="110" t="s">
        <v>53</v>
      </c>
      <c r="D20" s="111"/>
      <c r="E20" s="111"/>
      <c r="F20" s="111"/>
      <c r="G20" s="111"/>
      <c r="H20" s="111"/>
      <c r="I20" s="111"/>
      <c r="J20" s="111"/>
      <c r="K20" s="112">
        <f t="shared" ref="K20:Z20" si="8">+K19/J19-1</f>
        <v>4.4812188074599302E-2</v>
      </c>
      <c r="L20" s="112">
        <f t="shared" si="8"/>
        <v>7.8238133547868127E-2</v>
      </c>
      <c r="M20" s="112">
        <f t="shared" si="8"/>
        <v>0.13784741652676735</v>
      </c>
      <c r="N20" s="112">
        <f t="shared" si="8"/>
        <v>0.29491803278688544</v>
      </c>
      <c r="O20" s="112">
        <f t="shared" si="8"/>
        <v>0.35294024560070891</v>
      </c>
      <c r="P20" s="112">
        <f t="shared" si="8"/>
        <v>0.33666296274635932</v>
      </c>
      <c r="Q20" s="112">
        <f t="shared" si="8"/>
        <v>0.38518349988624223</v>
      </c>
      <c r="R20" s="112">
        <f t="shared" si="8"/>
        <v>0.11816470409865065</v>
      </c>
      <c r="S20" s="112">
        <f t="shared" si="8"/>
        <v>1.1403946870356663</v>
      </c>
      <c r="T20" s="113">
        <f t="shared" si="8"/>
        <v>0.58064890775289535</v>
      </c>
      <c r="U20" s="112">
        <f t="shared" si="8"/>
        <v>0.3593127955753872</v>
      </c>
      <c r="V20" s="112">
        <f t="shared" si="8"/>
        <v>0.25798525798525795</v>
      </c>
      <c r="W20" s="112">
        <f t="shared" si="8"/>
        <v>0.21875</v>
      </c>
      <c r="X20" s="112">
        <f t="shared" si="8"/>
        <v>0.17467948717948723</v>
      </c>
      <c r="Y20" s="112">
        <f t="shared" si="8"/>
        <v>0.13788005278785609</v>
      </c>
      <c r="Z20" s="114">
        <f t="shared" si="8"/>
        <v>0.1279487983595522</v>
      </c>
    </row>
    <row r="21" spans="2:26" ht="15" customHeight="1" x14ac:dyDescent="0.2">
      <c r="B21" s="193"/>
      <c r="C21" s="115" t="s">
        <v>55</v>
      </c>
      <c r="D21" s="130"/>
      <c r="E21" s="130"/>
      <c r="F21" s="130"/>
      <c r="G21" s="130"/>
      <c r="H21" s="130"/>
      <c r="I21" s="130"/>
      <c r="J21" s="130">
        <v>15.976461566301543</v>
      </c>
      <c r="K21" s="131">
        <v>19.762205056366259</v>
      </c>
      <c r="L21" s="131">
        <v>24.658990541907929</v>
      </c>
      <c r="M21" s="131">
        <v>31.037191903354838</v>
      </c>
      <c r="N21" s="131">
        <v>37.530604034773454</v>
      </c>
      <c r="O21" s="131">
        <v>52.00296680633798</v>
      </c>
      <c r="P21" s="131">
        <v>66.108303338094927</v>
      </c>
      <c r="Q21" s="131">
        <v>90.70756997550022</v>
      </c>
      <c r="R21" s="131">
        <v>112.88710833333333</v>
      </c>
      <c r="S21" s="131">
        <v>151.58167500000002</v>
      </c>
      <c r="T21" s="132">
        <v>232.75109166666664</v>
      </c>
      <c r="U21" s="131">
        <v>329.13602041049018</v>
      </c>
      <c r="V21" s="131">
        <v>431.99953321030216</v>
      </c>
      <c r="W21" s="131">
        <v>545.10812611872075</v>
      </c>
      <c r="X21" s="131">
        <v>663.67840215726937</v>
      </c>
      <c r="Y21" s="131">
        <v>784.37433115692409</v>
      </c>
      <c r="Z21" s="133">
        <v>906.90176859525252</v>
      </c>
    </row>
    <row r="22" spans="2:26" ht="16" x14ac:dyDescent="0.2">
      <c r="B22" s="193"/>
      <c r="C22" s="110" t="s">
        <v>56</v>
      </c>
      <c r="D22" s="111"/>
      <c r="E22" s="111"/>
      <c r="F22" s="111"/>
      <c r="G22" s="111"/>
      <c r="H22" s="111"/>
      <c r="I22" s="111"/>
      <c r="J22" s="111"/>
      <c r="K22" s="112">
        <f>K21/J21-1</f>
        <v>0.2369575687553882</v>
      </c>
      <c r="L22" s="112">
        <f t="shared" ref="L22:Z22" si="9">L21/K21-1</f>
        <v>0.24778537979820237</v>
      </c>
      <c r="M22" s="112">
        <f t="shared" si="9"/>
        <v>0.25865622319807291</v>
      </c>
      <c r="N22" s="112">
        <f t="shared" si="9"/>
        <v>0.20921390542153828</v>
      </c>
      <c r="O22" s="112">
        <f t="shared" si="9"/>
        <v>0.38561497060253447</v>
      </c>
      <c r="P22" s="112">
        <f t="shared" si="9"/>
        <v>0.27124099638941801</v>
      </c>
      <c r="Q22" s="112">
        <f t="shared" si="9"/>
        <v>0.37210555097138553</v>
      </c>
      <c r="R22" s="112">
        <f t="shared" si="9"/>
        <v>0.24451695006076912</v>
      </c>
      <c r="S22" s="112">
        <f t="shared" si="9"/>
        <v>0.34277223713100424</v>
      </c>
      <c r="T22" s="113">
        <f t="shared" si="9"/>
        <v>0.53548304349233899</v>
      </c>
      <c r="U22" s="134">
        <f t="shared" si="9"/>
        <v>0.41411160761325561</v>
      </c>
      <c r="V22" s="134">
        <f t="shared" si="9"/>
        <v>0.31252584469947475</v>
      </c>
      <c r="W22" s="134">
        <f t="shared" si="9"/>
        <v>0.26182572945826799</v>
      </c>
      <c r="X22" s="112">
        <f t="shared" si="9"/>
        <v>0.21751698490131277</v>
      </c>
      <c r="Y22" s="112">
        <f t="shared" si="9"/>
        <v>0.18185905795236934</v>
      </c>
      <c r="Z22" s="135">
        <f t="shared" si="9"/>
        <v>0.15621041200775254</v>
      </c>
    </row>
    <row r="23" spans="2:26" ht="15" customHeight="1" x14ac:dyDescent="0.2">
      <c r="B23" s="193"/>
      <c r="C23" s="115" t="s">
        <v>55</v>
      </c>
      <c r="D23" s="130"/>
      <c r="E23" s="130"/>
      <c r="F23" s="130"/>
      <c r="G23" s="130"/>
      <c r="H23" s="130"/>
      <c r="I23" s="130"/>
      <c r="J23" s="130">
        <v>17.277993239940471</v>
      </c>
      <c r="K23" s="131">
        <v>21.761473682030726</v>
      </c>
      <c r="L23" s="131">
        <v>27.05968810321524</v>
      </c>
      <c r="M23" s="131">
        <v>33.996801848999446</v>
      </c>
      <c r="N23" s="131">
        <v>42.257421073091194</v>
      </c>
      <c r="O23" s="131">
        <v>58.138211295530155</v>
      </c>
      <c r="P23" s="131">
        <v>74.381308817679098</v>
      </c>
      <c r="Q23" s="131">
        <v>100</v>
      </c>
      <c r="R23" s="131">
        <v>124.79559999999999</v>
      </c>
      <c r="S23" s="131">
        <v>184.2552</v>
      </c>
      <c r="T23" s="132">
        <v>283.44420000000002</v>
      </c>
      <c r="U23" s="131">
        <v>375.32468602026904</v>
      </c>
      <c r="V23" s="131">
        <v>484.18628457950507</v>
      </c>
      <c r="W23" s="131">
        <v>600.47887370924309</v>
      </c>
      <c r="X23" s="131">
        <v>720.49399695958834</v>
      </c>
      <c r="Y23" s="131">
        <v>841.28609534110774</v>
      </c>
      <c r="Z23" s="133">
        <v>965.01564953403465</v>
      </c>
    </row>
    <row r="24" spans="2:26" ht="16" x14ac:dyDescent="0.2">
      <c r="B24" s="193"/>
      <c r="C24" s="136" t="s">
        <v>57</v>
      </c>
      <c r="D24" s="123"/>
      <c r="E24" s="123"/>
      <c r="F24" s="123"/>
      <c r="G24" s="123"/>
      <c r="H24" s="123"/>
      <c r="I24" s="123"/>
      <c r="J24" s="123"/>
      <c r="K24" s="124">
        <f t="shared" ref="K24:Z24" si="10">K23/J23-1</f>
        <v>0.2594908089051724</v>
      </c>
      <c r="L24" s="124">
        <f t="shared" si="10"/>
        <v>0.24346762993167381</v>
      </c>
      <c r="M24" s="124">
        <f t="shared" si="10"/>
        <v>0.25636340372156519</v>
      </c>
      <c r="N24" s="124">
        <f t="shared" si="10"/>
        <v>0.24298224464707596</v>
      </c>
      <c r="O24" s="124">
        <f t="shared" si="10"/>
        <v>0.37581068174914201</v>
      </c>
      <c r="P24" s="124">
        <f t="shared" si="10"/>
        <v>0.2793876378408251</v>
      </c>
      <c r="Q24" s="124">
        <f t="shared" si="10"/>
        <v>0.34442377513303191</v>
      </c>
      <c r="R24" s="124">
        <f t="shared" si="10"/>
        <v>0.24795599999999984</v>
      </c>
      <c r="S24" s="124">
        <f t="shared" si="10"/>
        <v>0.4764559006888065</v>
      </c>
      <c r="T24" s="125">
        <f t="shared" si="10"/>
        <v>0.5383240201633388</v>
      </c>
      <c r="U24" s="137">
        <f t="shared" si="10"/>
        <v>0.324157227490522</v>
      </c>
      <c r="V24" s="137">
        <f t="shared" si="10"/>
        <v>0.29004646540450874</v>
      </c>
      <c r="W24" s="137">
        <f t="shared" si="10"/>
        <v>0.24018150210663891</v>
      </c>
      <c r="X24" s="124">
        <f t="shared" si="10"/>
        <v>0.19986568804493454</v>
      </c>
      <c r="Y24" s="124">
        <f t="shared" si="10"/>
        <v>0.16765177626912897</v>
      </c>
      <c r="Z24" s="138">
        <f t="shared" si="10"/>
        <v>0.14707191153891541</v>
      </c>
    </row>
    <row r="25" spans="2:26" hidden="1" x14ac:dyDescent="0.2">
      <c r="B25" s="193"/>
      <c r="C25" s="136"/>
      <c r="D25" s="123"/>
      <c r="E25" s="123"/>
      <c r="F25" s="123"/>
      <c r="G25" s="123"/>
      <c r="H25" s="123"/>
      <c r="I25" s="123"/>
      <c r="J25" s="123"/>
      <c r="K25" s="124"/>
      <c r="L25" s="124"/>
      <c r="M25" s="124"/>
      <c r="N25" s="124"/>
      <c r="O25" s="124"/>
      <c r="P25" s="124"/>
      <c r="Q25" s="124"/>
      <c r="R25" s="124"/>
      <c r="S25" s="124"/>
      <c r="T25" s="125"/>
      <c r="U25" s="124"/>
      <c r="V25" s="124"/>
      <c r="W25" s="124"/>
      <c r="X25" s="124"/>
      <c r="Y25" s="124"/>
      <c r="Z25" s="139"/>
    </row>
    <row r="26" spans="2:26" ht="15" customHeight="1" x14ac:dyDescent="0.2">
      <c r="B26" s="193"/>
      <c r="C26" s="204" t="s">
        <v>58</v>
      </c>
      <c r="D26" s="130"/>
      <c r="E26" s="130"/>
      <c r="F26" s="130"/>
      <c r="G26" s="130"/>
      <c r="H26" s="130"/>
      <c r="I26" s="130"/>
      <c r="J26" s="130">
        <v>66.324638121338808</v>
      </c>
      <c r="K26" s="131">
        <v>57.340103836993165</v>
      </c>
      <c r="L26" s="131">
        <v>49.950552866509774</v>
      </c>
      <c r="M26" s="131">
        <v>44.626081358204921</v>
      </c>
      <c r="N26" s="131">
        <v>44.941437163936286</v>
      </c>
      <c r="O26" s="131">
        <v>49.042583433201429</v>
      </c>
      <c r="P26" s="131">
        <v>43.967754345398504</v>
      </c>
      <c r="Q26" s="131">
        <v>51.90277268495219</v>
      </c>
      <c r="R26" s="131">
        <v>47.587182432227969</v>
      </c>
      <c r="S26" s="131">
        <v>60.416354815097947</v>
      </c>
      <c r="T26" s="132">
        <v>69.711987459384474</v>
      </c>
      <c r="U26" s="131">
        <v>73.961939477043629</v>
      </c>
      <c r="V26" s="131">
        <v>73.783949700974105</v>
      </c>
      <c r="W26" s="131">
        <v>74.650887808657359</v>
      </c>
      <c r="X26" s="131">
        <v>75.332059660882905</v>
      </c>
      <c r="Y26" s="131">
        <v>75.278139718700416</v>
      </c>
      <c r="Z26" s="133">
        <v>75.280338428325067</v>
      </c>
    </row>
    <row r="27" spans="2:26" ht="16" thickBot="1" x14ac:dyDescent="0.25">
      <c r="B27" s="194"/>
      <c r="C27" s="205"/>
      <c r="D27" s="121"/>
      <c r="E27" s="121"/>
      <c r="F27" s="121"/>
      <c r="G27" s="121"/>
      <c r="H27" s="121"/>
      <c r="I27" s="121"/>
      <c r="J27" s="121"/>
      <c r="K27" s="112">
        <f t="shared" ref="K27:Z27" si="11">K26/J26-1</f>
        <v>-0.13546299744461066</v>
      </c>
      <c r="L27" s="112">
        <f t="shared" si="11"/>
        <v>-0.1288722983741093</v>
      </c>
      <c r="M27" s="112">
        <f t="shared" si="11"/>
        <v>-0.10659484635804184</v>
      </c>
      <c r="N27" s="112">
        <f t="shared" si="11"/>
        <v>7.066625527795356E-3</v>
      </c>
      <c r="O27" s="112">
        <f t="shared" si="11"/>
        <v>9.1255343132554456E-2</v>
      </c>
      <c r="P27" s="112">
        <f t="shared" si="11"/>
        <v>-0.10347801303565318</v>
      </c>
      <c r="Q27" s="112">
        <f t="shared" si="11"/>
        <v>0.18047358701148064</v>
      </c>
      <c r="R27" s="112">
        <f t="shared" si="11"/>
        <v>-8.3147585947280445E-2</v>
      </c>
      <c r="S27" s="112">
        <f t="shared" si="11"/>
        <v>0.26959302331338586</v>
      </c>
      <c r="T27" s="113">
        <f t="shared" si="11"/>
        <v>0.15385954138966951</v>
      </c>
      <c r="U27" s="112">
        <f t="shared" si="11"/>
        <v>6.0964436283433399E-2</v>
      </c>
      <c r="V27" s="112">
        <f t="shared" si="11"/>
        <v>-2.4065049852399767E-3</v>
      </c>
      <c r="W27" s="112">
        <f t="shared" si="11"/>
        <v>1.1749684195502041E-2</v>
      </c>
      <c r="X27" s="112">
        <f t="shared" si="11"/>
        <v>9.1247655884749701E-3</v>
      </c>
      <c r="Y27" s="112">
        <f t="shared" si="11"/>
        <v>-7.1576354642655104E-4</v>
      </c>
      <c r="Z27" s="114">
        <f t="shared" si="11"/>
        <v>2.9207810300135861E-5</v>
      </c>
    </row>
    <row r="28" spans="2:26" ht="8" customHeight="1" thickBot="1" x14ac:dyDescent="0.25">
      <c r="K28" s="140"/>
      <c r="L28" s="140"/>
      <c r="M28" s="140"/>
      <c r="N28" s="140"/>
      <c r="O28" s="140"/>
      <c r="P28" s="140"/>
      <c r="Q28" s="140"/>
      <c r="R28" s="140"/>
      <c r="S28" s="140"/>
      <c r="T28" s="141"/>
      <c r="U28" s="140"/>
      <c r="V28" s="140"/>
      <c r="W28" s="140"/>
      <c r="X28" s="140"/>
      <c r="Y28" s="140"/>
      <c r="Z28" s="140"/>
    </row>
    <row r="29" spans="2:26" ht="15" customHeight="1" x14ac:dyDescent="0.2">
      <c r="B29" s="192" t="s">
        <v>59</v>
      </c>
      <c r="C29" s="201" t="s">
        <v>60</v>
      </c>
      <c r="D29" s="106"/>
      <c r="E29" s="106"/>
      <c r="F29" s="106"/>
      <c r="G29" s="106"/>
      <c r="H29" s="106"/>
      <c r="I29" s="106"/>
      <c r="J29" s="106">
        <v>5591231.666666667</v>
      </c>
      <c r="K29" s="107">
        <v>5721839.083333333</v>
      </c>
      <c r="L29" s="107">
        <v>5985949.25</v>
      </c>
      <c r="M29" s="107">
        <v>6066269.75</v>
      </c>
      <c r="N29" s="107">
        <v>6111761.416666667</v>
      </c>
      <c r="O29" s="107">
        <v>6114564.666666667</v>
      </c>
      <c r="P29" s="107">
        <v>6229256.666666667</v>
      </c>
      <c r="Q29" s="107">
        <v>6184871.833333333</v>
      </c>
      <c r="R29" s="107">
        <v>6228469.666666667</v>
      </c>
      <c r="S29" s="107">
        <v>6236790</v>
      </c>
      <c r="T29" s="108">
        <v>6093393.583333333</v>
      </c>
      <c r="U29" s="107">
        <v>5806182.4230110385</v>
      </c>
      <c r="V29" s="107">
        <v>5857509.3503081994</v>
      </c>
      <c r="W29" s="107">
        <v>5948583.3674389059</v>
      </c>
      <c r="X29" s="107">
        <v>6018767.1421203017</v>
      </c>
      <c r="Y29" s="107">
        <v>6077302.6193103688</v>
      </c>
      <c r="Z29" s="109">
        <v>6125964.0760035962</v>
      </c>
    </row>
    <row r="30" spans="2:26" x14ac:dyDescent="0.2">
      <c r="B30" s="193"/>
      <c r="C30" s="202"/>
      <c r="D30" s="111"/>
      <c r="E30" s="111"/>
      <c r="F30" s="111"/>
      <c r="G30" s="111"/>
      <c r="H30" s="111"/>
      <c r="I30" s="111"/>
      <c r="J30" s="111"/>
      <c r="K30" s="112">
        <f>K29/J29-1</f>
        <v>2.3359328400808455E-2</v>
      </c>
      <c r="L30" s="112">
        <f t="shared" ref="L30:Z30" si="12">L29/K29-1</f>
        <v>4.6158265344436344E-2</v>
      </c>
      <c r="M30" s="112">
        <f t="shared" si="12"/>
        <v>1.3418172564693798E-2</v>
      </c>
      <c r="N30" s="112">
        <f t="shared" si="12"/>
        <v>7.499117009537315E-3</v>
      </c>
      <c r="O30" s="112">
        <f t="shared" si="12"/>
        <v>4.5866482817147336E-4</v>
      </c>
      <c r="P30" s="112">
        <f t="shared" si="12"/>
        <v>1.8757181623286989E-2</v>
      </c>
      <c r="Q30" s="112">
        <f t="shared" si="12"/>
        <v>-7.1252214683722448E-3</v>
      </c>
      <c r="R30" s="112">
        <f t="shared" si="12"/>
        <v>7.049108616667521E-3</v>
      </c>
      <c r="S30" s="112">
        <f t="shared" si="12"/>
        <v>1.3358551584286005E-3</v>
      </c>
      <c r="T30" s="113">
        <f t="shared" si="12"/>
        <v>-2.2992022605646034E-2</v>
      </c>
      <c r="U30" s="112">
        <f t="shared" si="12"/>
        <v>-4.7134844712456325E-2</v>
      </c>
      <c r="V30" s="112">
        <f t="shared" si="12"/>
        <v>8.8400473078045216E-3</v>
      </c>
      <c r="W30" s="112">
        <f t="shared" si="12"/>
        <v>1.5548249551819326E-2</v>
      </c>
      <c r="X30" s="112">
        <f t="shared" si="12"/>
        <v>1.1798401459003571E-2</v>
      </c>
      <c r="Y30" s="112">
        <f t="shared" si="12"/>
        <v>9.7254929137275958E-3</v>
      </c>
      <c r="Z30" s="114">
        <f t="shared" si="12"/>
        <v>8.0070813881487624E-3</v>
      </c>
    </row>
    <row r="31" spans="2:26" ht="15" customHeight="1" x14ac:dyDescent="0.2">
      <c r="B31" s="193"/>
      <c r="C31" s="115" t="s">
        <v>61</v>
      </c>
      <c r="D31" s="130"/>
      <c r="E31" s="130"/>
      <c r="F31" s="130"/>
      <c r="G31" s="130"/>
      <c r="H31" s="130"/>
      <c r="I31" s="130"/>
      <c r="J31" s="130">
        <v>107.29030271018621</v>
      </c>
      <c r="K31" s="131">
        <v>110.47692963403722</v>
      </c>
      <c r="L31" s="131">
        <v>109.81113330248392</v>
      </c>
      <c r="M31" s="131">
        <v>110.25387695851863</v>
      </c>
      <c r="N31" s="131">
        <v>107.91147983441893</v>
      </c>
      <c r="O31" s="131">
        <v>105.77495246129315</v>
      </c>
      <c r="P31" s="131">
        <v>104.24431392058126</v>
      </c>
      <c r="Q31" s="131">
        <v>104.66376977533268</v>
      </c>
      <c r="R31" s="131">
        <v>105.76735697534633</v>
      </c>
      <c r="S31" s="131">
        <v>105.59207183795428</v>
      </c>
      <c r="T31" s="132">
        <v>105.30506337787834</v>
      </c>
      <c r="U31" s="131">
        <v>66.850812087705521</v>
      </c>
      <c r="V31" s="131">
        <v>67.884861749923587</v>
      </c>
      <c r="W31" s="131">
        <v>69.967441645791226</v>
      </c>
      <c r="X31" s="131">
        <v>72.369566143778783</v>
      </c>
      <c r="Y31" s="131">
        <v>74.79154320086586</v>
      </c>
      <c r="Z31" s="133">
        <v>76.982011065950402</v>
      </c>
    </row>
    <row r="32" spans="2:26" ht="16" x14ac:dyDescent="0.2">
      <c r="B32" s="193"/>
      <c r="C32" s="110" t="s">
        <v>62</v>
      </c>
      <c r="D32" s="142"/>
      <c r="E32" s="142"/>
      <c r="F32" s="142"/>
      <c r="G32" s="142"/>
      <c r="H32" s="142"/>
      <c r="I32" s="142"/>
      <c r="J32" s="142"/>
      <c r="K32" s="112">
        <f t="shared" ref="K32:Z32" si="13">K31/J31-1</f>
        <v>2.9700978032085157E-2</v>
      </c>
      <c r="L32" s="112">
        <f t="shared" si="13"/>
        <v>-6.0265644036161525E-3</v>
      </c>
      <c r="M32" s="112">
        <f t="shared" si="13"/>
        <v>4.0318649186064093E-3</v>
      </c>
      <c r="N32" s="112">
        <f t="shared" si="13"/>
        <v>-2.1245485317319068E-2</v>
      </c>
      <c r="O32" s="112">
        <f t="shared" si="13"/>
        <v>-1.9798888648400514E-2</v>
      </c>
      <c r="P32" s="112">
        <f t="shared" si="13"/>
        <v>-1.4470708850207292E-2</v>
      </c>
      <c r="Q32" s="112">
        <f t="shared" si="13"/>
        <v>4.0237768274917762E-3</v>
      </c>
      <c r="R32" s="112">
        <f t="shared" si="13"/>
        <v>1.0544118584516537E-2</v>
      </c>
      <c r="S32" s="112">
        <f t="shared" si="13"/>
        <v>-1.6572706589700337E-3</v>
      </c>
      <c r="T32" s="113">
        <f t="shared" si="13"/>
        <v>-2.7180872112859689E-3</v>
      </c>
      <c r="U32" s="112">
        <f t="shared" si="13"/>
        <v>-0.36517001231159207</v>
      </c>
      <c r="V32" s="112">
        <f t="shared" si="13"/>
        <v>1.5468019458932503E-2</v>
      </c>
      <c r="W32" s="112">
        <f t="shared" si="13"/>
        <v>3.0678119424320416E-2</v>
      </c>
      <c r="X32" s="112">
        <f t="shared" si="13"/>
        <v>3.4332032749578856E-2</v>
      </c>
      <c r="Y32" s="112">
        <f t="shared" si="13"/>
        <v>3.3466789786680051E-2</v>
      </c>
      <c r="Z32" s="114">
        <f t="shared" si="13"/>
        <v>2.9287640973012952E-2</v>
      </c>
    </row>
    <row r="33" spans="2:26" x14ac:dyDescent="0.2">
      <c r="B33" s="193"/>
      <c r="C33" s="202" t="s">
        <v>63</v>
      </c>
      <c r="D33" s="116"/>
      <c r="E33" s="116"/>
      <c r="F33" s="116"/>
      <c r="G33" s="116"/>
      <c r="H33" s="116"/>
      <c r="I33" s="116"/>
      <c r="J33" s="116">
        <v>3223.9116666666664</v>
      </c>
      <c r="K33" s="117">
        <v>4073.0333333333333</v>
      </c>
      <c r="L33" s="117">
        <v>5378.9058333333332</v>
      </c>
      <c r="M33" s="117">
        <v>6973.2558333333336</v>
      </c>
      <c r="N33" s="117">
        <v>8834.965000000002</v>
      </c>
      <c r="O33" s="117">
        <v>11648.931666666665</v>
      </c>
      <c r="P33" s="117">
        <v>15277.020833333334</v>
      </c>
      <c r="Q33" s="117">
        <v>20294.707922352562</v>
      </c>
      <c r="R33" s="117">
        <v>26232.691115356822</v>
      </c>
      <c r="S33" s="117">
        <v>33439.272478344523</v>
      </c>
      <c r="T33" s="118">
        <v>48452.576863501687</v>
      </c>
      <c r="U33" s="117">
        <v>66757.29591157606</v>
      </c>
      <c r="V33" s="117">
        <v>85137.70563617759</v>
      </c>
      <c r="W33" s="117">
        <v>109175.19233752048</v>
      </c>
      <c r="X33" s="117">
        <v>134012.15247968541</v>
      </c>
      <c r="Y33" s="117">
        <v>159087.21429947097</v>
      </c>
      <c r="Z33" s="119">
        <v>184561.15403872609</v>
      </c>
    </row>
    <row r="34" spans="2:26" x14ac:dyDescent="0.2">
      <c r="B34" s="193"/>
      <c r="C34" s="202"/>
      <c r="D34" s="142"/>
      <c r="E34" s="142"/>
      <c r="F34" s="142"/>
      <c r="G34" s="142"/>
      <c r="H34" s="142"/>
      <c r="I34" s="142"/>
      <c r="J34" s="142"/>
      <c r="K34" s="112">
        <f t="shared" ref="K34:Z34" si="14">K33/J33-1</f>
        <v>0.26338242311229587</v>
      </c>
      <c r="L34" s="112">
        <f t="shared" si="14"/>
        <v>0.32061424327487287</v>
      </c>
      <c r="M34" s="112">
        <f t="shared" si="14"/>
        <v>0.29640786609792236</v>
      </c>
      <c r="N34" s="112">
        <f t="shared" si="14"/>
        <v>0.26697846904847311</v>
      </c>
      <c r="O34" s="112">
        <f t="shared" si="14"/>
        <v>0.3185034311586592</v>
      </c>
      <c r="P34" s="112">
        <f t="shared" si="14"/>
        <v>0.31145252375790133</v>
      </c>
      <c r="Q34" s="112">
        <f t="shared" si="14"/>
        <v>0.32844670068597437</v>
      </c>
      <c r="R34" s="112">
        <f t="shared" si="14"/>
        <v>0.29258776306231904</v>
      </c>
      <c r="S34" s="112">
        <f t="shared" si="14"/>
        <v>0.27471757782292161</v>
      </c>
      <c r="T34" s="113">
        <f t="shared" si="14"/>
        <v>0.44897221956248812</v>
      </c>
      <c r="U34" s="112">
        <f t="shared" si="14"/>
        <v>0.37778628574578321</v>
      </c>
      <c r="V34" s="112">
        <f t="shared" si="14"/>
        <v>0.27533184910526409</v>
      </c>
      <c r="W34" s="112">
        <f t="shared" si="14"/>
        <v>0.28233655724836249</v>
      </c>
      <c r="X34" s="112">
        <f t="shared" si="14"/>
        <v>0.22749637175247872</v>
      </c>
      <c r="Y34" s="112">
        <f t="shared" si="14"/>
        <v>0.18711035794747533</v>
      </c>
      <c r="Z34" s="114">
        <f t="shared" si="14"/>
        <v>0.16012562575457601</v>
      </c>
    </row>
    <row r="35" spans="2:26" x14ac:dyDescent="0.2">
      <c r="B35" s="193"/>
      <c r="C35" s="202" t="s">
        <v>64</v>
      </c>
      <c r="D35" s="116"/>
      <c r="E35" s="116"/>
      <c r="F35" s="116"/>
      <c r="G35" s="116"/>
      <c r="H35" s="116"/>
      <c r="I35" s="116"/>
      <c r="J35" s="116">
        <f t="shared" ref="J35:N35" si="15">J33*$R$21/J21</f>
        <v>22779.641415702208</v>
      </c>
      <c r="K35" s="117">
        <f t="shared" si="15"/>
        <v>23266.277919586642</v>
      </c>
      <c r="L35" s="117">
        <f t="shared" si="15"/>
        <v>24624.249094477218</v>
      </c>
      <c r="M35" s="117">
        <f t="shared" si="15"/>
        <v>25362.819199131878</v>
      </c>
      <c r="N35" s="117">
        <f t="shared" si="15"/>
        <v>26574.409784402207</v>
      </c>
      <c r="O35" s="117">
        <f>O33*$U$21/O21</f>
        <v>73728.159108282212</v>
      </c>
      <c r="P35" s="117">
        <f t="shared" ref="P35:Z35" si="16">P33*$U$21/P21</f>
        <v>76060.306904200508</v>
      </c>
      <c r="Q35" s="117">
        <f t="shared" si="16"/>
        <v>73640.153768428994</v>
      </c>
      <c r="R35" s="117">
        <f t="shared" si="16"/>
        <v>76484.584341298789</v>
      </c>
      <c r="S35" s="117">
        <f t="shared" si="16"/>
        <v>72608.176871936172</v>
      </c>
      <c r="T35" s="118">
        <f t="shared" si="16"/>
        <v>68517.351361451205</v>
      </c>
      <c r="U35" s="117">
        <f t="shared" si="16"/>
        <v>66757.29591157606</v>
      </c>
      <c r="V35" s="117">
        <f t="shared" si="16"/>
        <v>64865.54606143495</v>
      </c>
      <c r="W35" s="117">
        <f t="shared" si="16"/>
        <v>65919.92783041959</v>
      </c>
      <c r="X35" s="117">
        <f t="shared" si="16"/>
        <v>66460.240999910224</v>
      </c>
      <c r="Y35" s="117">
        <f t="shared" si="16"/>
        <v>66755.540732047681</v>
      </c>
      <c r="Z35" s="119">
        <f t="shared" si="16"/>
        <v>66981.591464713973</v>
      </c>
    </row>
    <row r="36" spans="2:26" x14ac:dyDescent="0.2">
      <c r="B36" s="193"/>
      <c r="C36" s="202"/>
      <c r="D36" s="142"/>
      <c r="E36" s="142"/>
      <c r="F36" s="142"/>
      <c r="G36" s="142"/>
      <c r="H36" s="142"/>
      <c r="I36" s="142"/>
      <c r="J36" s="142"/>
      <c r="K36" s="112">
        <f t="shared" ref="K36:Z36" si="17">K35/J35-1</f>
        <v>2.1362781573418088E-2</v>
      </c>
      <c r="L36" s="112">
        <f t="shared" si="17"/>
        <v>5.8366498482654627E-2</v>
      </c>
      <c r="M36" s="112">
        <f t="shared" si="17"/>
        <v>2.9993609219145956E-2</v>
      </c>
      <c r="N36" s="112">
        <f t="shared" si="17"/>
        <v>4.7770343499976553E-2</v>
      </c>
      <c r="O36" s="112">
        <f t="shared" si="17"/>
        <v>1.7744043877714568</v>
      </c>
      <c r="P36" s="112">
        <f t="shared" si="17"/>
        <v>3.163171065336301E-2</v>
      </c>
      <c r="Q36" s="112">
        <f t="shared" si="17"/>
        <v>-3.1818871554380457E-2</v>
      </c>
      <c r="R36" s="112">
        <f t="shared" si="17"/>
        <v>3.8626081387804767E-2</v>
      </c>
      <c r="S36" s="112">
        <f t="shared" si="17"/>
        <v>-5.0682206130124752E-2</v>
      </c>
      <c r="T36" s="113">
        <f t="shared" si="17"/>
        <v>-5.6341113173798973E-2</v>
      </c>
      <c r="U36" s="112">
        <f t="shared" si="17"/>
        <v>-2.5687733324516349E-2</v>
      </c>
      <c r="V36" s="134">
        <f t="shared" si="17"/>
        <v>-2.8337724353707294E-2</v>
      </c>
      <c r="W36" s="134">
        <f t="shared" si="17"/>
        <v>1.6254881566649004E-2</v>
      </c>
      <c r="X36" s="134">
        <f t="shared" si="17"/>
        <v>8.1965072971650343E-3</v>
      </c>
      <c r="Y36" s="134">
        <f t="shared" si="17"/>
        <v>4.4432540071266402E-3</v>
      </c>
      <c r="Z36" s="135">
        <f t="shared" si="17"/>
        <v>3.3862467472722813E-3</v>
      </c>
    </row>
    <row r="37" spans="2:26" x14ac:dyDescent="0.2">
      <c r="B37" s="193"/>
      <c r="C37" s="202" t="s">
        <v>65</v>
      </c>
      <c r="D37" s="116"/>
      <c r="E37" s="116"/>
      <c r="F37" s="116"/>
      <c r="G37" s="116"/>
      <c r="H37" s="116"/>
      <c r="I37" s="116"/>
      <c r="J37" s="116">
        <f>J33/J17</f>
        <v>864.49330741212486</v>
      </c>
      <c r="K37" s="117">
        <f t="shared" ref="K37:Z37" si="18">K33/K17</f>
        <v>1041.048622766735</v>
      </c>
      <c r="L37" s="117">
        <f t="shared" si="18"/>
        <v>1302.4852340854011</v>
      </c>
      <c r="M37" s="117">
        <f t="shared" si="18"/>
        <v>1532.3311175813512</v>
      </c>
      <c r="N37" s="117">
        <f t="shared" si="18"/>
        <v>1613.4466595647546</v>
      </c>
      <c r="O37" s="117">
        <f t="shared" si="18"/>
        <v>1433.8014300352534</v>
      </c>
      <c r="P37" s="117">
        <f t="shared" si="18"/>
        <v>1648.3192155290153</v>
      </c>
      <c r="Q37" s="117">
        <f t="shared" si="18"/>
        <v>1373.3569158864095</v>
      </c>
      <c r="R37" s="117">
        <f t="shared" si="18"/>
        <v>1584.4138450572523</v>
      </c>
      <c r="S37" s="117">
        <f t="shared" si="18"/>
        <v>1189.4835155777189</v>
      </c>
      <c r="T37" s="118">
        <f t="shared" si="18"/>
        <v>1004.0973808026241</v>
      </c>
      <c r="U37" s="117">
        <f t="shared" si="18"/>
        <v>944.81598988981614</v>
      </c>
      <c r="V37" s="117">
        <f t="shared" si="18"/>
        <v>941.61327968297599</v>
      </c>
      <c r="W37" s="117">
        <f t="shared" si="18"/>
        <v>965.73420204899742</v>
      </c>
      <c r="X37" s="117">
        <f t="shared" si="18"/>
        <v>985.1390159846776</v>
      </c>
      <c r="Y37" s="117">
        <f t="shared" si="18"/>
        <v>1011.1508261336808</v>
      </c>
      <c r="Z37" s="119">
        <f t="shared" si="18"/>
        <v>1035.9193812769622</v>
      </c>
    </row>
    <row r="38" spans="2:26" ht="16" thickBot="1" x14ac:dyDescent="0.25">
      <c r="B38" s="194"/>
      <c r="C38" s="206"/>
      <c r="D38" s="143"/>
      <c r="E38" s="143"/>
      <c r="F38" s="143"/>
      <c r="G38" s="143"/>
      <c r="H38" s="143"/>
      <c r="I38" s="143"/>
      <c r="J38" s="143"/>
      <c r="K38" s="144">
        <f t="shared" ref="K38:Z38" si="19">K37/J37-1</f>
        <v>0.2042298232280495</v>
      </c>
      <c r="L38" s="144">
        <f t="shared" si="19"/>
        <v>0.25112814675635531</v>
      </c>
      <c r="M38" s="144">
        <f t="shared" si="19"/>
        <v>0.1764671702073819</v>
      </c>
      <c r="N38" s="144">
        <f t="shared" si="19"/>
        <v>5.2936040424106823E-2</v>
      </c>
      <c r="O38" s="144">
        <f t="shared" si="19"/>
        <v>-0.11134252778952269</v>
      </c>
      <c r="P38" s="144">
        <f t="shared" si="19"/>
        <v>0.14961471023814465</v>
      </c>
      <c r="Q38" s="144">
        <f t="shared" si="19"/>
        <v>-0.16681374399579441</v>
      </c>
      <c r="R38" s="144">
        <f t="shared" si="19"/>
        <v>0.15367959102941553</v>
      </c>
      <c r="S38" s="144">
        <f t="shared" si="19"/>
        <v>-0.2492595799459596</v>
      </c>
      <c r="T38" s="145">
        <f t="shared" si="19"/>
        <v>-0.15585431184815945</v>
      </c>
      <c r="U38" s="144">
        <f t="shared" si="19"/>
        <v>-5.9039483665838777E-2</v>
      </c>
      <c r="V38" s="144">
        <f t="shared" si="19"/>
        <v>-3.3897713852341083E-3</v>
      </c>
      <c r="W38" s="144">
        <f t="shared" si="19"/>
        <v>2.561659110642811E-2</v>
      </c>
      <c r="X38" s="144">
        <f t="shared" si="19"/>
        <v>2.0093327847878761E-2</v>
      </c>
      <c r="Y38" s="144">
        <f t="shared" si="19"/>
        <v>2.6404202581504332E-2</v>
      </c>
      <c r="Z38" s="146">
        <f t="shared" si="19"/>
        <v>2.4495411073329754E-2</v>
      </c>
    </row>
    <row r="39" spans="2:26" ht="8" customHeight="1" thickBot="1" x14ac:dyDescent="0.25">
      <c r="K39" s="140"/>
      <c r="L39" s="140"/>
      <c r="M39" s="140"/>
      <c r="N39" s="140"/>
      <c r="O39" s="140"/>
      <c r="P39" s="140"/>
      <c r="Q39" s="140"/>
      <c r="R39" s="140"/>
      <c r="S39" s="140"/>
      <c r="T39" s="141"/>
      <c r="U39" s="140"/>
      <c r="V39" s="140"/>
      <c r="W39" s="140"/>
      <c r="X39" s="140"/>
      <c r="Y39" s="140"/>
      <c r="Z39" s="140"/>
    </row>
    <row r="40" spans="2:26" ht="15" hidden="1" customHeight="1" x14ac:dyDescent="0.2">
      <c r="B40" s="192" t="s">
        <v>66</v>
      </c>
      <c r="C40" s="195" t="s">
        <v>67</v>
      </c>
      <c r="D40" s="106"/>
      <c r="E40" s="106"/>
      <c r="F40" s="106"/>
      <c r="G40" s="106"/>
      <c r="H40" s="106"/>
      <c r="I40" s="106"/>
      <c r="J40" s="106">
        <v>47967.477546290196</v>
      </c>
      <c r="K40" s="107">
        <v>52189.829971326522</v>
      </c>
      <c r="L40" s="107">
        <v>46375.922569250783</v>
      </c>
      <c r="M40" s="107">
        <v>43290.199703089093</v>
      </c>
      <c r="N40" s="107">
        <v>30600.44334200061</v>
      </c>
      <c r="O40" s="107">
        <v>31407.547123479886</v>
      </c>
      <c r="P40" s="107">
        <v>25563.481891580162</v>
      </c>
      <c r="Q40" s="107">
        <v>38771.629947887093</v>
      </c>
      <c r="R40" s="107">
        <v>55055.080695848555</v>
      </c>
      <c r="S40" s="107">
        <v>66323.997893813532</v>
      </c>
      <c r="T40" s="108">
        <v>44848.343417647549</v>
      </c>
      <c r="U40" s="107">
        <v>0</v>
      </c>
      <c r="V40" s="107">
        <v>0</v>
      </c>
      <c r="W40" s="107">
        <v>0</v>
      </c>
      <c r="X40" s="107">
        <v>0</v>
      </c>
      <c r="Y40" s="107">
        <v>0</v>
      </c>
      <c r="Z40" s="109">
        <v>0</v>
      </c>
    </row>
    <row r="41" spans="2:26" ht="16" hidden="1" thickBot="1" x14ac:dyDescent="0.25">
      <c r="B41" s="193"/>
      <c r="C41" s="196"/>
      <c r="D41" s="147"/>
      <c r="E41" s="147"/>
      <c r="F41" s="147"/>
      <c r="G41" s="147"/>
      <c r="H41" s="147"/>
      <c r="I41" s="147"/>
      <c r="J41" s="147"/>
      <c r="K41" s="112">
        <f t="shared" ref="K41:R41" si="20">K40/J40-1</f>
        <v>8.8025317173737516E-2</v>
      </c>
      <c r="L41" s="112">
        <f t="shared" si="20"/>
        <v>-0.11139924014448688</v>
      </c>
      <c r="M41" s="112">
        <f t="shared" si="20"/>
        <v>-6.6537174792672626E-2</v>
      </c>
      <c r="N41" s="112">
        <f t="shared" si="20"/>
        <v>-0.29313231281266117</v>
      </c>
      <c r="O41" s="112">
        <f t="shared" si="20"/>
        <v>2.6375558434197144E-2</v>
      </c>
      <c r="P41" s="112">
        <f t="shared" si="20"/>
        <v>-0.18607200393343593</v>
      </c>
      <c r="Q41" s="112">
        <f t="shared" si="20"/>
        <v>0.51668032204397374</v>
      </c>
      <c r="R41" s="112">
        <f t="shared" si="20"/>
        <v>0.41998365221807887</v>
      </c>
      <c r="S41" s="112"/>
      <c r="T41" s="113"/>
      <c r="U41" s="112"/>
      <c r="V41" s="112"/>
      <c r="W41" s="112"/>
      <c r="X41" s="112"/>
      <c r="Y41" s="112"/>
      <c r="Z41" s="114"/>
    </row>
    <row r="42" spans="2:26" ht="16" hidden="1" thickBot="1" x14ac:dyDescent="0.25">
      <c r="B42" s="193"/>
      <c r="C42" s="197" t="s">
        <v>68</v>
      </c>
      <c r="D42" s="148"/>
      <c r="E42" s="148"/>
      <c r="F42" s="148"/>
      <c r="G42" s="148"/>
      <c r="H42" s="148"/>
      <c r="I42" s="148"/>
      <c r="J42" s="148">
        <v>122350.171</v>
      </c>
      <c r="K42" s="149">
        <v>160407.98699999999</v>
      </c>
      <c r="L42" s="149">
        <v>222921.853</v>
      </c>
      <c r="M42" s="149">
        <v>307351.516</v>
      </c>
      <c r="N42" s="149">
        <v>377196.52374309005</v>
      </c>
      <c r="O42" s="149">
        <v>462564.47499999998</v>
      </c>
      <c r="P42" s="149">
        <v>623889.51699999999</v>
      </c>
      <c r="Q42" s="149">
        <v>821664.245</v>
      </c>
      <c r="R42" s="149">
        <v>1001112.808</v>
      </c>
      <c r="S42" s="149">
        <v>1396183.175</v>
      </c>
      <c r="T42" s="150">
        <v>1895380.875</v>
      </c>
      <c r="U42" s="149">
        <v>2589518.19995336</v>
      </c>
      <c r="V42" s="149">
        <v>3830610.1626292891</v>
      </c>
      <c r="W42" s="149">
        <v>5467744.8816974182</v>
      </c>
      <c r="X42" s="149">
        <v>7476735.6646611597</v>
      </c>
      <c r="Y42" s="149">
        <v>9895361.8618050776</v>
      </c>
      <c r="Z42" s="151">
        <v>12799695.841763459</v>
      </c>
    </row>
    <row r="43" spans="2:26" ht="16" hidden="1" thickBot="1" x14ac:dyDescent="0.25">
      <c r="B43" s="193"/>
      <c r="C43" s="196"/>
      <c r="D43" s="147"/>
      <c r="E43" s="147"/>
      <c r="F43" s="147"/>
      <c r="G43" s="147"/>
      <c r="H43" s="147"/>
      <c r="I43" s="147"/>
      <c r="J43" s="147"/>
      <c r="K43" s="112">
        <f t="shared" ref="K43:Z43" si="21">K42/J42-1</f>
        <v>0.31105650028065757</v>
      </c>
      <c r="L43" s="112">
        <f t="shared" si="21"/>
        <v>0.38971791348519336</v>
      </c>
      <c r="M43" s="112">
        <f t="shared" si="21"/>
        <v>0.37874107838140025</v>
      </c>
      <c r="N43" s="112">
        <f t="shared" si="21"/>
        <v>0.22724796887967869</v>
      </c>
      <c r="O43" s="112">
        <f t="shared" si="21"/>
        <v>0.22632221105795325</v>
      </c>
      <c r="P43" s="112">
        <f t="shared" si="21"/>
        <v>0.34876228227427108</v>
      </c>
      <c r="Q43" s="112">
        <f t="shared" si="21"/>
        <v>0.31700280676458292</v>
      </c>
      <c r="R43" s="112">
        <f t="shared" si="21"/>
        <v>0.21839646071005547</v>
      </c>
      <c r="S43" s="112">
        <f t="shared" si="21"/>
        <v>0.39463121822331138</v>
      </c>
      <c r="T43" s="113">
        <f t="shared" si="21"/>
        <v>0.35754456072714103</v>
      </c>
      <c r="U43" s="112">
        <f t="shared" si="21"/>
        <v>0.36622577240754306</v>
      </c>
      <c r="V43" s="112">
        <f t="shared" si="21"/>
        <v>0.47927524228185869</v>
      </c>
      <c r="W43" s="112">
        <f t="shared" si="21"/>
        <v>0.42738223143657561</v>
      </c>
      <c r="X43" s="112">
        <f t="shared" si="21"/>
        <v>0.36742584491982844</v>
      </c>
      <c r="Y43" s="112">
        <f t="shared" si="21"/>
        <v>0.32348692071268093</v>
      </c>
      <c r="Z43" s="114">
        <f t="shared" si="21"/>
        <v>0.29350457522617401</v>
      </c>
    </row>
    <row r="44" spans="2:26" ht="33" hidden="1" thickBot="1" x14ac:dyDescent="0.25">
      <c r="B44" s="194"/>
      <c r="C44" s="120" t="s">
        <v>69</v>
      </c>
      <c r="D44" s="152"/>
      <c r="E44" s="152"/>
      <c r="F44" s="152"/>
      <c r="G44" s="152"/>
      <c r="H44" s="152"/>
      <c r="I44" s="152"/>
      <c r="J44" s="152">
        <v>0.44460433978469877</v>
      </c>
      <c r="K44" s="153">
        <v>0.55219143171468132</v>
      </c>
      <c r="L44" s="153">
        <v>0.37762957227885596</v>
      </c>
      <c r="M44" s="153">
        <v>0.32488852926302142</v>
      </c>
      <c r="N44" s="153">
        <v>0.29307439896122622</v>
      </c>
      <c r="O44" s="153">
        <v>0.60993711633389047</v>
      </c>
      <c r="P44" s="153">
        <v>0.66821376804765253</v>
      </c>
      <c r="Q44" s="153">
        <v>0.85001217255108874</v>
      </c>
      <c r="R44" s="153">
        <v>1.1590418999014545</v>
      </c>
      <c r="S44" s="153"/>
      <c r="T44" s="154"/>
      <c r="U44" s="153"/>
      <c r="V44" s="153"/>
      <c r="W44" s="153"/>
      <c r="X44" s="153"/>
      <c r="Y44" s="153"/>
      <c r="Z44" s="155"/>
    </row>
    <row r="45" spans="2:26" ht="8" hidden="1" customHeight="1" thickBot="1" x14ac:dyDescent="0.25">
      <c r="K45" s="140"/>
      <c r="L45" s="140"/>
      <c r="M45" s="140"/>
      <c r="N45" s="140"/>
      <c r="O45" s="140"/>
      <c r="P45" s="140"/>
      <c r="Q45" s="140"/>
      <c r="R45" s="140"/>
      <c r="S45" s="140"/>
      <c r="T45" s="141"/>
      <c r="U45" s="140"/>
      <c r="V45" s="140"/>
      <c r="W45" s="140"/>
      <c r="X45" s="140"/>
      <c r="Y45" s="140"/>
      <c r="Z45" s="140"/>
    </row>
    <row r="46" spans="2:26" ht="15" customHeight="1" x14ac:dyDescent="0.2">
      <c r="B46" s="198" t="s">
        <v>70</v>
      </c>
      <c r="C46" s="201" t="s">
        <v>71</v>
      </c>
      <c r="D46" s="106"/>
      <c r="E46" s="106"/>
      <c r="F46" s="106"/>
      <c r="G46" s="106"/>
      <c r="H46" s="106"/>
      <c r="I46" s="106"/>
      <c r="J46" s="106">
        <v>55672.096636130002</v>
      </c>
      <c r="K46" s="107">
        <v>68174.447049419992</v>
      </c>
      <c r="L46" s="107">
        <v>82981.091281919988</v>
      </c>
      <c r="M46" s="107">
        <v>79982.387888209996</v>
      </c>
      <c r="N46" s="107">
        <v>75962.981361070008</v>
      </c>
      <c r="O46" s="107">
        <v>68407.381824590004</v>
      </c>
      <c r="P46" s="107">
        <v>56787.982271660003</v>
      </c>
      <c r="Q46" s="107">
        <v>57818.61362216407</v>
      </c>
      <c r="R46" s="107">
        <v>58622</v>
      </c>
      <c r="S46" s="107">
        <v>61784</v>
      </c>
      <c r="T46" s="108">
        <v>65078</v>
      </c>
      <c r="U46" s="107">
        <v>56853.113031735003</v>
      </c>
      <c r="V46" s="107">
        <v>62628.905447306752</v>
      </c>
      <c r="W46" s="107">
        <v>66722.185644876939</v>
      </c>
      <c r="X46" s="107">
        <v>70237.663574437756</v>
      </c>
      <c r="Y46" s="107">
        <v>73724.432854732033</v>
      </c>
      <c r="Z46" s="109">
        <v>77392.398188819687</v>
      </c>
    </row>
    <row r="47" spans="2:26" x14ac:dyDescent="0.2">
      <c r="B47" s="199"/>
      <c r="C47" s="202"/>
      <c r="D47" s="111"/>
      <c r="E47" s="111"/>
      <c r="F47" s="111"/>
      <c r="G47" s="111"/>
      <c r="H47" s="111"/>
      <c r="I47" s="111"/>
      <c r="J47" s="111"/>
      <c r="K47" s="112">
        <f t="shared" ref="K47:Z47" si="22">K46/J46-1</f>
        <v>0.2245712155409687</v>
      </c>
      <c r="L47" s="112">
        <f t="shared" si="22"/>
        <v>0.21718759554832312</v>
      </c>
      <c r="M47" s="112">
        <f t="shared" si="22"/>
        <v>-3.6137189176293161E-2</v>
      </c>
      <c r="N47" s="112">
        <f t="shared" si="22"/>
        <v>-5.0253644999419644E-2</v>
      </c>
      <c r="O47" s="112">
        <f t="shared" si="22"/>
        <v>-9.9464231143936432E-2</v>
      </c>
      <c r="P47" s="112">
        <f t="shared" si="22"/>
        <v>-0.16985593137776311</v>
      </c>
      <c r="Q47" s="112">
        <f t="shared" si="22"/>
        <v>1.8148758051902192E-2</v>
      </c>
      <c r="R47" s="112">
        <f t="shared" si="22"/>
        <v>1.3894943643684377E-2</v>
      </c>
      <c r="S47" s="112">
        <f t="shared" si="22"/>
        <v>5.3938794309303706E-2</v>
      </c>
      <c r="T47" s="113">
        <f t="shared" si="22"/>
        <v>5.3314774051534286E-2</v>
      </c>
      <c r="U47" s="112">
        <f t="shared" si="22"/>
        <v>-0.12638506051607301</v>
      </c>
      <c r="V47" s="134">
        <f t="shared" si="22"/>
        <v>0.10159148914761706</v>
      </c>
      <c r="W47" s="134">
        <f t="shared" si="22"/>
        <v>6.5357683777726105E-2</v>
      </c>
      <c r="X47" s="134">
        <f t="shared" si="22"/>
        <v>5.2688290942260796E-2</v>
      </c>
      <c r="Y47" s="134">
        <f t="shared" si="22"/>
        <v>4.9642443994438956E-2</v>
      </c>
      <c r="Z47" s="135">
        <f t="shared" si="22"/>
        <v>4.9752370985546746E-2</v>
      </c>
    </row>
    <row r="48" spans="2:26" x14ac:dyDescent="0.2">
      <c r="B48" s="199"/>
      <c r="C48" s="202" t="s">
        <v>72</v>
      </c>
      <c r="D48" s="116"/>
      <c r="E48" s="116"/>
      <c r="F48" s="116"/>
      <c r="G48" s="116"/>
      <c r="H48" s="116"/>
      <c r="I48" s="116"/>
      <c r="J48" s="116">
        <v>38786</v>
      </c>
      <c r="K48" s="117">
        <v>56793</v>
      </c>
      <c r="L48" s="117">
        <v>73962</v>
      </c>
      <c r="M48" s="117">
        <v>67976</v>
      </c>
      <c r="N48" s="117">
        <v>74442</v>
      </c>
      <c r="O48" s="117">
        <v>65735</v>
      </c>
      <c r="P48" s="117">
        <v>60205</v>
      </c>
      <c r="Q48" s="117">
        <v>55852</v>
      </c>
      <c r="R48" s="117">
        <v>66937</v>
      </c>
      <c r="S48" s="117">
        <v>65482</v>
      </c>
      <c r="T48" s="118">
        <v>49124</v>
      </c>
      <c r="U48" s="117">
        <v>39476.631928338269</v>
      </c>
      <c r="V48" s="117">
        <v>46311.64124583151</v>
      </c>
      <c r="W48" s="117">
        <v>50952.575015105976</v>
      </c>
      <c r="X48" s="117">
        <v>54868.702783018103</v>
      </c>
      <c r="Y48" s="117">
        <v>58502.829573988143</v>
      </c>
      <c r="Z48" s="119">
        <v>61861.043752688958</v>
      </c>
    </row>
    <row r="49" spans="2:26" x14ac:dyDescent="0.2">
      <c r="B49" s="199"/>
      <c r="C49" s="202"/>
      <c r="D49" s="111"/>
      <c r="E49" s="111"/>
      <c r="F49" s="111"/>
      <c r="G49" s="111"/>
      <c r="H49" s="111"/>
      <c r="I49" s="111"/>
      <c r="J49" s="111"/>
      <c r="K49" s="112">
        <f t="shared" ref="K49:Z49" si="23">K48/J48-1</f>
        <v>0.46426545660805441</v>
      </c>
      <c r="L49" s="112">
        <f t="shared" si="23"/>
        <v>0.30230838307537899</v>
      </c>
      <c r="M49" s="112">
        <f t="shared" si="23"/>
        <v>-8.093345231335014E-2</v>
      </c>
      <c r="N49" s="112">
        <f t="shared" si="23"/>
        <v>9.5121807696834093E-2</v>
      </c>
      <c r="O49" s="112">
        <f t="shared" si="23"/>
        <v>-0.11696354208645654</v>
      </c>
      <c r="P49" s="112">
        <f t="shared" si="23"/>
        <v>-8.4125656043203767E-2</v>
      </c>
      <c r="Q49" s="112">
        <f t="shared" si="23"/>
        <v>-7.2302964870027409E-2</v>
      </c>
      <c r="R49" s="112">
        <f t="shared" si="23"/>
        <v>0.19847095896297362</v>
      </c>
      <c r="S49" s="112">
        <f t="shared" si="23"/>
        <v>-2.1736857044683755E-2</v>
      </c>
      <c r="T49" s="113">
        <f t="shared" si="23"/>
        <v>-0.24980910784643107</v>
      </c>
      <c r="U49" s="112">
        <f t="shared" si="23"/>
        <v>-0.19638808060544199</v>
      </c>
      <c r="V49" s="134">
        <f t="shared" si="23"/>
        <v>0.17314064000953278</v>
      </c>
      <c r="W49" s="134">
        <f t="shared" si="23"/>
        <v>0.10021095440430305</v>
      </c>
      <c r="X49" s="134">
        <f t="shared" si="23"/>
        <v>7.6858289630133747E-2</v>
      </c>
      <c r="Y49" s="134">
        <f t="shared" si="23"/>
        <v>6.6233145794268866E-2</v>
      </c>
      <c r="Z49" s="135">
        <f t="shared" si="23"/>
        <v>5.7402594082286207E-2</v>
      </c>
    </row>
    <row r="50" spans="2:26" ht="31" customHeight="1" x14ac:dyDescent="0.2">
      <c r="B50" s="199"/>
      <c r="C50" s="115" t="s">
        <v>73</v>
      </c>
      <c r="D50" s="156"/>
      <c r="E50" s="157"/>
      <c r="F50" s="157"/>
      <c r="G50" s="157"/>
      <c r="H50" s="157"/>
      <c r="I50" s="157"/>
      <c r="J50" s="158">
        <f>J46-J48</f>
        <v>16886.096636130002</v>
      </c>
      <c r="K50" s="158">
        <f>K46-K48</f>
        <v>11381.447049419992</v>
      </c>
      <c r="L50" s="158">
        <f>L46-L48</f>
        <v>9019.0912819199875</v>
      </c>
      <c r="M50" s="158">
        <f>M46-M48</f>
        <v>12006.387888209996</v>
      </c>
      <c r="N50" s="158">
        <f>N46-N48</f>
        <v>1520.9813610700076</v>
      </c>
      <c r="O50" s="158">
        <f t="shared" ref="O50:Z50" si="24">O46-O48</f>
        <v>2672.3818245900038</v>
      </c>
      <c r="P50" s="158">
        <f t="shared" si="24"/>
        <v>-3417.0177283399971</v>
      </c>
      <c r="Q50" s="158">
        <f t="shared" si="24"/>
        <v>1966.61362216407</v>
      </c>
      <c r="R50" s="158">
        <f t="shared" si="24"/>
        <v>-8315</v>
      </c>
      <c r="S50" s="158">
        <f t="shared" si="24"/>
        <v>-3698</v>
      </c>
      <c r="T50" s="159">
        <f t="shared" si="24"/>
        <v>15954</v>
      </c>
      <c r="U50" s="158">
        <f t="shared" si="24"/>
        <v>17376.481103396734</v>
      </c>
      <c r="V50" s="158">
        <f t="shared" si="24"/>
        <v>16317.264201475242</v>
      </c>
      <c r="W50" s="158">
        <f t="shared" si="24"/>
        <v>15769.610629770963</v>
      </c>
      <c r="X50" s="158">
        <f t="shared" si="24"/>
        <v>15368.960791419653</v>
      </c>
      <c r="Y50" s="158">
        <f t="shared" si="24"/>
        <v>15221.60328074389</v>
      </c>
      <c r="Z50" s="160">
        <f t="shared" si="24"/>
        <v>15531.354436130729</v>
      </c>
    </row>
    <row r="51" spans="2:26" ht="33" thickBot="1" x14ac:dyDescent="0.25">
      <c r="B51" s="200"/>
      <c r="C51" s="161" t="s">
        <v>74</v>
      </c>
      <c r="D51" s="153"/>
      <c r="E51" s="153"/>
      <c r="F51" s="153"/>
      <c r="G51" s="153"/>
      <c r="H51" s="153"/>
      <c r="I51" s="153"/>
      <c r="J51" s="153">
        <f t="shared" ref="J51:Z51" si="25">(J46+J48)*J17/J6</f>
        <v>0.28227389616698889</v>
      </c>
      <c r="K51" s="162">
        <f t="shared" si="25"/>
        <v>0.29422919202861636</v>
      </c>
      <c r="L51" s="162">
        <f t="shared" si="25"/>
        <v>0.29744132089419428</v>
      </c>
      <c r="M51" s="162">
        <f t="shared" si="25"/>
        <v>0.25524777245388358</v>
      </c>
      <c r="N51" s="162">
        <f t="shared" si="25"/>
        <v>0.24597273917027399</v>
      </c>
      <c r="O51" s="162">
        <f t="shared" si="25"/>
        <v>0.23800400292498444</v>
      </c>
      <c r="P51" s="162">
        <f t="shared" si="25"/>
        <v>0.18210047004569607</v>
      </c>
      <c r="Q51" s="162">
        <f t="shared" si="25"/>
        <v>0.20414788562291653</v>
      </c>
      <c r="R51" s="162">
        <f t="shared" si="25"/>
        <v>0.19500940237466763</v>
      </c>
      <c r="S51" s="162">
        <f t="shared" si="25"/>
        <v>0.24601697838051328</v>
      </c>
      <c r="T51" s="163">
        <f t="shared" si="25"/>
        <v>0.25694675855448096</v>
      </c>
      <c r="U51" s="162">
        <f t="shared" si="25"/>
        <v>0.25388664531759014</v>
      </c>
      <c r="V51" s="162">
        <f t="shared" si="25"/>
        <v>0.2667183497274993</v>
      </c>
      <c r="W51" s="162">
        <f t="shared" si="25"/>
        <v>0.27524398400486122</v>
      </c>
      <c r="X51" s="162">
        <f t="shared" si="25"/>
        <v>0.28122346917669733</v>
      </c>
      <c r="Y51" s="162">
        <f t="shared" si="25"/>
        <v>0.28398464412641045</v>
      </c>
      <c r="Z51" s="164">
        <f t="shared" si="25"/>
        <v>0.28716926577564561</v>
      </c>
    </row>
    <row r="52" spans="2:26" ht="16" x14ac:dyDescent="0.2"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2:26" ht="16" x14ac:dyDescent="0.2"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2:26" x14ac:dyDescent="0.2">
      <c r="U54" s="165"/>
    </row>
    <row r="55" spans="2:26" x14ac:dyDescent="0.2">
      <c r="U55" s="97"/>
    </row>
    <row r="56" spans="2:26" x14ac:dyDescent="0.2">
      <c r="U56" s="99"/>
    </row>
  </sheetData>
  <mergeCells count="15">
    <mergeCell ref="B4:C4"/>
    <mergeCell ref="B6:B15"/>
    <mergeCell ref="B17:B27"/>
    <mergeCell ref="C26:C27"/>
    <mergeCell ref="B29:B38"/>
    <mergeCell ref="C29:C30"/>
    <mergeCell ref="C33:C34"/>
    <mergeCell ref="C35:C36"/>
    <mergeCell ref="C37:C38"/>
    <mergeCell ref="B40:B44"/>
    <mergeCell ref="C40:C41"/>
    <mergeCell ref="C42:C43"/>
    <mergeCell ref="B46:B51"/>
    <mergeCell ref="C46:C47"/>
    <mergeCell ref="C48:C49"/>
  </mergeCells>
  <conditionalFormatting sqref="K7">
    <cfRule type="cellIs" dxfId="96" priority="91" operator="lessThan">
      <formula>0</formula>
    </cfRule>
  </conditionalFormatting>
  <conditionalFormatting sqref="K13">
    <cfRule type="cellIs" dxfId="95" priority="83" operator="lessThan">
      <formula>0</formula>
    </cfRule>
  </conditionalFormatting>
  <conditionalFormatting sqref="K9">
    <cfRule type="cellIs" dxfId="94" priority="96" operator="lessThan">
      <formula>0</formula>
    </cfRule>
  </conditionalFormatting>
  <conditionalFormatting sqref="L9:Z9">
    <cfRule type="cellIs" dxfId="93" priority="97" operator="lessThan">
      <formula>0</formula>
    </cfRule>
  </conditionalFormatting>
  <conditionalFormatting sqref="K9:Z9">
    <cfRule type="cellIs" dxfId="92" priority="93" operator="lessThan">
      <formula>0</formula>
    </cfRule>
    <cfRule type="cellIs" dxfId="91" priority="95" operator="lessThan">
      <formula>0</formula>
    </cfRule>
  </conditionalFormatting>
  <conditionalFormatting sqref="K27">
    <cfRule type="cellIs" dxfId="90" priority="75" operator="lessThan">
      <formula>0</formula>
    </cfRule>
  </conditionalFormatting>
  <conditionalFormatting sqref="L27:Z27">
    <cfRule type="cellIs" dxfId="89" priority="76" operator="lessThan">
      <formula>0</formula>
    </cfRule>
  </conditionalFormatting>
  <conditionalFormatting sqref="K51:Q51 T51:Z51">
    <cfRule type="cellIs" dxfId="88" priority="94" operator="lessThan">
      <formula>0</formula>
    </cfRule>
  </conditionalFormatting>
  <conditionalFormatting sqref="L13:Z13">
    <cfRule type="cellIs" dxfId="87" priority="84" operator="lessThan">
      <formula>0</formula>
    </cfRule>
  </conditionalFormatting>
  <conditionalFormatting sqref="K15">
    <cfRule type="cellIs" dxfId="86" priority="79" operator="lessThan">
      <formula>0</formula>
    </cfRule>
  </conditionalFormatting>
  <conditionalFormatting sqref="L11:Z11">
    <cfRule type="cellIs" dxfId="85" priority="88" operator="lessThan">
      <formula>0</formula>
    </cfRule>
  </conditionalFormatting>
  <conditionalFormatting sqref="K11">
    <cfRule type="cellIs" dxfId="84" priority="87" operator="lessThan">
      <formula>0</formula>
    </cfRule>
  </conditionalFormatting>
  <conditionalFormatting sqref="L15:Z15">
    <cfRule type="cellIs" dxfId="83" priority="80" operator="lessThan">
      <formula>0</formula>
    </cfRule>
  </conditionalFormatting>
  <conditionalFormatting sqref="L7:Z7">
    <cfRule type="cellIs" dxfId="82" priority="92" operator="lessThan">
      <formula>0</formula>
    </cfRule>
  </conditionalFormatting>
  <conditionalFormatting sqref="K7:Z7">
    <cfRule type="cellIs" dxfId="81" priority="89" operator="lessThan">
      <formula>0</formula>
    </cfRule>
    <cfRule type="cellIs" dxfId="80" priority="90" operator="lessThan">
      <formula>0</formula>
    </cfRule>
  </conditionalFormatting>
  <conditionalFormatting sqref="K11:Z11">
    <cfRule type="cellIs" dxfId="79" priority="85" operator="lessThan">
      <formula>0</formula>
    </cfRule>
    <cfRule type="cellIs" dxfId="78" priority="86" operator="lessThan">
      <formula>0</formula>
    </cfRule>
  </conditionalFormatting>
  <conditionalFormatting sqref="K24:K25">
    <cfRule type="cellIs" dxfId="77" priority="71" operator="lessThan">
      <formula>0</formula>
    </cfRule>
  </conditionalFormatting>
  <conditionalFormatting sqref="L25:Z25 L24:W24 Z24">
    <cfRule type="cellIs" dxfId="76" priority="72" operator="lessThan">
      <formula>0</formula>
    </cfRule>
  </conditionalFormatting>
  <conditionalFormatting sqref="K13:Z13">
    <cfRule type="cellIs" dxfId="75" priority="81" operator="lessThan">
      <formula>0</formula>
    </cfRule>
    <cfRule type="cellIs" dxfId="74" priority="82" operator="lessThan">
      <formula>0</formula>
    </cfRule>
  </conditionalFormatting>
  <conditionalFormatting sqref="K15:Z15">
    <cfRule type="cellIs" dxfId="73" priority="77" operator="lessThan">
      <formula>0</formula>
    </cfRule>
    <cfRule type="cellIs" dxfId="72" priority="78" operator="lessThan">
      <formula>0</formula>
    </cfRule>
  </conditionalFormatting>
  <conditionalFormatting sqref="K22">
    <cfRule type="cellIs" dxfId="71" priority="67" operator="lessThan">
      <formula>0</formula>
    </cfRule>
  </conditionalFormatting>
  <conditionalFormatting sqref="L22:W22 Z22">
    <cfRule type="cellIs" dxfId="70" priority="68" operator="lessThan">
      <formula>0</formula>
    </cfRule>
  </conditionalFormatting>
  <conditionalFormatting sqref="K27:Z27">
    <cfRule type="cellIs" dxfId="69" priority="73" operator="lessThan">
      <formula>0</formula>
    </cfRule>
    <cfRule type="cellIs" dxfId="68" priority="74" operator="lessThan">
      <formula>0</formula>
    </cfRule>
  </conditionalFormatting>
  <conditionalFormatting sqref="K25:Z25 K24:W24 Z24">
    <cfRule type="cellIs" dxfId="67" priority="69" operator="lessThan">
      <formula>0</formula>
    </cfRule>
    <cfRule type="cellIs" dxfId="66" priority="70" operator="lessThan">
      <formula>0</formula>
    </cfRule>
  </conditionalFormatting>
  <conditionalFormatting sqref="K20">
    <cfRule type="cellIs" dxfId="65" priority="63" operator="lessThan">
      <formula>0</formula>
    </cfRule>
  </conditionalFormatting>
  <conditionalFormatting sqref="L20:Z20">
    <cfRule type="cellIs" dxfId="64" priority="64" operator="lessThan">
      <formula>0</formula>
    </cfRule>
  </conditionalFormatting>
  <conditionalFormatting sqref="K22:W22 Z22">
    <cfRule type="cellIs" dxfId="63" priority="65" operator="lessThan">
      <formula>0</formula>
    </cfRule>
    <cfRule type="cellIs" dxfId="62" priority="66" operator="lessThan">
      <formula>0</formula>
    </cfRule>
  </conditionalFormatting>
  <conditionalFormatting sqref="K20:Z20">
    <cfRule type="cellIs" dxfId="61" priority="61" operator="lessThan">
      <formula>0</formula>
    </cfRule>
    <cfRule type="cellIs" dxfId="60" priority="62" operator="lessThan">
      <formula>0</formula>
    </cfRule>
  </conditionalFormatting>
  <conditionalFormatting sqref="K18">
    <cfRule type="cellIs" dxfId="59" priority="59" operator="lessThan">
      <formula>0</formula>
    </cfRule>
  </conditionalFormatting>
  <conditionalFormatting sqref="L18:Z18">
    <cfRule type="cellIs" dxfId="58" priority="60" operator="lessThan">
      <formula>0</formula>
    </cfRule>
  </conditionalFormatting>
  <conditionalFormatting sqref="K18:Z18">
    <cfRule type="cellIs" dxfId="57" priority="57" operator="lessThan">
      <formula>0</formula>
    </cfRule>
    <cfRule type="cellIs" dxfId="56" priority="58" operator="lessThan">
      <formula>0</formula>
    </cfRule>
  </conditionalFormatting>
  <conditionalFormatting sqref="K30">
    <cfRule type="cellIs" dxfId="55" priority="55" operator="lessThan">
      <formula>0</formula>
    </cfRule>
  </conditionalFormatting>
  <conditionalFormatting sqref="L30:Z30">
    <cfRule type="cellIs" dxfId="54" priority="56" operator="lessThan">
      <formula>0</formula>
    </cfRule>
  </conditionalFormatting>
  <conditionalFormatting sqref="K30:Z30">
    <cfRule type="cellIs" dxfId="53" priority="53" operator="lessThan">
      <formula>0</formula>
    </cfRule>
    <cfRule type="cellIs" dxfId="52" priority="54" operator="lessThan">
      <formula>0</formula>
    </cfRule>
  </conditionalFormatting>
  <conditionalFormatting sqref="K32">
    <cfRule type="cellIs" dxfId="51" priority="51" operator="lessThan">
      <formula>0</formula>
    </cfRule>
  </conditionalFormatting>
  <conditionalFormatting sqref="L32:Z32">
    <cfRule type="cellIs" dxfId="50" priority="52" operator="lessThan">
      <formula>0</formula>
    </cfRule>
  </conditionalFormatting>
  <conditionalFormatting sqref="K32:Z32">
    <cfRule type="cellIs" dxfId="49" priority="49" operator="lessThan">
      <formula>0</formula>
    </cfRule>
    <cfRule type="cellIs" dxfId="48" priority="50" operator="lessThan">
      <formula>0</formula>
    </cfRule>
  </conditionalFormatting>
  <conditionalFormatting sqref="K34">
    <cfRule type="cellIs" dxfId="47" priority="47" operator="lessThan">
      <formula>0</formula>
    </cfRule>
  </conditionalFormatting>
  <conditionalFormatting sqref="L34:Z34">
    <cfRule type="cellIs" dxfId="46" priority="48" operator="lessThan">
      <formula>0</formula>
    </cfRule>
  </conditionalFormatting>
  <conditionalFormatting sqref="K34:Z34">
    <cfRule type="cellIs" dxfId="45" priority="45" operator="lessThan">
      <formula>0</formula>
    </cfRule>
    <cfRule type="cellIs" dxfId="44" priority="46" operator="lessThan">
      <formula>0</formula>
    </cfRule>
  </conditionalFormatting>
  <conditionalFormatting sqref="K50">
    <cfRule type="cellIs" dxfId="43" priority="43" operator="lessThan">
      <formula>0</formula>
    </cfRule>
  </conditionalFormatting>
  <conditionalFormatting sqref="L50:Z50">
    <cfRule type="cellIs" dxfId="42" priority="44" operator="lessThan">
      <formula>0</formula>
    </cfRule>
  </conditionalFormatting>
  <conditionalFormatting sqref="K50:Z50">
    <cfRule type="cellIs" dxfId="41" priority="41" operator="lessThan">
      <formula>0</formula>
    </cfRule>
    <cfRule type="cellIs" dxfId="40" priority="42" operator="lessThan">
      <formula>0</formula>
    </cfRule>
  </conditionalFormatting>
  <conditionalFormatting sqref="K36">
    <cfRule type="cellIs" dxfId="39" priority="39" operator="lessThan">
      <formula>0</formula>
    </cfRule>
  </conditionalFormatting>
  <conditionalFormatting sqref="L36:Z36">
    <cfRule type="cellIs" dxfId="38" priority="40" operator="lessThan">
      <formula>0</formula>
    </cfRule>
  </conditionalFormatting>
  <conditionalFormatting sqref="K36:Z36">
    <cfRule type="cellIs" dxfId="37" priority="37" operator="lessThan">
      <formula>0</formula>
    </cfRule>
    <cfRule type="cellIs" dxfId="36" priority="38" operator="lessThan">
      <formula>0</formula>
    </cfRule>
  </conditionalFormatting>
  <conditionalFormatting sqref="K38">
    <cfRule type="cellIs" dxfId="35" priority="35" operator="lessThan">
      <formula>0</formula>
    </cfRule>
  </conditionalFormatting>
  <conditionalFormatting sqref="L38:Z38">
    <cfRule type="cellIs" dxfId="34" priority="36" operator="lessThan">
      <formula>0</formula>
    </cfRule>
  </conditionalFormatting>
  <conditionalFormatting sqref="K38:Z38"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K41">
    <cfRule type="cellIs" dxfId="31" priority="31" operator="lessThan">
      <formula>0</formula>
    </cfRule>
  </conditionalFormatting>
  <conditionalFormatting sqref="L41:Z41">
    <cfRule type="cellIs" dxfId="30" priority="32" operator="lessThan">
      <formula>0</formula>
    </cfRule>
  </conditionalFormatting>
  <conditionalFormatting sqref="K41:Z41">
    <cfRule type="cellIs" dxfId="29" priority="29" operator="lessThan">
      <formula>0</formula>
    </cfRule>
    <cfRule type="cellIs" dxfId="28" priority="30" operator="lessThan">
      <formula>0</formula>
    </cfRule>
  </conditionalFormatting>
  <conditionalFormatting sqref="K44">
    <cfRule type="cellIs" dxfId="27" priority="23" operator="lessThan">
      <formula>0</formula>
    </cfRule>
  </conditionalFormatting>
  <conditionalFormatting sqref="L44:Z44">
    <cfRule type="cellIs" dxfId="26" priority="24" operator="lessThan">
      <formula>0</formula>
    </cfRule>
  </conditionalFormatting>
  <conditionalFormatting sqref="K44:Z44">
    <cfRule type="cellIs" dxfId="25" priority="21" operator="lessThan">
      <formula>0</formula>
    </cfRule>
    <cfRule type="cellIs" dxfId="24" priority="22" operator="lessThan">
      <formula>0</formula>
    </cfRule>
  </conditionalFormatting>
  <conditionalFormatting sqref="K43">
    <cfRule type="cellIs" dxfId="23" priority="27" operator="lessThan">
      <formula>0</formula>
    </cfRule>
  </conditionalFormatting>
  <conditionalFormatting sqref="L43:Z43">
    <cfRule type="cellIs" dxfId="22" priority="28" operator="lessThan">
      <formula>0</formula>
    </cfRule>
  </conditionalFormatting>
  <conditionalFormatting sqref="K43:Z43">
    <cfRule type="cellIs" dxfId="21" priority="25" operator="lessThan">
      <formula>0</formula>
    </cfRule>
    <cfRule type="cellIs" dxfId="20" priority="26" operator="lessThan">
      <formula>0</formula>
    </cfRule>
  </conditionalFormatting>
  <conditionalFormatting sqref="R51">
    <cfRule type="cellIs" dxfId="19" priority="20" operator="lessThan">
      <formula>0</formula>
    </cfRule>
  </conditionalFormatting>
  <conditionalFormatting sqref="S51">
    <cfRule type="cellIs" dxfId="18" priority="19" operator="lessThan">
      <formula>0</formula>
    </cfRule>
  </conditionalFormatting>
  <conditionalFormatting sqref="X24">
    <cfRule type="cellIs" dxfId="17" priority="18" operator="lessThan">
      <formula>0</formula>
    </cfRule>
  </conditionalFormatting>
  <conditionalFormatting sqref="X22">
    <cfRule type="cellIs" dxfId="16" priority="15" operator="lessThan">
      <formula>0</formula>
    </cfRule>
  </conditionalFormatting>
  <conditionalFormatting sqref="X24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X22">
    <cfRule type="cellIs" dxfId="13" priority="13" operator="lessThan">
      <formula>0</formula>
    </cfRule>
    <cfRule type="cellIs" dxfId="12" priority="14" operator="lessThan">
      <formula>0</formula>
    </cfRule>
  </conditionalFormatting>
  <conditionalFormatting sqref="Y24">
    <cfRule type="cellIs" dxfId="11" priority="12" operator="lessThan">
      <formula>0</formula>
    </cfRule>
  </conditionalFormatting>
  <conditionalFormatting sqref="Y22">
    <cfRule type="cellIs" dxfId="10" priority="9" operator="lessThan">
      <formula>0</formula>
    </cfRule>
  </conditionalFormatting>
  <conditionalFormatting sqref="Y24">
    <cfRule type="cellIs" dxfId="9" priority="10" operator="lessThan">
      <formula>0</formula>
    </cfRule>
    <cfRule type="cellIs" dxfId="8" priority="11" operator="lessThan">
      <formula>0</formula>
    </cfRule>
  </conditionalFormatting>
  <conditionalFormatting sqref="Y22">
    <cfRule type="cellIs" dxfId="7" priority="7" operator="lessThan">
      <formula>0</formula>
    </cfRule>
    <cfRule type="cellIs" dxfId="6" priority="8" operator="lessThan">
      <formula>0</formula>
    </cfRule>
  </conditionalFormatting>
  <conditionalFormatting sqref="O47:Z47">
    <cfRule type="cellIs" dxfId="5" priority="6" operator="lessThan">
      <formula>0</formula>
    </cfRule>
  </conditionalFormatting>
  <conditionalFormatting sqref="O47:Z47">
    <cfRule type="cellIs" dxfId="4" priority="4" operator="lessThan">
      <formula>0</formula>
    </cfRule>
    <cfRule type="cellIs" dxfId="3" priority="5" operator="lessThan">
      <formula>0</formula>
    </cfRule>
  </conditionalFormatting>
  <conditionalFormatting sqref="O49:Z49">
    <cfRule type="cellIs" dxfId="2" priority="3" operator="lessThan">
      <formula>0</formula>
    </cfRule>
  </conditionalFormatting>
  <conditionalFormatting sqref="O49:Z49">
    <cfRule type="cellIs" dxfId="1" priority="1" operator="lessThan">
      <formula>0</formula>
    </cfRule>
    <cfRule type="cellIs" dxfId="0" priority="2" operator="lessThan">
      <formula>0</formula>
    </cfRule>
  </conditionalFormatting>
  <pageMargins left="0.25" right="0.25" top="0.75" bottom="0.75" header="0.3" footer="0.3"/>
  <pageSetup paperSize="9" scale="58" orientation="landscape" copies="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movilidad</vt:lpstr>
      <vt:lpstr>tabla_macro</vt:lpstr>
      <vt:lpstr>tabla_macro!Print_Area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Di Gresia</dc:creator>
  <cp:lastModifiedBy>Luciano Di Gresia</cp:lastModifiedBy>
  <dcterms:created xsi:type="dcterms:W3CDTF">2020-08-24T20:24:22Z</dcterms:created>
  <dcterms:modified xsi:type="dcterms:W3CDTF">2020-11-11T15:48:09Z</dcterms:modified>
</cp:coreProperties>
</file>