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vilidad" sheetId="1" state="visible" r:id="rId2"/>
    <sheet name="tabla_macro" sheetId="2" state="visible" r:id="rId3"/>
  </sheets>
  <definedNames>
    <definedName function="false" hidden="false" localSheetId="1" name="_xlnm.Print_Area" vbProcedure="false">tabla_macro!$B$4:$Z$53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<sst xmlns="http://schemas.openxmlformats.org/spreadsheetml/2006/main" count="107" uniqueCount="80">
  <si>
    <t xml:space="preserve">ESQUEMAS DE MOVILIDAD PREVISIONAL</t>
  </si>
  <si>
    <t xml:space="preserve">Mes</t>
  </si>
  <si>
    <t xml:space="preserve">Salarios (evol.RIPTE)</t>
  </si>
  <si>
    <t xml:space="preserve">IPC</t>
  </si>
  <si>
    <t xml:space="preserve">Recursos totales SPN (corrientes sin rentas) en miles de pesos</t>
  </si>
  <si>
    <t xml:space="preserve">Recursos tributarios ANSES en miles de pesos</t>
  </si>
  <si>
    <t xml:space="preserve">Impuesto PAIS asignado a ANSES dentro de los recursos tributarios</t>
  </si>
  <si>
    <t xml:space="preserve">Recursos totales ANSES en miles de pesos (sin ingresos no tributarios ni rentas de la propiedad)</t>
  </si>
  <si>
    <t xml:space="preserve">Beneficiarios totales</t>
  </si>
  <si>
    <t xml:space="preserve">Fórmula suspendida</t>
  </si>
  <si>
    <t xml:space="preserve">Fórmula SEPOT v1</t>
  </si>
  <si>
    <t xml:space="preserve">Fórmula ANSES v1</t>
  </si>
  <si>
    <t xml:space="preserve">Fórmula SEPOT v2</t>
  </si>
  <si>
    <t xml:space="preserve">Fórmula SEPOT v3</t>
  </si>
  <si>
    <t xml:space="preserve">Fórmula SEPOT v4</t>
  </si>
  <si>
    <t xml:space="preserve">Fórmula ANSES v2</t>
  </si>
  <si>
    <t xml:space="preserve">Fórmula HACIENDA v1</t>
  </si>
  <si>
    <t xml:space="preserve">RIPTE</t>
  </si>
  <si>
    <t xml:space="preserve">m = 0.7 IPC + 0.3 RIPTE</t>
  </si>
  <si>
    <t xml:space="preserve">RT</t>
  </si>
  <si>
    <t xml:space="preserve">b = (SQRT(1+RT)-1)*1.03</t>
  </si>
  <si>
    <t xml:space="preserve">m (con tope b)</t>
  </si>
  <si>
    <t xml:space="preserve">W</t>
  </si>
  <si>
    <t xml:space="preserve">RTribA</t>
  </si>
  <si>
    <t xml:space="preserve">a = 0.5 W + 0.5 RTribA</t>
  </si>
  <si>
    <t xml:space="preserve">RTotA</t>
  </si>
  <si>
    <t xml:space="preserve">b</t>
  </si>
  <si>
    <t xml:space="preserve">d</t>
  </si>
  <si>
    <t xml:space="preserve">m</t>
  </si>
  <si>
    <t xml:space="preserve">w = RIPTE</t>
  </si>
  <si>
    <t xml:space="preserve">x = RecTribA (sin PAIS)</t>
  </si>
  <si>
    <t xml:space="preserve">RT = SQRT(1+x)-1</t>
  </si>
  <si>
    <t xml:space="preserve">a = 0.7 w + 0.3 RT</t>
  </si>
  <si>
    <t xml:space="preserve">r = RecTotA</t>
  </si>
  <si>
    <t xml:space="preserve">b = 1 + r * 1.03 / (1+ m(marzo))</t>
  </si>
  <si>
    <t xml:space="preserve">m = a en marzo y m = a con tope en b en septiembre</t>
  </si>
  <si>
    <t xml:space="preserve">x = RecTribA (con PAIS)</t>
  </si>
  <si>
    <t xml:space="preserve">a = 0.5 w + 0.5 RT</t>
  </si>
  <si>
    <t xml:space="preserve">RTribA (sin PAIS)</t>
  </si>
  <si>
    <t xml:space="preserve">x = RTotA</t>
  </si>
  <si>
    <t xml:space="preserve">RT = (SQRT(1+x)-1)*1.03</t>
  </si>
  <si>
    <t xml:space="preserve">Suspensión de fórmula</t>
  </si>
  <si>
    <t xml:space="preserve">ESCENARIO MACRO-FISCAL: INDICADORES BASICOS</t>
  </si>
  <si>
    <t xml:space="preserve">Recursos fiscales ANSES en % PBI</t>
  </si>
  <si>
    <t xml:space="preserve">PAIS</t>
  </si>
  <si>
    <t xml:space="preserve">Indicadores</t>
  </si>
  <si>
    <t xml:space="preserve">Actividad</t>
  </si>
  <si>
    <t xml:space="preserve">PIB a valores corrientes</t>
  </si>
  <si>
    <t xml:space="preserve">(mill de $)</t>
  </si>
  <si>
    <t xml:space="preserve">PIB a valores constantes</t>
  </si>
  <si>
    <t xml:space="preserve">(mill de $ del año 2004)</t>
  </si>
  <si>
    <t xml:space="preserve">PIB per cápita a valores constantes</t>
  </si>
  <si>
    <t xml:space="preserve">($ del año 2004)</t>
  </si>
  <si>
    <t xml:space="preserve">(mill de USD)</t>
  </si>
  <si>
    <t xml:space="preserve">PIB per cápita a valores corrientes</t>
  </si>
  <si>
    <t xml:space="preserve">(USD anuales)</t>
  </si>
  <si>
    <t xml:space="preserve">Dólar y precios</t>
  </si>
  <si>
    <t xml:space="preserve">Tipo de cambio promedio</t>
  </si>
  <si>
    <t xml:space="preserve">($/USD)</t>
  </si>
  <si>
    <t xml:space="preserve">Tipo de cambio 31-dic de cada año</t>
  </si>
  <si>
    <t xml:space="preserve">Indice IPC cobertura nacional</t>
  </si>
  <si>
    <t xml:space="preserve">dic-16 = 100 (promedio anual)</t>
  </si>
  <si>
    <t xml:space="preserve">dic-16 = 100 (dic. cada año)</t>
  </si>
  <si>
    <t xml:space="preserve">Tipo de cambio real promedio a valores de MAYO-20</t>
  </si>
  <si>
    <t xml:space="preserve">Empleo y salarios</t>
  </si>
  <si>
    <t xml:space="preserve">Empleo privado registrado</t>
  </si>
  <si>
    <t xml:space="preserve">Índice de productividad</t>
  </si>
  <si>
    <t xml:space="preserve">(dic-17 = 100)</t>
  </si>
  <si>
    <t xml:space="preserve">Salario promedio mensual valores corrientes en $</t>
  </si>
  <si>
    <t xml:space="preserve">Salario promedio mensual valores reales en $ de 2020</t>
  </si>
  <si>
    <t xml:space="preserve">Salario promedio mensual valores corrientes en USD</t>
  </si>
  <si>
    <t xml:space="preserve">BCRA</t>
  </si>
  <si>
    <t xml:space="preserve">Reservas internacionales a diciembre (mill de USD)</t>
  </si>
  <si>
    <t xml:space="preserve">Base monetaria a diciembre de cada (mill de $)</t>
  </si>
  <si>
    <t xml:space="preserve">Deuda (Lebac y otros) en relación a base monetaria</t>
  </si>
  <si>
    <t xml:space="preserve">Sector externo</t>
  </si>
  <si>
    <t xml:space="preserve">Exportaciones (mill de USD)</t>
  </si>
  <si>
    <t xml:space="preserve">Importaciones (mill de USD)</t>
  </si>
  <si>
    <t xml:space="preserve">Balanza comercial (mill de USD)</t>
  </si>
  <si>
    <t xml:space="preserve">Grado de apertura comercial (X+M)/PIB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</si>
</sst>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0%"/>
    <numFmt numFmtId="167" formatCode="0.00%"/>
    <numFmt numFmtId="168" formatCode="[$-409]MMM\-YY"/>
    <numFmt numFmtId="169" formatCode="_(* #,##0_);_(* \(#,##0\);_(* \-??_);_(@_)"/>
    <numFmt numFmtId="170" formatCode="_(* #,##0.0_);_(* \(#,##0.0\);_(* \-??_);_(@_)"/>
    <numFmt numFmtId="171" formatCode="0.0%"/>
    <numFmt numFmtId="172" formatCode="General"/>
    <numFmt numFmtId="173" formatCode="#,##0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FFFF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FFC0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4472C4"/>
        <bgColor rgb="FF0066CC"/>
      </patternFill>
    </fill>
    <fill>
      <patternFill patternType="solid">
        <fgColor rgb="FF548235"/>
        <bgColor rgb="FF339966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E2F0D9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ck">
        <color rgb="FFFF0000"/>
      </right>
      <top style="thin"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>
        <color rgb="FFFF0000"/>
      </right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ck">
        <color rgb="FFFF0000"/>
      </right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ck">
        <color rgb="FFFF0000"/>
      </right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4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6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3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2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4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2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3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3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1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6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4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2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4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2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5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Percent 2" xfId="22"/>
  </cellStyles>
  <dxfs count="1">
    <dxf>
      <font>
        <name val="Calibri"/>
        <charset val="1"/>
        <family val="2"/>
        <color rgb="FF000000"/>
        <sz val="1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Variaciones interanuales del RIPTE en 2020 (supuestas)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movilidad!$BH$17:$BH$28</c:f>
              <c:numCache>
                <c:formatCode>General</c:formatCode>
                <c:ptCount val="12"/>
                <c:pt idx="0">
                  <c:v>0.500759708875826</c:v>
                </c:pt>
                <c:pt idx="1">
                  <c:v>0.535007382870434</c:v>
                </c:pt>
                <c:pt idx="2">
                  <c:v>0.462612670418468</c:v>
                </c:pt>
                <c:pt idx="3">
                  <c:v>0.436164571468916</c:v>
                </c:pt>
                <c:pt idx="4">
                  <c:v>0.394680513278918</c:v>
                </c:pt>
                <c:pt idx="5">
                  <c:v>0.403464056059754</c:v>
                </c:pt>
                <c:pt idx="6">
                  <c:v>0.396146678197943</c:v>
                </c:pt>
                <c:pt idx="7">
                  <c:v>0.378166417608676</c:v>
                </c:pt>
                <c:pt idx="8">
                  <c:v>0.350940139821212</c:v>
                </c:pt>
                <c:pt idx="9">
                  <c:v>0.308490483053874</c:v>
                </c:pt>
                <c:pt idx="10">
                  <c:v>0.316951599432427</c:v>
                </c:pt>
                <c:pt idx="11">
                  <c:v>0.319243782345385</c:v>
                </c:pt>
              </c:numCache>
            </c:numRef>
          </c:val>
        </c:ser>
        <c:gapWidth val="95"/>
        <c:overlap val="-27"/>
        <c:axId val="16894193"/>
        <c:axId val="30291915"/>
      </c:barChart>
      <c:catAx>
        <c:axId val="16894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91915"/>
        <c:crosses val="autoZero"/>
        <c:auto val="1"/>
        <c:lblAlgn val="ctr"/>
        <c:lblOffset val="100"/>
      </c:catAx>
      <c:valAx>
        <c:axId val="30291915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9419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59</xdr:col>
      <xdr:colOff>203760</xdr:colOff>
      <xdr:row>30</xdr:row>
      <xdr:rowOff>32040</xdr:rowOff>
    </xdr:from>
    <xdr:to>
      <xdr:col>64</xdr:col>
      <xdr:colOff>647640</xdr:colOff>
      <xdr:row>52</xdr:row>
      <xdr:rowOff>189720</xdr:rowOff>
    </xdr:to>
    <xdr:graphicFrame>
      <xdr:nvGraphicFramePr>
        <xdr:cNvPr id="0" name="Chart 2"/>
        <xdr:cNvGraphicFramePr/>
      </xdr:nvGraphicFramePr>
      <xdr:xfrm>
        <a:off x="51549840" y="6753240"/>
        <a:ext cx="4425120" cy="434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8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R76" activeCellId="0" sqref="AR76"/>
    </sheetView>
  </sheetViews>
  <sheetFormatPr defaultColWidth="10.28125" defaultRowHeight="15" zeroHeight="false" outlineLevelRow="0" outlineLevelCol="0"/>
  <cols>
    <col collapsed="false" customWidth="true" hidden="false" outlineLevel="0" max="1" min="1" style="0" width="7.33"/>
    <col collapsed="false" customWidth="true" hidden="false" outlineLevel="0" max="3" min="3" style="0" width="11.5"/>
    <col collapsed="false" customWidth="true" hidden="false" outlineLevel="0" max="8" min="5" style="0" width="19.16"/>
    <col collapsed="false" customWidth="true" hidden="false" outlineLevel="0" max="9" min="9" style="0" width="16.66"/>
    <col collapsed="false" customWidth="true" hidden="false" outlineLevel="0" max="13" min="10" style="0" width="10.83"/>
    <col collapsed="false" customWidth="true" hidden="false" outlineLevel="0" max="32" min="32" style="0" width="15"/>
    <col collapsed="false" customWidth="true" hidden="false" outlineLevel="0" max="39" min="39" style="0" width="15"/>
    <col collapsed="false" customWidth="true" hidden="false" outlineLevel="0" max="46" min="46" style="0" width="15"/>
  </cols>
  <sheetData>
    <row r="1" customFormat="false" ht="22.05" hidden="false" customHeight="false" outlineLevel="0" collapsed="false">
      <c r="B1" s="1" t="s">
        <v>0</v>
      </c>
      <c r="I1" s="2" t="n">
        <f aca="false">AVERAGE(I17:I28)/AVERAGE(I5:I16)-1</f>
        <v>0.00443015255463219</v>
      </c>
      <c r="J1" s="2"/>
      <c r="M1" s="0" t="n">
        <v>11</v>
      </c>
      <c r="Q1" s="0" t="n">
        <v>15</v>
      </c>
      <c r="Y1" s="0" t="n">
        <v>23</v>
      </c>
      <c r="AF1" s="0" t="n">
        <v>30</v>
      </c>
      <c r="AM1" s="0" t="n">
        <v>37</v>
      </c>
      <c r="AT1" s="0" t="n">
        <v>44</v>
      </c>
      <c r="BB1" s="0" t="n">
        <v>52</v>
      </c>
      <c r="BF1" s="0" t="n">
        <v>56</v>
      </c>
    </row>
    <row r="2" customFormat="false" ht="15" hidden="false" customHeight="false" outlineLevel="0" collapsed="false">
      <c r="K2" s="3" t="n">
        <v>0</v>
      </c>
      <c r="L2" s="3"/>
      <c r="M2" s="3"/>
      <c r="N2" s="3" t="n">
        <v>1</v>
      </c>
      <c r="O2" s="3"/>
      <c r="P2" s="3"/>
      <c r="Q2" s="3"/>
      <c r="R2" s="4" t="n">
        <v>2</v>
      </c>
      <c r="S2" s="4"/>
      <c r="T2" s="4"/>
      <c r="U2" s="4"/>
      <c r="V2" s="4"/>
      <c r="W2" s="4"/>
      <c r="X2" s="4"/>
      <c r="Y2" s="4"/>
      <c r="Z2" s="3" t="n">
        <v>3</v>
      </c>
      <c r="AA2" s="3"/>
      <c r="AB2" s="3"/>
      <c r="AC2" s="3"/>
      <c r="AD2" s="3"/>
      <c r="AE2" s="3"/>
      <c r="AF2" s="3"/>
      <c r="AG2" s="3" t="n">
        <v>4</v>
      </c>
      <c r="AH2" s="3"/>
      <c r="AI2" s="3"/>
      <c r="AJ2" s="3"/>
      <c r="AK2" s="3"/>
      <c r="AL2" s="3"/>
      <c r="AM2" s="3"/>
      <c r="AN2" s="3" t="n">
        <v>5</v>
      </c>
      <c r="AO2" s="3"/>
      <c r="AP2" s="3"/>
      <c r="AQ2" s="3"/>
      <c r="AR2" s="3"/>
      <c r="AS2" s="3"/>
      <c r="AT2" s="3"/>
      <c r="AU2" s="3" t="n">
        <v>6</v>
      </c>
      <c r="AV2" s="3"/>
      <c r="AW2" s="3"/>
      <c r="AX2" s="3"/>
      <c r="AY2" s="3"/>
      <c r="AZ2" s="3"/>
      <c r="BA2" s="3"/>
      <c r="BB2" s="3"/>
      <c r="BC2" s="3" t="n">
        <v>7</v>
      </c>
      <c r="BD2" s="3"/>
      <c r="BE2" s="3"/>
      <c r="BF2" s="3"/>
    </row>
    <row r="3" customFormat="false" ht="68" hidden="false" customHeight="true" outlineLevel="0" collapsed="false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  <c r="J3" s="6"/>
      <c r="K3" s="7" t="s">
        <v>9</v>
      </c>
      <c r="L3" s="7"/>
      <c r="M3" s="7"/>
      <c r="N3" s="7" t="s">
        <v>10</v>
      </c>
      <c r="O3" s="7"/>
      <c r="P3" s="7"/>
      <c r="Q3" s="7"/>
      <c r="R3" s="8" t="s">
        <v>11</v>
      </c>
      <c r="S3" s="8"/>
      <c r="T3" s="8"/>
      <c r="U3" s="8"/>
      <c r="V3" s="8"/>
      <c r="W3" s="8"/>
      <c r="X3" s="8"/>
      <c r="Y3" s="8"/>
      <c r="Z3" s="7" t="s">
        <v>12</v>
      </c>
      <c r="AA3" s="7"/>
      <c r="AB3" s="7"/>
      <c r="AC3" s="7"/>
      <c r="AD3" s="7"/>
      <c r="AE3" s="7"/>
      <c r="AF3" s="7"/>
      <c r="AG3" s="7" t="s">
        <v>13</v>
      </c>
      <c r="AH3" s="7"/>
      <c r="AI3" s="7"/>
      <c r="AJ3" s="7"/>
      <c r="AK3" s="7"/>
      <c r="AL3" s="7"/>
      <c r="AM3" s="7"/>
      <c r="AN3" s="7" t="s">
        <v>14</v>
      </c>
      <c r="AO3" s="7"/>
      <c r="AP3" s="7"/>
      <c r="AQ3" s="7"/>
      <c r="AR3" s="7"/>
      <c r="AS3" s="7"/>
      <c r="AT3" s="7"/>
      <c r="AU3" s="7" t="s">
        <v>15</v>
      </c>
      <c r="AV3" s="7"/>
      <c r="AW3" s="7"/>
      <c r="AX3" s="7"/>
      <c r="AY3" s="7"/>
      <c r="AZ3" s="7"/>
      <c r="BA3" s="7"/>
      <c r="BB3" s="7"/>
      <c r="BC3" s="9" t="s">
        <v>16</v>
      </c>
      <c r="BD3" s="9"/>
      <c r="BE3" s="9"/>
      <c r="BF3" s="9"/>
    </row>
    <row r="4" customFormat="false" ht="34.2" hidden="false" customHeight="false" outlineLevel="0" collapsed="false">
      <c r="B4" s="5"/>
      <c r="C4" s="5"/>
      <c r="D4" s="5"/>
      <c r="E4" s="5"/>
      <c r="F4" s="5"/>
      <c r="G4" s="5"/>
      <c r="H4" s="5"/>
      <c r="I4" s="6"/>
      <c r="J4" s="6"/>
      <c r="K4" s="10" t="s">
        <v>3</v>
      </c>
      <c r="L4" s="11" t="s">
        <v>17</v>
      </c>
      <c r="M4" s="12" t="s">
        <v>18</v>
      </c>
      <c r="N4" s="13" t="s">
        <v>17</v>
      </c>
      <c r="O4" s="14" t="s">
        <v>19</v>
      </c>
      <c r="P4" s="14" t="s">
        <v>20</v>
      </c>
      <c r="Q4" s="15" t="s">
        <v>21</v>
      </c>
      <c r="R4" s="16" t="s">
        <v>22</v>
      </c>
      <c r="S4" s="11" t="s">
        <v>23</v>
      </c>
      <c r="T4" s="11" t="s">
        <v>24</v>
      </c>
      <c r="U4" s="16" t="s">
        <v>25</v>
      </c>
      <c r="V4" s="11" t="s">
        <v>26</v>
      </c>
      <c r="W4" s="11" t="s">
        <v>3</v>
      </c>
      <c r="X4" s="11" t="s">
        <v>27</v>
      </c>
      <c r="Y4" s="16" t="s">
        <v>28</v>
      </c>
      <c r="Z4" s="13" t="s">
        <v>29</v>
      </c>
      <c r="AA4" s="17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5" t="s">
        <v>35</v>
      </c>
      <c r="AG4" s="13" t="s">
        <v>29</v>
      </c>
      <c r="AH4" s="17" t="s">
        <v>36</v>
      </c>
      <c r="AI4" s="14" t="s">
        <v>31</v>
      </c>
      <c r="AJ4" s="14" t="s">
        <v>32</v>
      </c>
      <c r="AK4" s="14" t="s">
        <v>33</v>
      </c>
      <c r="AL4" s="14" t="s">
        <v>34</v>
      </c>
      <c r="AM4" s="15" t="s">
        <v>35</v>
      </c>
      <c r="AN4" s="13" t="s">
        <v>29</v>
      </c>
      <c r="AO4" s="17" t="s">
        <v>36</v>
      </c>
      <c r="AP4" s="14" t="s">
        <v>31</v>
      </c>
      <c r="AQ4" s="14" t="s">
        <v>37</v>
      </c>
      <c r="AR4" s="14" t="s">
        <v>33</v>
      </c>
      <c r="AS4" s="14" t="s">
        <v>34</v>
      </c>
      <c r="AT4" s="15" t="s">
        <v>35</v>
      </c>
      <c r="AU4" s="18" t="s">
        <v>22</v>
      </c>
      <c r="AV4" s="11" t="s">
        <v>38</v>
      </c>
      <c r="AW4" s="11" t="s">
        <v>24</v>
      </c>
      <c r="AX4" s="16" t="s">
        <v>25</v>
      </c>
      <c r="AY4" s="11" t="s">
        <v>26</v>
      </c>
      <c r="AZ4" s="11" t="s">
        <v>3</v>
      </c>
      <c r="BA4" s="11" t="s">
        <v>27</v>
      </c>
      <c r="BB4" s="19" t="s">
        <v>28</v>
      </c>
      <c r="BC4" s="18" t="s">
        <v>22</v>
      </c>
      <c r="BD4" s="11" t="s">
        <v>39</v>
      </c>
      <c r="BE4" s="14" t="s">
        <v>40</v>
      </c>
      <c r="BF4" s="19" t="s">
        <v>28</v>
      </c>
    </row>
    <row r="5" customFormat="false" ht="15" hidden="false" customHeight="false" outlineLevel="0" collapsed="false">
      <c r="B5" s="20" t="n">
        <v>43466</v>
      </c>
      <c r="C5" s="21" t="n">
        <v>35362.23</v>
      </c>
      <c r="D5" s="22" t="n">
        <v>189.6101</v>
      </c>
      <c r="E5" s="23" t="n">
        <v>267708000</v>
      </c>
      <c r="F5" s="23" t="n">
        <v>41330600</v>
      </c>
      <c r="G5" s="23" t="n">
        <v>0</v>
      </c>
      <c r="H5" s="23" t="n">
        <v>133757500</v>
      </c>
      <c r="I5" s="23" t="n">
        <v>8234417.36892736</v>
      </c>
      <c r="J5" s="23"/>
      <c r="K5" s="24"/>
      <c r="L5" s="25"/>
      <c r="M5" s="26"/>
      <c r="N5" s="24"/>
      <c r="O5" s="27"/>
      <c r="P5" s="25"/>
      <c r="Q5" s="26"/>
      <c r="R5" s="27"/>
      <c r="S5" s="27"/>
      <c r="T5" s="27"/>
      <c r="U5" s="27"/>
      <c r="V5" s="27"/>
      <c r="W5" s="27"/>
      <c r="X5" s="25"/>
      <c r="Y5" s="27"/>
      <c r="Z5" s="24"/>
      <c r="AA5" s="27"/>
      <c r="AB5" s="27"/>
      <c r="AC5" s="27"/>
      <c r="AD5" s="27"/>
      <c r="AE5" s="25"/>
      <c r="AF5" s="26"/>
      <c r="AG5" s="24"/>
      <c r="AH5" s="27"/>
      <c r="AI5" s="27"/>
      <c r="AJ5" s="27"/>
      <c r="AK5" s="27"/>
      <c r="AL5" s="25"/>
      <c r="AM5" s="26"/>
      <c r="AN5" s="24"/>
      <c r="AO5" s="27"/>
      <c r="AP5" s="27"/>
      <c r="AQ5" s="27"/>
      <c r="AR5" s="27"/>
      <c r="AS5" s="25"/>
      <c r="AT5" s="26"/>
      <c r="AU5" s="24"/>
      <c r="AV5" s="27"/>
      <c r="AW5" s="27"/>
      <c r="AX5" s="27"/>
      <c r="AY5" s="27"/>
      <c r="AZ5" s="27"/>
      <c r="BA5" s="25"/>
      <c r="BB5" s="28"/>
      <c r="BC5" s="29"/>
      <c r="BE5" s="30"/>
      <c r="BF5" s="31"/>
    </row>
    <row r="6" customFormat="false" ht="15" hidden="false" customHeight="false" outlineLevel="0" collapsed="false">
      <c r="B6" s="32" t="n">
        <v>43497</v>
      </c>
      <c r="C6" s="33" t="n">
        <v>36733.68</v>
      </c>
      <c r="D6" s="34" t="n">
        <v>196.7501</v>
      </c>
      <c r="E6" s="35" t="n">
        <v>233776100</v>
      </c>
      <c r="F6" s="35" t="n">
        <v>36317700</v>
      </c>
      <c r="G6" s="35" t="n">
        <v>0</v>
      </c>
      <c r="H6" s="35" t="n">
        <v>109694500</v>
      </c>
      <c r="I6" s="35" t="n">
        <v>8237119.62435203</v>
      </c>
      <c r="J6" s="35" t="n">
        <f aca="false">AVERAGE(I5:I7)</f>
        <v>8237119.9199481</v>
      </c>
      <c r="K6" s="36"/>
      <c r="L6" s="37"/>
      <c r="M6" s="38"/>
      <c r="N6" s="36"/>
      <c r="O6" s="39"/>
      <c r="P6" s="37"/>
      <c r="Q6" s="38"/>
      <c r="R6" s="39"/>
      <c r="S6" s="39"/>
      <c r="T6" s="39"/>
      <c r="U6" s="39"/>
      <c r="V6" s="39"/>
      <c r="W6" s="39"/>
      <c r="X6" s="37"/>
      <c r="Y6" s="39"/>
      <c r="Z6" s="36"/>
      <c r="AA6" s="39"/>
      <c r="AB6" s="39"/>
      <c r="AC6" s="39"/>
      <c r="AD6" s="39"/>
      <c r="AE6" s="37"/>
      <c r="AF6" s="38"/>
      <c r="AG6" s="36"/>
      <c r="AH6" s="39"/>
      <c r="AI6" s="39"/>
      <c r="AJ6" s="39"/>
      <c r="AK6" s="39"/>
      <c r="AL6" s="37"/>
      <c r="AM6" s="38"/>
      <c r="AN6" s="36"/>
      <c r="AO6" s="39"/>
      <c r="AP6" s="39"/>
      <c r="AQ6" s="39"/>
      <c r="AR6" s="39"/>
      <c r="AS6" s="37"/>
      <c r="AT6" s="38"/>
      <c r="AU6" s="36"/>
      <c r="AV6" s="39"/>
      <c r="AW6" s="39"/>
      <c r="AX6" s="39"/>
      <c r="AY6" s="39"/>
      <c r="AZ6" s="39"/>
      <c r="BA6" s="37"/>
      <c r="BB6" s="40"/>
      <c r="BC6" s="29"/>
      <c r="BE6" s="30"/>
      <c r="BF6" s="31"/>
    </row>
    <row r="7" customFormat="false" ht="15" hidden="false" customHeight="false" outlineLevel="0" collapsed="false">
      <c r="B7" s="32" t="n">
        <v>43525</v>
      </c>
      <c r="C7" s="33" t="n">
        <v>38884.43</v>
      </c>
      <c r="D7" s="34" t="n">
        <v>205.9571</v>
      </c>
      <c r="E7" s="35" t="n">
        <v>236302200</v>
      </c>
      <c r="F7" s="35" t="n">
        <v>40416500</v>
      </c>
      <c r="G7" s="35" t="n">
        <v>0</v>
      </c>
      <c r="H7" s="35" t="n">
        <v>114062100</v>
      </c>
      <c r="I7" s="35" t="n">
        <v>8239822.76656492</v>
      </c>
      <c r="J7" s="35"/>
      <c r="K7" s="36"/>
      <c r="L7" s="37"/>
      <c r="M7" s="38"/>
      <c r="N7" s="36"/>
      <c r="O7" s="39"/>
      <c r="P7" s="37"/>
      <c r="Q7" s="38"/>
      <c r="R7" s="39"/>
      <c r="S7" s="39"/>
      <c r="T7" s="39"/>
      <c r="U7" s="39"/>
      <c r="V7" s="39"/>
      <c r="W7" s="39"/>
      <c r="X7" s="37"/>
      <c r="Y7" s="39"/>
      <c r="Z7" s="36"/>
      <c r="AA7" s="39"/>
      <c r="AB7" s="39"/>
      <c r="AC7" s="39"/>
      <c r="AD7" s="39"/>
      <c r="AE7" s="37"/>
      <c r="AF7" s="38"/>
      <c r="AG7" s="36"/>
      <c r="AH7" s="39"/>
      <c r="AI7" s="39"/>
      <c r="AJ7" s="39"/>
      <c r="AK7" s="39"/>
      <c r="AL7" s="37"/>
      <c r="AM7" s="38"/>
      <c r="AN7" s="36"/>
      <c r="AO7" s="39"/>
      <c r="AP7" s="39"/>
      <c r="AQ7" s="39"/>
      <c r="AR7" s="39"/>
      <c r="AS7" s="37"/>
      <c r="AT7" s="38"/>
      <c r="AU7" s="36"/>
      <c r="AV7" s="39"/>
      <c r="AW7" s="39"/>
      <c r="AX7" s="39"/>
      <c r="AY7" s="39"/>
      <c r="AZ7" s="39"/>
      <c r="BA7" s="37"/>
      <c r="BB7" s="40"/>
      <c r="BC7" s="29"/>
      <c r="BE7" s="30"/>
      <c r="BF7" s="31"/>
    </row>
    <row r="8" customFormat="false" ht="15" hidden="false" customHeight="false" outlineLevel="0" collapsed="false">
      <c r="B8" s="32" t="n">
        <v>43556</v>
      </c>
      <c r="C8" s="33" t="n">
        <v>39658.15</v>
      </c>
      <c r="D8" s="34" t="n">
        <v>213.0517</v>
      </c>
      <c r="E8" s="35" t="n">
        <v>258425300</v>
      </c>
      <c r="F8" s="35" t="n">
        <v>39315500</v>
      </c>
      <c r="G8" s="35" t="n">
        <v>0</v>
      </c>
      <c r="H8" s="35" t="n">
        <v>118195300</v>
      </c>
      <c r="I8" s="35" t="n">
        <v>8242526.79585706</v>
      </c>
      <c r="J8" s="35"/>
      <c r="K8" s="36"/>
      <c r="L8" s="37"/>
      <c r="M8" s="38"/>
      <c r="N8" s="36"/>
      <c r="O8" s="39"/>
      <c r="P8" s="37"/>
      <c r="Q8" s="38"/>
      <c r="R8" s="39"/>
      <c r="S8" s="39"/>
      <c r="T8" s="39"/>
      <c r="U8" s="39"/>
      <c r="V8" s="39"/>
      <c r="W8" s="39"/>
      <c r="X8" s="37"/>
      <c r="Y8" s="39"/>
      <c r="Z8" s="36"/>
      <c r="AA8" s="39"/>
      <c r="AB8" s="39"/>
      <c r="AC8" s="39"/>
      <c r="AD8" s="39"/>
      <c r="AE8" s="37"/>
      <c r="AF8" s="38"/>
      <c r="AG8" s="36"/>
      <c r="AH8" s="39"/>
      <c r="AI8" s="39"/>
      <c r="AJ8" s="39"/>
      <c r="AK8" s="39"/>
      <c r="AL8" s="37"/>
      <c r="AM8" s="38"/>
      <c r="AN8" s="36"/>
      <c r="AO8" s="39"/>
      <c r="AP8" s="39"/>
      <c r="AQ8" s="39"/>
      <c r="AR8" s="39"/>
      <c r="AS8" s="37"/>
      <c r="AT8" s="38"/>
      <c r="AU8" s="36"/>
      <c r="AV8" s="39"/>
      <c r="AW8" s="39"/>
      <c r="AX8" s="39"/>
      <c r="AY8" s="39"/>
      <c r="AZ8" s="39"/>
      <c r="BA8" s="37"/>
      <c r="BB8" s="40"/>
      <c r="BC8" s="29"/>
      <c r="BE8" s="30"/>
      <c r="BF8" s="31"/>
    </row>
    <row r="9" customFormat="false" ht="15" hidden="false" customHeight="false" outlineLevel="0" collapsed="false">
      <c r="B9" s="32" t="n">
        <v>43586</v>
      </c>
      <c r="C9" s="33" t="n">
        <v>40911.09</v>
      </c>
      <c r="D9" s="34" t="n">
        <v>219.5691</v>
      </c>
      <c r="E9" s="35" t="n">
        <v>306019400</v>
      </c>
      <c r="F9" s="35" t="n">
        <v>45996200</v>
      </c>
      <c r="G9" s="35" t="n">
        <v>0</v>
      </c>
      <c r="H9" s="35" t="n">
        <v>123278900</v>
      </c>
      <c r="I9" s="35" t="n">
        <v>8245231.71251954</v>
      </c>
      <c r="J9" s="35" t="n">
        <f aca="false">AVERAGE(I8:I10)</f>
        <v>8245232.00840673</v>
      </c>
      <c r="K9" s="36"/>
      <c r="L9" s="37"/>
      <c r="M9" s="38"/>
      <c r="N9" s="36"/>
      <c r="O9" s="39"/>
      <c r="P9" s="37"/>
      <c r="Q9" s="38"/>
      <c r="R9" s="39"/>
      <c r="S9" s="39"/>
      <c r="T9" s="39"/>
      <c r="U9" s="39"/>
      <c r="V9" s="39"/>
      <c r="W9" s="39"/>
      <c r="X9" s="37"/>
      <c r="Y9" s="39"/>
      <c r="Z9" s="36"/>
      <c r="AA9" s="39"/>
      <c r="AB9" s="39"/>
      <c r="AC9" s="39"/>
      <c r="AD9" s="39"/>
      <c r="AE9" s="37"/>
      <c r="AF9" s="38"/>
      <c r="AG9" s="36"/>
      <c r="AH9" s="39"/>
      <c r="AI9" s="39"/>
      <c r="AJ9" s="39"/>
      <c r="AK9" s="39"/>
      <c r="AL9" s="37"/>
      <c r="AM9" s="38"/>
      <c r="AN9" s="36"/>
      <c r="AO9" s="39"/>
      <c r="AP9" s="39"/>
      <c r="AQ9" s="39"/>
      <c r="AR9" s="39"/>
      <c r="AS9" s="37"/>
      <c r="AT9" s="38"/>
      <c r="AU9" s="36"/>
      <c r="AV9" s="39"/>
      <c r="AW9" s="39"/>
      <c r="AX9" s="39"/>
      <c r="AY9" s="39"/>
      <c r="AZ9" s="39"/>
      <c r="BA9" s="37"/>
      <c r="BB9" s="40"/>
      <c r="BC9" s="29"/>
      <c r="BE9" s="30"/>
      <c r="BF9" s="31"/>
    </row>
    <row r="10" customFormat="false" ht="15" hidden="false" customHeight="false" outlineLevel="0" collapsed="false">
      <c r="B10" s="32" t="n">
        <v>43617</v>
      </c>
      <c r="C10" s="33" t="n">
        <v>41584.2</v>
      </c>
      <c r="D10" s="34" t="n">
        <v>225.537</v>
      </c>
      <c r="E10" s="35" t="n">
        <v>300933300</v>
      </c>
      <c r="F10" s="35" t="n">
        <v>43997700</v>
      </c>
      <c r="G10" s="35" t="n">
        <v>0</v>
      </c>
      <c r="H10" s="35" t="n">
        <v>122901100</v>
      </c>
      <c r="I10" s="35" t="n">
        <v>8247937.51684359</v>
      </c>
      <c r="J10" s="35"/>
      <c r="K10" s="36"/>
      <c r="L10" s="37"/>
      <c r="M10" s="38"/>
      <c r="N10" s="36"/>
      <c r="O10" s="39"/>
      <c r="P10" s="37"/>
      <c r="Q10" s="38"/>
      <c r="R10" s="39"/>
      <c r="S10" s="39"/>
      <c r="T10" s="39"/>
      <c r="U10" s="39"/>
      <c r="V10" s="39"/>
      <c r="W10" s="39"/>
      <c r="X10" s="37"/>
      <c r="Y10" s="39"/>
      <c r="Z10" s="36"/>
      <c r="AA10" s="39"/>
      <c r="AB10" s="39"/>
      <c r="AC10" s="39"/>
      <c r="AD10" s="39"/>
      <c r="AE10" s="37"/>
      <c r="AF10" s="38"/>
      <c r="AG10" s="36"/>
      <c r="AH10" s="39"/>
      <c r="AI10" s="39"/>
      <c r="AJ10" s="39"/>
      <c r="AK10" s="39"/>
      <c r="AL10" s="37"/>
      <c r="AM10" s="38"/>
      <c r="AN10" s="36"/>
      <c r="AO10" s="39"/>
      <c r="AP10" s="39"/>
      <c r="AQ10" s="39"/>
      <c r="AR10" s="39"/>
      <c r="AS10" s="37"/>
      <c r="AT10" s="38"/>
      <c r="AU10" s="36"/>
      <c r="AV10" s="39"/>
      <c r="AW10" s="39"/>
      <c r="AX10" s="39"/>
      <c r="AY10" s="39"/>
      <c r="AZ10" s="39"/>
      <c r="BA10" s="37"/>
      <c r="BB10" s="40"/>
      <c r="BC10" s="29"/>
      <c r="BE10" s="30"/>
      <c r="BF10" s="31"/>
    </row>
    <row r="11" customFormat="false" ht="15" hidden="false" customHeight="false" outlineLevel="0" collapsed="false">
      <c r="B11" s="32" t="n">
        <v>43647</v>
      </c>
      <c r="C11" s="33" t="n">
        <v>43290.96</v>
      </c>
      <c r="D11" s="34" t="n">
        <v>230.494</v>
      </c>
      <c r="E11" s="35" t="n">
        <v>336232700</v>
      </c>
      <c r="F11" s="35" t="n">
        <v>46588800</v>
      </c>
      <c r="G11" s="35" t="n">
        <v>0</v>
      </c>
      <c r="H11" s="35" t="n">
        <v>152183700</v>
      </c>
      <c r="I11" s="35" t="n">
        <v>8250644.20912048</v>
      </c>
      <c r="J11" s="35"/>
      <c r="K11" s="36"/>
      <c r="L11" s="37"/>
      <c r="M11" s="38"/>
      <c r="N11" s="36"/>
      <c r="O11" s="39"/>
      <c r="P11" s="37"/>
      <c r="Q11" s="38"/>
      <c r="R11" s="39"/>
      <c r="S11" s="39"/>
      <c r="T11" s="39"/>
      <c r="U11" s="39"/>
      <c r="V11" s="39"/>
      <c r="W11" s="39"/>
      <c r="X11" s="37"/>
      <c r="Y11" s="39"/>
      <c r="Z11" s="36"/>
      <c r="AA11" s="39"/>
      <c r="AB11" s="39"/>
      <c r="AC11" s="39"/>
      <c r="AD11" s="39"/>
      <c r="AE11" s="37"/>
      <c r="AF11" s="38"/>
      <c r="AG11" s="36"/>
      <c r="AH11" s="39"/>
      <c r="AI11" s="39"/>
      <c r="AJ11" s="39"/>
      <c r="AK11" s="39"/>
      <c r="AL11" s="37"/>
      <c r="AM11" s="38"/>
      <c r="AN11" s="36"/>
      <c r="AO11" s="39"/>
      <c r="AP11" s="39"/>
      <c r="AQ11" s="39"/>
      <c r="AR11" s="39"/>
      <c r="AS11" s="37"/>
      <c r="AT11" s="38"/>
      <c r="AU11" s="36"/>
      <c r="AV11" s="39"/>
      <c r="AW11" s="39"/>
      <c r="AX11" s="39"/>
      <c r="AY11" s="39"/>
      <c r="AZ11" s="39"/>
      <c r="BA11" s="37"/>
      <c r="BB11" s="40"/>
      <c r="BC11" s="29"/>
      <c r="BE11" s="30"/>
      <c r="BF11" s="31"/>
    </row>
    <row r="12" customFormat="false" ht="15" hidden="false" customHeight="false" outlineLevel="0" collapsed="false">
      <c r="B12" s="32" t="n">
        <v>43678</v>
      </c>
      <c r="C12" s="33" t="n">
        <v>44092.81</v>
      </c>
      <c r="D12" s="34" t="n">
        <v>239.6077</v>
      </c>
      <c r="E12" s="35" t="n">
        <v>319495800</v>
      </c>
      <c r="F12" s="35" t="n">
        <v>50660600</v>
      </c>
      <c r="G12" s="35" t="n">
        <v>0</v>
      </c>
      <c r="H12" s="35" t="n">
        <v>133351800</v>
      </c>
      <c r="I12" s="35" t="n">
        <v>8253351.78964163</v>
      </c>
      <c r="J12" s="35" t="n">
        <f aca="false">AVERAGE(I11:I13)</f>
        <v>8253352.08582021</v>
      </c>
      <c r="K12" s="36"/>
      <c r="L12" s="37"/>
      <c r="M12" s="38"/>
      <c r="N12" s="36"/>
      <c r="O12" s="39"/>
      <c r="P12" s="37"/>
      <c r="Q12" s="38"/>
      <c r="R12" s="39"/>
      <c r="S12" s="39"/>
      <c r="T12" s="39"/>
      <c r="U12" s="39"/>
      <c r="V12" s="39"/>
      <c r="W12" s="39"/>
      <c r="X12" s="37"/>
      <c r="Y12" s="39"/>
      <c r="Z12" s="36"/>
      <c r="AA12" s="39"/>
      <c r="AB12" s="39"/>
      <c r="AC12" s="39"/>
      <c r="AD12" s="39"/>
      <c r="AE12" s="37"/>
      <c r="AF12" s="38"/>
      <c r="AG12" s="36"/>
      <c r="AH12" s="39"/>
      <c r="AI12" s="39"/>
      <c r="AJ12" s="39"/>
      <c r="AK12" s="39"/>
      <c r="AL12" s="37"/>
      <c r="AM12" s="38"/>
      <c r="AN12" s="36"/>
      <c r="AO12" s="39"/>
      <c r="AP12" s="39"/>
      <c r="AQ12" s="39"/>
      <c r="AR12" s="39"/>
      <c r="AS12" s="37"/>
      <c r="AT12" s="38"/>
      <c r="AU12" s="36"/>
      <c r="AV12" s="39"/>
      <c r="AW12" s="39"/>
      <c r="AX12" s="39"/>
      <c r="AY12" s="39"/>
      <c r="AZ12" s="39"/>
      <c r="BA12" s="37"/>
      <c r="BB12" s="40"/>
      <c r="BC12" s="29"/>
      <c r="BE12" s="30"/>
      <c r="BF12" s="31"/>
    </row>
    <row r="13" customFormat="false" ht="15" hidden="false" customHeight="false" outlineLevel="0" collapsed="false">
      <c r="B13" s="32" t="n">
        <v>43709</v>
      </c>
      <c r="C13" s="33" t="n">
        <v>45485.23</v>
      </c>
      <c r="D13" s="34" t="n">
        <v>253.7102</v>
      </c>
      <c r="E13" s="35" t="n">
        <v>302571200</v>
      </c>
      <c r="F13" s="35" t="n">
        <v>50823200</v>
      </c>
      <c r="G13" s="35" t="n">
        <v>0</v>
      </c>
      <c r="H13" s="35" t="n">
        <v>125264200</v>
      </c>
      <c r="I13" s="35" t="n">
        <v>8256060.25869852</v>
      </c>
      <c r="J13" s="35"/>
      <c r="K13" s="36"/>
      <c r="L13" s="37"/>
      <c r="M13" s="41"/>
      <c r="N13" s="36"/>
      <c r="O13" s="39"/>
      <c r="P13" s="37"/>
      <c r="Q13" s="38"/>
      <c r="R13" s="39"/>
      <c r="S13" s="39"/>
      <c r="T13" s="39"/>
      <c r="U13" s="39"/>
      <c r="V13" s="39"/>
      <c r="W13" s="39"/>
      <c r="X13" s="37"/>
      <c r="Y13" s="39"/>
      <c r="Z13" s="36"/>
      <c r="AA13" s="39"/>
      <c r="AB13" s="39"/>
      <c r="AC13" s="39"/>
      <c r="AD13" s="39"/>
      <c r="AE13" s="37"/>
      <c r="AF13" s="38"/>
      <c r="AG13" s="36"/>
      <c r="AH13" s="39"/>
      <c r="AI13" s="39"/>
      <c r="AJ13" s="39"/>
      <c r="AK13" s="39"/>
      <c r="AL13" s="37"/>
      <c r="AM13" s="38"/>
      <c r="AN13" s="36"/>
      <c r="AO13" s="39"/>
      <c r="AP13" s="39"/>
      <c r="AQ13" s="39"/>
      <c r="AR13" s="39"/>
      <c r="AS13" s="37"/>
      <c r="AT13" s="38"/>
      <c r="AU13" s="36"/>
      <c r="AV13" s="39"/>
      <c r="AW13" s="39"/>
      <c r="AX13" s="39"/>
      <c r="AY13" s="39"/>
      <c r="AZ13" s="39"/>
      <c r="BA13" s="37"/>
      <c r="BB13" s="40"/>
      <c r="BC13" s="29"/>
      <c r="BE13" s="30"/>
      <c r="BF13" s="31"/>
    </row>
    <row r="14" customFormat="false" ht="15" hidden="false" customHeight="false" outlineLevel="0" collapsed="false">
      <c r="B14" s="32" t="n">
        <v>43739</v>
      </c>
      <c r="C14" s="33" t="n">
        <v>47834.32</v>
      </c>
      <c r="D14" s="34" t="n">
        <v>262.0661</v>
      </c>
      <c r="E14" s="35" t="n">
        <v>324821100</v>
      </c>
      <c r="F14" s="35" t="n">
        <v>53258600</v>
      </c>
      <c r="G14" s="35" t="n">
        <v>0</v>
      </c>
      <c r="H14" s="35" t="n">
        <v>131800800</v>
      </c>
      <c r="I14" s="35" t="n">
        <v>8258769.61658274</v>
      </c>
      <c r="J14" s="35"/>
      <c r="K14" s="36"/>
      <c r="L14" s="37"/>
      <c r="M14" s="38"/>
      <c r="N14" s="36"/>
      <c r="O14" s="39"/>
      <c r="P14" s="37"/>
      <c r="Q14" s="38"/>
      <c r="R14" s="39"/>
      <c r="S14" s="39"/>
      <c r="T14" s="39"/>
      <c r="U14" s="39"/>
      <c r="V14" s="39"/>
      <c r="W14" s="39"/>
      <c r="X14" s="37"/>
      <c r="Y14" s="39"/>
      <c r="Z14" s="36"/>
      <c r="AA14" s="39"/>
      <c r="AB14" s="39"/>
      <c r="AC14" s="39"/>
      <c r="AD14" s="39"/>
      <c r="AE14" s="37"/>
      <c r="AF14" s="38"/>
      <c r="AG14" s="36"/>
      <c r="AH14" s="39"/>
      <c r="AI14" s="39"/>
      <c r="AJ14" s="39"/>
      <c r="AK14" s="39"/>
      <c r="AL14" s="37"/>
      <c r="AM14" s="38"/>
      <c r="AN14" s="36"/>
      <c r="AO14" s="39"/>
      <c r="AP14" s="39"/>
      <c r="AQ14" s="39"/>
      <c r="AR14" s="39"/>
      <c r="AS14" s="37"/>
      <c r="AT14" s="38"/>
      <c r="AU14" s="36"/>
      <c r="AV14" s="39"/>
      <c r="AW14" s="39"/>
      <c r="AX14" s="39"/>
      <c r="AY14" s="39"/>
      <c r="AZ14" s="39"/>
      <c r="BA14" s="37"/>
      <c r="BB14" s="40"/>
      <c r="BC14" s="29"/>
      <c r="BE14" s="30"/>
      <c r="BF14" s="31"/>
    </row>
    <row r="15" customFormat="false" ht="15" hidden="false" customHeight="false" outlineLevel="0" collapsed="false">
      <c r="B15" s="32" t="n">
        <v>43770</v>
      </c>
      <c r="C15" s="33" t="n">
        <v>48591.6</v>
      </c>
      <c r="D15" s="34" t="n">
        <v>273.2158</v>
      </c>
      <c r="E15" s="35" t="n">
        <v>342531200</v>
      </c>
      <c r="F15" s="35" t="n">
        <v>55753300</v>
      </c>
      <c r="G15" s="35" t="n">
        <v>0</v>
      </c>
      <c r="H15" s="35" t="n">
        <v>145354600</v>
      </c>
      <c r="I15" s="35" t="n">
        <v>8261479.86358597</v>
      </c>
      <c r="J15" s="35" t="n">
        <f aca="false">AVERAGE(I14:I16)</f>
        <v>8261480.16005624</v>
      </c>
      <c r="K15" s="36"/>
      <c r="L15" s="37"/>
      <c r="M15" s="38"/>
      <c r="N15" s="36"/>
      <c r="O15" s="39"/>
      <c r="P15" s="37"/>
      <c r="Q15" s="38"/>
      <c r="R15" s="39"/>
      <c r="S15" s="39"/>
      <c r="T15" s="39"/>
      <c r="U15" s="39"/>
      <c r="V15" s="39"/>
      <c r="W15" s="39"/>
      <c r="X15" s="37"/>
      <c r="Y15" s="39"/>
      <c r="Z15" s="36"/>
      <c r="AA15" s="39"/>
      <c r="AB15" s="39"/>
      <c r="AC15" s="39"/>
      <c r="AD15" s="39"/>
      <c r="AE15" s="37"/>
      <c r="AF15" s="38"/>
      <c r="AG15" s="36"/>
      <c r="AH15" s="39"/>
      <c r="AI15" s="39"/>
      <c r="AJ15" s="39"/>
      <c r="AK15" s="39"/>
      <c r="AL15" s="37"/>
      <c r="AM15" s="38"/>
      <c r="AN15" s="36"/>
      <c r="AO15" s="39"/>
      <c r="AP15" s="39"/>
      <c r="AQ15" s="39"/>
      <c r="AR15" s="39"/>
      <c r="AS15" s="37"/>
      <c r="AT15" s="38"/>
      <c r="AU15" s="36"/>
      <c r="AV15" s="39"/>
      <c r="AW15" s="39"/>
      <c r="AX15" s="39"/>
      <c r="AY15" s="39"/>
      <c r="AZ15" s="39"/>
      <c r="BA15" s="37"/>
      <c r="BB15" s="40"/>
      <c r="BC15" s="29"/>
      <c r="BE15" s="30"/>
      <c r="BF15" s="31"/>
    </row>
    <row r="16" customFormat="false" ht="15" hidden="false" customHeight="false" outlineLevel="0" collapsed="false">
      <c r="B16" s="42" t="n">
        <v>43800</v>
      </c>
      <c r="C16" s="43" t="n">
        <v>49574.33</v>
      </c>
      <c r="D16" s="44" t="n">
        <v>283.4442</v>
      </c>
      <c r="E16" s="35" t="n">
        <v>365268200</v>
      </c>
      <c r="F16" s="35" t="n">
        <v>55138900</v>
      </c>
      <c r="G16" s="35" t="n">
        <v>0</v>
      </c>
      <c r="H16" s="35" t="n">
        <v>150064300</v>
      </c>
      <c r="I16" s="45" t="n">
        <v>8264191</v>
      </c>
      <c r="J16" s="45"/>
      <c r="K16" s="46"/>
      <c r="L16" s="47"/>
      <c r="M16" s="48"/>
      <c r="N16" s="46"/>
      <c r="O16" s="49"/>
      <c r="P16" s="47"/>
      <c r="Q16" s="50"/>
      <c r="R16" s="49"/>
      <c r="S16" s="49"/>
      <c r="T16" s="49"/>
      <c r="U16" s="49"/>
      <c r="V16" s="49"/>
      <c r="W16" s="49"/>
      <c r="X16" s="47"/>
      <c r="Y16" s="49"/>
      <c r="Z16" s="46"/>
      <c r="AA16" s="49"/>
      <c r="AB16" s="49"/>
      <c r="AC16" s="49"/>
      <c r="AD16" s="49"/>
      <c r="AE16" s="47"/>
      <c r="AF16" s="50"/>
      <c r="AG16" s="46"/>
      <c r="AH16" s="49"/>
      <c r="AI16" s="49"/>
      <c r="AJ16" s="49"/>
      <c r="AK16" s="49"/>
      <c r="AL16" s="47"/>
      <c r="AM16" s="50"/>
      <c r="AN16" s="46"/>
      <c r="AO16" s="49"/>
      <c r="AP16" s="49"/>
      <c r="AQ16" s="49"/>
      <c r="AR16" s="49"/>
      <c r="AS16" s="47"/>
      <c r="AT16" s="50"/>
      <c r="AU16" s="46"/>
      <c r="AV16" s="49"/>
      <c r="AW16" s="49"/>
      <c r="AX16" s="49"/>
      <c r="AY16" s="49"/>
      <c r="AZ16" s="49"/>
      <c r="BA16" s="47"/>
      <c r="BB16" s="51"/>
      <c r="BC16" s="52"/>
      <c r="BD16" s="53"/>
      <c r="BE16" s="54"/>
      <c r="BF16" s="55"/>
    </row>
    <row r="17" customFormat="false" ht="15" hidden="false" customHeight="false" outlineLevel="0" collapsed="false">
      <c r="A17" s="56" t="s">
        <v>41</v>
      </c>
      <c r="B17" s="20" t="n">
        <v>43831</v>
      </c>
      <c r="C17" s="21" t="n">
        <v>53070.21</v>
      </c>
      <c r="D17" s="22" t="n">
        <v>289.8299</v>
      </c>
      <c r="E17" s="23" t="n">
        <v>365247200</v>
      </c>
      <c r="F17" s="23" t="n">
        <v>58588700</v>
      </c>
      <c r="G17" s="23" t="n">
        <v>1336043.3807028</v>
      </c>
      <c r="H17" s="23" t="n">
        <v>185572700</v>
      </c>
      <c r="I17" s="23" t="n">
        <v>8267516.96143206</v>
      </c>
      <c r="J17" s="23"/>
      <c r="K17" s="24"/>
      <c r="L17" s="25"/>
      <c r="M17" s="57"/>
      <c r="N17" s="24"/>
      <c r="O17" s="27"/>
      <c r="P17" s="25"/>
      <c r="Q17" s="57"/>
      <c r="R17" s="27"/>
      <c r="S17" s="27"/>
      <c r="T17" s="27"/>
      <c r="U17" s="27"/>
      <c r="V17" s="27"/>
      <c r="W17" s="27"/>
      <c r="X17" s="25"/>
      <c r="Y17" s="58"/>
      <c r="Z17" s="24"/>
      <c r="AA17" s="27"/>
      <c r="AB17" s="27"/>
      <c r="AC17" s="27"/>
      <c r="AD17" s="27"/>
      <c r="AE17" s="25"/>
      <c r="AF17" s="57"/>
      <c r="AG17" s="24"/>
      <c r="AH17" s="27"/>
      <c r="AI17" s="27"/>
      <c r="AJ17" s="27"/>
      <c r="AK17" s="27"/>
      <c r="AL17" s="25"/>
      <c r="AM17" s="57"/>
      <c r="AN17" s="24"/>
      <c r="AO17" s="27"/>
      <c r="AP17" s="27"/>
      <c r="AQ17" s="27"/>
      <c r="AR17" s="27"/>
      <c r="AS17" s="25"/>
      <c r="AT17" s="57"/>
      <c r="AU17" s="24"/>
      <c r="AV17" s="27"/>
      <c r="AW17" s="27"/>
      <c r="AX17" s="27"/>
      <c r="AY17" s="27"/>
      <c r="AZ17" s="27"/>
      <c r="BA17" s="25"/>
      <c r="BB17" s="59"/>
      <c r="BC17" s="29"/>
      <c r="BE17" s="30"/>
      <c r="BF17" s="57"/>
      <c r="BH17" s="60" t="n">
        <f aca="false">C17/C5-1</f>
        <v>0.500759708875826</v>
      </c>
    </row>
    <row r="18" customFormat="false" ht="15" hidden="false" customHeight="false" outlineLevel="0" collapsed="false">
      <c r="A18" s="56"/>
      <c r="B18" s="32" t="n">
        <v>43862</v>
      </c>
      <c r="C18" s="33" t="n">
        <v>56386.47</v>
      </c>
      <c r="D18" s="34" t="n">
        <v>295.666</v>
      </c>
      <c r="E18" s="35" t="n">
        <v>328939800</v>
      </c>
      <c r="F18" s="35" t="n">
        <v>55705500</v>
      </c>
      <c r="G18" s="35" t="n">
        <v>3165610.4348778</v>
      </c>
      <c r="H18" s="35" t="n">
        <v>160359800</v>
      </c>
      <c r="I18" s="35" t="n">
        <v>8270844.26141249</v>
      </c>
      <c r="J18" s="35" t="n">
        <f aca="false">AVERAGE(I17:I19)</f>
        <v>8270844.70777485</v>
      </c>
      <c r="K18" s="36"/>
      <c r="L18" s="37"/>
      <c r="M18" s="61"/>
      <c r="N18" s="36"/>
      <c r="O18" s="39"/>
      <c r="P18" s="37"/>
      <c r="Q18" s="61"/>
      <c r="R18" s="39"/>
      <c r="S18" s="39"/>
      <c r="T18" s="39"/>
      <c r="U18" s="39"/>
      <c r="V18" s="39"/>
      <c r="W18" s="39"/>
      <c r="X18" s="37"/>
      <c r="Y18" s="62"/>
      <c r="Z18" s="36"/>
      <c r="AA18" s="39"/>
      <c r="AB18" s="39"/>
      <c r="AC18" s="39"/>
      <c r="AD18" s="39"/>
      <c r="AE18" s="37"/>
      <c r="AF18" s="61"/>
      <c r="AG18" s="36"/>
      <c r="AH18" s="39"/>
      <c r="AI18" s="39"/>
      <c r="AJ18" s="39"/>
      <c r="AK18" s="39"/>
      <c r="AL18" s="37"/>
      <c r="AM18" s="61"/>
      <c r="AN18" s="36"/>
      <c r="AO18" s="39"/>
      <c r="AP18" s="39"/>
      <c r="AQ18" s="39"/>
      <c r="AR18" s="39"/>
      <c r="AS18" s="37"/>
      <c r="AT18" s="61"/>
      <c r="AU18" s="36"/>
      <c r="AV18" s="39"/>
      <c r="AW18" s="39"/>
      <c r="AX18" s="39"/>
      <c r="AY18" s="39"/>
      <c r="AZ18" s="39"/>
      <c r="BA18" s="37"/>
      <c r="BB18" s="63"/>
      <c r="BC18" s="29"/>
      <c r="BE18" s="30"/>
      <c r="BF18" s="61"/>
      <c r="BH18" s="60" t="n">
        <f aca="false">C18/C6-1</f>
        <v>0.535007382870434</v>
      </c>
    </row>
    <row r="19" customFormat="false" ht="15" hidden="false" customHeight="false" outlineLevel="0" collapsed="false">
      <c r="A19" s="56"/>
      <c r="B19" s="32" t="n">
        <v>43891</v>
      </c>
      <c r="C19" s="33" t="n">
        <v>56872.86</v>
      </c>
      <c r="D19" s="34" t="n">
        <v>305.5515</v>
      </c>
      <c r="E19" s="35" t="n">
        <v>322461800</v>
      </c>
      <c r="F19" s="35" t="n">
        <v>51426700</v>
      </c>
      <c r="G19" s="35" t="n">
        <v>2687961.4525512</v>
      </c>
      <c r="H19" s="35" t="n">
        <v>153109100</v>
      </c>
      <c r="I19" s="35" t="n">
        <v>8274172.90048</v>
      </c>
      <c r="J19" s="35"/>
      <c r="K19" s="36"/>
      <c r="L19" s="37"/>
      <c r="M19" s="64" t="n">
        <v>0.09</v>
      </c>
      <c r="N19" s="65"/>
      <c r="O19" s="60"/>
      <c r="P19" s="66"/>
      <c r="Q19" s="64" t="n">
        <v>0.09</v>
      </c>
      <c r="R19" s="60"/>
      <c r="S19" s="60"/>
      <c r="T19" s="60"/>
      <c r="U19" s="60"/>
      <c r="V19" s="60"/>
      <c r="W19" s="60"/>
      <c r="X19" s="66"/>
      <c r="Y19" s="64" t="n">
        <v>0.09</v>
      </c>
      <c r="Z19" s="65"/>
      <c r="AA19" s="60"/>
      <c r="AB19" s="60"/>
      <c r="AC19" s="60"/>
      <c r="AD19" s="60"/>
      <c r="AE19" s="66"/>
      <c r="AF19" s="64" t="n">
        <v>0.09</v>
      </c>
      <c r="AG19" s="65"/>
      <c r="AH19" s="60"/>
      <c r="AI19" s="60"/>
      <c r="AJ19" s="60"/>
      <c r="AK19" s="60"/>
      <c r="AL19" s="66"/>
      <c r="AM19" s="64" t="n">
        <v>0.09</v>
      </c>
      <c r="AN19" s="65"/>
      <c r="AO19" s="60"/>
      <c r="AP19" s="60"/>
      <c r="AQ19" s="60"/>
      <c r="AR19" s="60"/>
      <c r="AS19" s="66"/>
      <c r="AT19" s="64" t="n">
        <v>0.09</v>
      </c>
      <c r="AU19" s="65"/>
      <c r="AV19" s="60"/>
      <c r="AW19" s="60"/>
      <c r="AX19" s="60"/>
      <c r="AY19" s="60"/>
      <c r="AZ19" s="60"/>
      <c r="BA19" s="66"/>
      <c r="BB19" s="64" t="n">
        <v>0.09</v>
      </c>
      <c r="BC19" s="29"/>
      <c r="BE19" s="30"/>
      <c r="BF19" s="64" t="n">
        <v>0.09</v>
      </c>
      <c r="BH19" s="60" t="n">
        <f aca="false">C19/C7-1</f>
        <v>0.462612670418468</v>
      </c>
    </row>
    <row r="20" customFormat="false" ht="15" hidden="false" customHeight="false" outlineLevel="0" collapsed="false">
      <c r="A20" s="56"/>
      <c r="B20" s="32" t="n">
        <v>43922</v>
      </c>
      <c r="C20" s="33" t="n">
        <v>56955.63</v>
      </c>
      <c r="D20" s="34" t="n">
        <v>310.1243</v>
      </c>
      <c r="E20" s="35" t="n">
        <v>297744300</v>
      </c>
      <c r="F20" s="35" t="n">
        <v>55397900</v>
      </c>
      <c r="G20" s="35" t="n">
        <v>1916920.860225</v>
      </c>
      <c r="H20" s="35" t="n">
        <v>139944300</v>
      </c>
      <c r="I20" s="35" t="n">
        <v>8277502.87917352</v>
      </c>
      <c r="J20" s="35"/>
      <c r="K20" s="36"/>
      <c r="L20" s="37"/>
      <c r="M20" s="64"/>
      <c r="N20" s="65"/>
      <c r="O20" s="60"/>
      <c r="P20" s="66"/>
      <c r="Q20" s="64"/>
      <c r="R20" s="60"/>
      <c r="S20" s="60"/>
      <c r="T20" s="60"/>
      <c r="U20" s="60"/>
      <c r="V20" s="60"/>
      <c r="W20" s="60"/>
      <c r="X20" s="66"/>
      <c r="Y20" s="64"/>
      <c r="Z20" s="65"/>
      <c r="AA20" s="60"/>
      <c r="AB20" s="60"/>
      <c r="AC20" s="60"/>
      <c r="AD20" s="60"/>
      <c r="AE20" s="66"/>
      <c r="AF20" s="64"/>
      <c r="AG20" s="65"/>
      <c r="AH20" s="60"/>
      <c r="AI20" s="60"/>
      <c r="AJ20" s="60"/>
      <c r="AK20" s="60"/>
      <c r="AL20" s="66"/>
      <c r="AM20" s="64"/>
      <c r="AN20" s="65"/>
      <c r="AO20" s="60"/>
      <c r="AP20" s="60"/>
      <c r="AQ20" s="60"/>
      <c r="AR20" s="60"/>
      <c r="AS20" s="66"/>
      <c r="AT20" s="64"/>
      <c r="AU20" s="65"/>
      <c r="AV20" s="60"/>
      <c r="AW20" s="60"/>
      <c r="AX20" s="60"/>
      <c r="AY20" s="60"/>
      <c r="AZ20" s="60"/>
      <c r="BA20" s="66"/>
      <c r="BB20" s="64"/>
      <c r="BC20" s="29"/>
      <c r="BE20" s="30"/>
      <c r="BF20" s="64"/>
      <c r="BH20" s="60" t="n">
        <f aca="false">C20/C8-1</f>
        <v>0.436164571468916</v>
      </c>
    </row>
    <row r="21" customFormat="false" ht="15" hidden="false" customHeight="false" outlineLevel="0" collapsed="false">
      <c r="A21" s="56"/>
      <c r="B21" s="32" t="n">
        <v>43952</v>
      </c>
      <c r="C21" s="33" t="n">
        <v>57057.9</v>
      </c>
      <c r="D21" s="34" t="n">
        <v>314.9087</v>
      </c>
      <c r="E21" s="35" t="n">
        <v>313122320</v>
      </c>
      <c r="F21" s="35" t="n">
        <v>48512900</v>
      </c>
      <c r="G21" s="35" t="n">
        <v>5000758.7880684</v>
      </c>
      <c r="H21" s="35" t="n">
        <v>133420200</v>
      </c>
      <c r="I21" s="35" t="n">
        <v>8280834.19803218</v>
      </c>
      <c r="J21" s="35" t="n">
        <f aca="false">AVERAGE(I20:I22)</f>
        <v>8280834.64493368</v>
      </c>
      <c r="K21" s="36"/>
      <c r="L21" s="37"/>
      <c r="M21" s="64"/>
      <c r="N21" s="65"/>
      <c r="O21" s="60"/>
      <c r="P21" s="66"/>
      <c r="Q21" s="64"/>
      <c r="R21" s="60"/>
      <c r="S21" s="60"/>
      <c r="T21" s="60"/>
      <c r="U21" s="60"/>
      <c r="V21" s="60"/>
      <c r="W21" s="60"/>
      <c r="X21" s="66"/>
      <c r="Y21" s="64"/>
      <c r="Z21" s="65"/>
      <c r="AA21" s="60"/>
      <c r="AB21" s="60"/>
      <c r="AC21" s="60"/>
      <c r="AD21" s="60"/>
      <c r="AE21" s="66"/>
      <c r="AF21" s="64"/>
      <c r="AG21" s="65"/>
      <c r="AH21" s="60"/>
      <c r="AI21" s="60"/>
      <c r="AJ21" s="60"/>
      <c r="AK21" s="60"/>
      <c r="AL21" s="66"/>
      <c r="AM21" s="64"/>
      <c r="AN21" s="65"/>
      <c r="AO21" s="60"/>
      <c r="AP21" s="60"/>
      <c r="AQ21" s="60"/>
      <c r="AR21" s="60"/>
      <c r="AS21" s="66"/>
      <c r="AT21" s="64"/>
      <c r="AU21" s="65"/>
      <c r="AV21" s="60"/>
      <c r="AW21" s="60"/>
      <c r="AX21" s="60"/>
      <c r="AY21" s="60"/>
      <c r="AZ21" s="60"/>
      <c r="BA21" s="66"/>
      <c r="BB21" s="64"/>
      <c r="BC21" s="29"/>
      <c r="BE21" s="30"/>
      <c r="BF21" s="64"/>
      <c r="BH21" s="60" t="n">
        <f aca="false">C21/C9-1</f>
        <v>0.394680513278918</v>
      </c>
    </row>
    <row r="22" customFormat="false" ht="15" hidden="false" customHeight="false" outlineLevel="0" collapsed="false">
      <c r="A22" s="56"/>
      <c r="B22" s="32" t="n">
        <v>43983</v>
      </c>
      <c r="C22" s="33" t="n">
        <v>58361.93</v>
      </c>
      <c r="D22" s="34" t="n">
        <v>321.9738</v>
      </c>
      <c r="E22" s="35" t="n">
        <v>382387700</v>
      </c>
      <c r="F22" s="35" t="n">
        <v>68267400</v>
      </c>
      <c r="G22" s="35" t="n">
        <v>5928665.6857848</v>
      </c>
      <c r="H22" s="35" t="n">
        <v>163502400</v>
      </c>
      <c r="I22" s="35" t="n">
        <v>8284166.85759533</v>
      </c>
      <c r="J22" s="35"/>
      <c r="K22" s="36"/>
      <c r="L22" s="37"/>
      <c r="M22" s="64" t="n">
        <v>0.0612</v>
      </c>
      <c r="N22" s="65"/>
      <c r="O22" s="60"/>
      <c r="P22" s="66"/>
      <c r="Q22" s="64" t="n">
        <v>0.0612</v>
      </c>
      <c r="R22" s="60"/>
      <c r="S22" s="60"/>
      <c r="T22" s="60"/>
      <c r="U22" s="60"/>
      <c r="V22" s="60"/>
      <c r="W22" s="60"/>
      <c r="X22" s="66"/>
      <c r="Y22" s="64" t="n">
        <v>0.0612</v>
      </c>
      <c r="Z22" s="65"/>
      <c r="AA22" s="60"/>
      <c r="AB22" s="60"/>
      <c r="AC22" s="60"/>
      <c r="AD22" s="60"/>
      <c r="AE22" s="66"/>
      <c r="AF22" s="64" t="n">
        <v>0.0612</v>
      </c>
      <c r="AG22" s="65"/>
      <c r="AH22" s="60"/>
      <c r="AI22" s="60"/>
      <c r="AJ22" s="60"/>
      <c r="AK22" s="60"/>
      <c r="AL22" s="66"/>
      <c r="AM22" s="64" t="n">
        <v>0.0612</v>
      </c>
      <c r="AN22" s="65"/>
      <c r="AO22" s="60"/>
      <c r="AP22" s="60"/>
      <c r="AQ22" s="60"/>
      <c r="AR22" s="60"/>
      <c r="AS22" s="66"/>
      <c r="AT22" s="64" t="n">
        <v>0.0612</v>
      </c>
      <c r="AU22" s="65"/>
      <c r="AV22" s="60"/>
      <c r="AW22" s="60"/>
      <c r="AX22" s="60"/>
      <c r="AY22" s="60"/>
      <c r="AZ22" s="60"/>
      <c r="BA22" s="66"/>
      <c r="BB22" s="64" t="n">
        <v>0.0612</v>
      </c>
      <c r="BC22" s="29"/>
      <c r="BE22" s="30"/>
      <c r="BF22" s="64" t="n">
        <v>0.0612</v>
      </c>
      <c r="BH22" s="60" t="n">
        <f aca="false">C22/C10-1</f>
        <v>0.403464056059754</v>
      </c>
    </row>
    <row r="23" customFormat="false" ht="15" hidden="false" customHeight="false" outlineLevel="0" collapsed="false">
      <c r="A23" s="56"/>
      <c r="B23" s="32" t="n">
        <v>44013</v>
      </c>
      <c r="C23" s="33" t="n">
        <v>60440.53</v>
      </c>
      <c r="D23" s="34" t="n">
        <v>328.2014</v>
      </c>
      <c r="E23" s="35" t="n">
        <v>412682500</v>
      </c>
      <c r="F23" s="35" t="n">
        <v>66066000</v>
      </c>
      <c r="G23" s="35" t="n">
        <v>8407515.5049228</v>
      </c>
      <c r="H23" s="35" t="n">
        <v>189715300</v>
      </c>
      <c r="I23" s="35" t="n">
        <v>8287500.85840256</v>
      </c>
      <c r="J23" s="35"/>
      <c r="K23" s="36"/>
      <c r="L23" s="37"/>
      <c r="M23" s="64"/>
      <c r="N23" s="65"/>
      <c r="O23" s="60"/>
      <c r="P23" s="66"/>
      <c r="Q23" s="64"/>
      <c r="R23" s="60"/>
      <c r="S23" s="60"/>
      <c r="T23" s="60"/>
      <c r="U23" s="60"/>
      <c r="V23" s="60"/>
      <c r="W23" s="60"/>
      <c r="X23" s="66"/>
      <c r="Y23" s="64"/>
      <c r="Z23" s="65"/>
      <c r="AA23" s="60"/>
      <c r="AB23" s="60"/>
      <c r="AC23" s="60"/>
      <c r="AD23" s="60"/>
      <c r="AE23" s="66"/>
      <c r="AF23" s="64"/>
      <c r="AG23" s="65"/>
      <c r="AH23" s="60"/>
      <c r="AI23" s="60"/>
      <c r="AJ23" s="60"/>
      <c r="AK23" s="60"/>
      <c r="AL23" s="66"/>
      <c r="AM23" s="64"/>
      <c r="AN23" s="65"/>
      <c r="AO23" s="60"/>
      <c r="AP23" s="60"/>
      <c r="AQ23" s="60"/>
      <c r="AR23" s="60"/>
      <c r="AS23" s="66"/>
      <c r="AT23" s="64"/>
      <c r="AU23" s="65"/>
      <c r="AV23" s="60"/>
      <c r="AW23" s="60"/>
      <c r="AX23" s="60"/>
      <c r="AY23" s="60"/>
      <c r="AZ23" s="60"/>
      <c r="BA23" s="66"/>
      <c r="BB23" s="64"/>
      <c r="BC23" s="29"/>
      <c r="BE23" s="30"/>
      <c r="BF23" s="64"/>
      <c r="BH23" s="60" t="n">
        <f aca="false">C23/C11-1</f>
        <v>0.396146678197943</v>
      </c>
    </row>
    <row r="24" customFormat="false" ht="15" hidden="false" customHeight="false" outlineLevel="0" collapsed="false">
      <c r="A24" s="56"/>
      <c r="B24" s="32" t="n">
        <v>44044</v>
      </c>
      <c r="C24" s="33" t="n">
        <v>60767.23</v>
      </c>
      <c r="D24" s="34" t="n">
        <v>337.0632</v>
      </c>
      <c r="E24" s="35" t="n">
        <v>412648600</v>
      </c>
      <c r="F24" s="35" t="n">
        <v>70202200</v>
      </c>
      <c r="G24" s="35" t="n">
        <v>9193177.3973466</v>
      </c>
      <c r="H24" s="35" t="n">
        <v>171605000</v>
      </c>
      <c r="I24" s="35" t="n">
        <v>8290836.20099365</v>
      </c>
      <c r="J24" s="35" t="n">
        <f aca="false">AVERAGE(I23:I25)</f>
        <v>8290836.64843494</v>
      </c>
      <c r="K24" s="36"/>
      <c r="L24" s="37"/>
      <c r="M24" s="64"/>
      <c r="N24" s="65"/>
      <c r="O24" s="60"/>
      <c r="P24" s="66"/>
      <c r="Q24" s="64"/>
      <c r="R24" s="60"/>
      <c r="S24" s="60"/>
      <c r="T24" s="60"/>
      <c r="U24" s="60"/>
      <c r="V24" s="60"/>
      <c r="W24" s="60"/>
      <c r="X24" s="66"/>
      <c r="Y24" s="64"/>
      <c r="Z24" s="65"/>
      <c r="AA24" s="60"/>
      <c r="AB24" s="60"/>
      <c r="AC24" s="60"/>
      <c r="AD24" s="60"/>
      <c r="AE24" s="66"/>
      <c r="AF24" s="64"/>
      <c r="AG24" s="65"/>
      <c r="AH24" s="60"/>
      <c r="AI24" s="60"/>
      <c r="AJ24" s="60"/>
      <c r="AK24" s="60"/>
      <c r="AL24" s="66"/>
      <c r="AM24" s="64"/>
      <c r="AN24" s="65"/>
      <c r="AO24" s="60"/>
      <c r="AP24" s="60"/>
      <c r="AQ24" s="60"/>
      <c r="AR24" s="60"/>
      <c r="AS24" s="66"/>
      <c r="AT24" s="64"/>
      <c r="AU24" s="65"/>
      <c r="AV24" s="60"/>
      <c r="AW24" s="60"/>
      <c r="AX24" s="60"/>
      <c r="AY24" s="60"/>
      <c r="AZ24" s="60"/>
      <c r="BA24" s="66"/>
      <c r="BB24" s="64"/>
      <c r="BC24" s="29"/>
      <c r="BE24" s="30"/>
      <c r="BF24" s="64"/>
      <c r="BH24" s="60" t="n">
        <f aca="false">C24/C12-1</f>
        <v>0.378166417608676</v>
      </c>
    </row>
    <row r="25" customFormat="false" ht="15" hidden="false" customHeight="false" outlineLevel="0" collapsed="false">
      <c r="A25" s="56"/>
      <c r="B25" s="32" t="n">
        <v>44075</v>
      </c>
      <c r="C25" s="67" t="n">
        <v>61447.822976</v>
      </c>
      <c r="D25" s="34" t="n">
        <v>346.5009696</v>
      </c>
      <c r="E25" s="35" t="n">
        <v>431813206.965763</v>
      </c>
      <c r="F25" s="35" t="n">
        <v>78416279.0686393</v>
      </c>
      <c r="G25" s="35" t="n">
        <v>8760350.670414</v>
      </c>
      <c r="H25" s="35" t="n">
        <v>183687093.99849</v>
      </c>
      <c r="I25" s="35" t="n">
        <v>8294172.8859086</v>
      </c>
      <c r="J25" s="35"/>
      <c r="K25" s="36"/>
      <c r="L25" s="37"/>
      <c r="M25" s="68" t="n">
        <v>0.075</v>
      </c>
      <c r="N25" s="65"/>
      <c r="O25" s="60"/>
      <c r="P25" s="66"/>
      <c r="Q25" s="68" t="n">
        <v>0.075</v>
      </c>
      <c r="R25" s="69"/>
      <c r="S25" s="69"/>
      <c r="T25" s="69"/>
      <c r="U25" s="69"/>
      <c r="V25" s="69"/>
      <c r="W25" s="69"/>
      <c r="X25" s="70"/>
      <c r="Y25" s="68" t="n">
        <v>0.075</v>
      </c>
      <c r="Z25" s="65"/>
      <c r="AA25" s="60"/>
      <c r="AB25" s="60"/>
      <c r="AC25" s="60"/>
      <c r="AD25" s="60"/>
      <c r="AE25" s="66"/>
      <c r="AF25" s="68" t="n">
        <v>0.075</v>
      </c>
      <c r="AG25" s="65"/>
      <c r="AH25" s="60"/>
      <c r="AI25" s="60"/>
      <c r="AJ25" s="60"/>
      <c r="AK25" s="60"/>
      <c r="AL25" s="66"/>
      <c r="AM25" s="68" t="n">
        <v>0.075</v>
      </c>
      <c r="AN25" s="65"/>
      <c r="AO25" s="60"/>
      <c r="AP25" s="60"/>
      <c r="AQ25" s="60"/>
      <c r="AR25" s="60"/>
      <c r="AS25" s="66"/>
      <c r="AT25" s="68" t="n">
        <v>0.075</v>
      </c>
      <c r="AU25" s="71"/>
      <c r="AV25" s="69"/>
      <c r="AW25" s="69"/>
      <c r="AX25" s="69"/>
      <c r="AY25" s="69"/>
      <c r="AZ25" s="69"/>
      <c r="BA25" s="70"/>
      <c r="BB25" s="68" t="n">
        <v>0.075</v>
      </c>
      <c r="BC25" s="29"/>
      <c r="BE25" s="30"/>
      <c r="BF25" s="68" t="n">
        <v>0.075</v>
      </c>
      <c r="BH25" s="60" t="n">
        <f aca="false">C25/C13-1</f>
        <v>0.350940139821212</v>
      </c>
    </row>
    <row r="26" customFormat="false" ht="15" hidden="false" customHeight="false" outlineLevel="0" collapsed="false">
      <c r="A26" s="56"/>
      <c r="B26" s="32" t="n">
        <v>44105</v>
      </c>
      <c r="C26" s="67" t="n">
        <v>62590.7524833536</v>
      </c>
      <c r="D26" s="34" t="n">
        <v>357.2424996576</v>
      </c>
      <c r="E26" s="35" t="n">
        <v>429187195.864179</v>
      </c>
      <c r="F26" s="35" t="n">
        <v>75933766.875279</v>
      </c>
      <c r="G26" s="35" t="n">
        <v>3364728.20662205</v>
      </c>
      <c r="H26" s="35" t="n">
        <v>180435890.579118</v>
      </c>
      <c r="I26" s="35" t="n">
        <v>8297510.91368765</v>
      </c>
      <c r="J26" s="35"/>
      <c r="K26" s="36"/>
      <c r="L26" s="37"/>
      <c r="M26" s="64"/>
      <c r="N26" s="65"/>
      <c r="O26" s="60"/>
      <c r="P26" s="66"/>
      <c r="Q26" s="64"/>
      <c r="R26" s="60"/>
      <c r="S26" s="60"/>
      <c r="T26" s="60"/>
      <c r="U26" s="60"/>
      <c r="V26" s="60"/>
      <c r="W26" s="60"/>
      <c r="X26" s="66"/>
      <c r="Y26" s="72"/>
      <c r="Z26" s="65"/>
      <c r="AA26" s="60"/>
      <c r="AB26" s="60"/>
      <c r="AC26" s="60"/>
      <c r="AD26" s="60"/>
      <c r="AE26" s="66"/>
      <c r="AF26" s="64"/>
      <c r="AG26" s="65"/>
      <c r="AH26" s="60"/>
      <c r="AI26" s="60"/>
      <c r="AJ26" s="60"/>
      <c r="AK26" s="60"/>
      <c r="AL26" s="66"/>
      <c r="AM26" s="64"/>
      <c r="AN26" s="65"/>
      <c r="AO26" s="60"/>
      <c r="AP26" s="60"/>
      <c r="AQ26" s="60"/>
      <c r="AR26" s="60"/>
      <c r="AS26" s="66"/>
      <c r="AT26" s="64"/>
      <c r="AU26" s="65"/>
      <c r="AV26" s="60"/>
      <c r="AW26" s="60"/>
      <c r="AX26" s="60"/>
      <c r="AY26" s="60"/>
      <c r="AZ26" s="60"/>
      <c r="BA26" s="66"/>
      <c r="BB26" s="73"/>
      <c r="BC26" s="29"/>
      <c r="BE26" s="30"/>
      <c r="BF26" s="64"/>
      <c r="BH26" s="60" t="n">
        <f aca="false">C26/C14-1</f>
        <v>0.308490483053874</v>
      </c>
    </row>
    <row r="27" customFormat="false" ht="15" hidden="false" customHeight="false" outlineLevel="0" collapsed="false">
      <c r="A27" s="56"/>
      <c r="B27" s="32" t="n">
        <v>44136</v>
      </c>
      <c r="C27" s="67" t="n">
        <v>63992.7853389807</v>
      </c>
      <c r="D27" s="34" t="n">
        <v>367.245289648013</v>
      </c>
      <c r="E27" s="35" t="n">
        <v>411465972.418591</v>
      </c>
      <c r="F27" s="35" t="n">
        <v>72732819.9910586</v>
      </c>
      <c r="G27" s="35" t="n">
        <v>3343942.69926592</v>
      </c>
      <c r="H27" s="35" t="n">
        <v>179652522.051436</v>
      </c>
      <c r="I27" s="35" t="n">
        <v>8300850.28487123</v>
      </c>
      <c r="J27" s="35" t="n">
        <f aca="false">AVERAGE(I26:I28)</f>
        <v>8300850.73285296</v>
      </c>
      <c r="K27" s="36"/>
      <c r="L27" s="37"/>
      <c r="M27" s="64"/>
      <c r="N27" s="65"/>
      <c r="O27" s="60"/>
      <c r="P27" s="66"/>
      <c r="Q27" s="64"/>
      <c r="R27" s="60"/>
      <c r="S27" s="60"/>
      <c r="T27" s="60"/>
      <c r="U27" s="60"/>
      <c r="V27" s="60"/>
      <c r="W27" s="60"/>
      <c r="X27" s="66"/>
      <c r="Y27" s="72"/>
      <c r="Z27" s="65"/>
      <c r="AA27" s="60"/>
      <c r="AB27" s="60"/>
      <c r="AC27" s="60"/>
      <c r="AD27" s="60"/>
      <c r="AE27" s="66"/>
      <c r="AF27" s="64"/>
      <c r="AG27" s="65"/>
      <c r="AH27" s="60"/>
      <c r="AI27" s="60"/>
      <c r="AJ27" s="60"/>
      <c r="AK27" s="60"/>
      <c r="AL27" s="66"/>
      <c r="AM27" s="64"/>
      <c r="AN27" s="65"/>
      <c r="AO27" s="60"/>
      <c r="AP27" s="60"/>
      <c r="AQ27" s="60"/>
      <c r="AR27" s="60"/>
      <c r="AS27" s="66"/>
      <c r="AT27" s="64"/>
      <c r="AU27" s="65"/>
      <c r="AV27" s="60"/>
      <c r="AW27" s="60"/>
      <c r="AX27" s="60"/>
      <c r="AY27" s="60"/>
      <c r="AZ27" s="60"/>
      <c r="BA27" s="66"/>
      <c r="BB27" s="73"/>
      <c r="BC27" s="29"/>
      <c r="BE27" s="30"/>
      <c r="BF27" s="64"/>
      <c r="BH27" s="60" t="n">
        <f aca="false">C27/C15-1</f>
        <v>0.316951599432427</v>
      </c>
    </row>
    <row r="28" customFormat="false" ht="15" hidden="false" customHeight="false" outlineLevel="0" collapsed="false">
      <c r="A28" s="56"/>
      <c r="B28" s="42" t="n">
        <v>44166</v>
      </c>
      <c r="C28" s="74" t="n">
        <v>65400.6266164383</v>
      </c>
      <c r="D28" s="44" t="n">
        <v>375.324686020269</v>
      </c>
      <c r="E28" s="45" t="n">
        <v>409776892.7407</v>
      </c>
      <c r="F28" s="45" t="n">
        <v>72869770.4176858</v>
      </c>
      <c r="G28" s="45" t="n">
        <v>3773909.44942698</v>
      </c>
      <c r="H28" s="45" t="n">
        <v>184891436.49546</v>
      </c>
      <c r="I28" s="45" t="n">
        <v>8304191</v>
      </c>
      <c r="J28" s="45"/>
      <c r="K28" s="46"/>
      <c r="L28" s="47"/>
      <c r="M28" s="75"/>
      <c r="N28" s="76"/>
      <c r="O28" s="77"/>
      <c r="P28" s="78"/>
      <c r="Q28" s="75"/>
      <c r="R28" s="79"/>
      <c r="S28" s="79"/>
      <c r="T28" s="79"/>
      <c r="U28" s="79"/>
      <c r="V28" s="79"/>
      <c r="W28" s="79"/>
      <c r="X28" s="80"/>
      <c r="Y28" s="81"/>
      <c r="Z28" s="76"/>
      <c r="AA28" s="77"/>
      <c r="AB28" s="77"/>
      <c r="AC28" s="77"/>
      <c r="AD28" s="77"/>
      <c r="AE28" s="78"/>
      <c r="AF28" s="75"/>
      <c r="AG28" s="76"/>
      <c r="AH28" s="77"/>
      <c r="AI28" s="77"/>
      <c r="AJ28" s="77"/>
      <c r="AK28" s="77"/>
      <c r="AL28" s="78"/>
      <c r="AM28" s="75"/>
      <c r="AN28" s="76"/>
      <c r="AO28" s="77"/>
      <c r="AP28" s="77"/>
      <c r="AQ28" s="77"/>
      <c r="AR28" s="77"/>
      <c r="AS28" s="78"/>
      <c r="AT28" s="75"/>
      <c r="AU28" s="82"/>
      <c r="AV28" s="79"/>
      <c r="AW28" s="79"/>
      <c r="AX28" s="79"/>
      <c r="AY28" s="79"/>
      <c r="AZ28" s="79"/>
      <c r="BA28" s="80"/>
      <c r="BB28" s="83"/>
      <c r="BC28" s="52"/>
      <c r="BD28" s="53"/>
      <c r="BE28" s="54"/>
      <c r="BF28" s="75"/>
      <c r="BH28" s="60" t="n">
        <f aca="false">C28/C16-1</f>
        <v>0.319243782345385</v>
      </c>
    </row>
    <row r="29" customFormat="false" ht="15" hidden="false" customHeight="false" outlineLevel="0" collapsed="false">
      <c r="B29" s="20" t="n">
        <v>44197</v>
      </c>
      <c r="C29" s="84" t="n">
        <v>66873.612229407</v>
      </c>
      <c r="D29" s="22" t="n">
        <v>383.375400535404</v>
      </c>
      <c r="E29" s="23" t="n">
        <v>509820681.645256</v>
      </c>
      <c r="F29" s="23" t="n">
        <v>78452836.4553134</v>
      </c>
      <c r="G29" s="23" t="n">
        <v>4144545.8860447</v>
      </c>
      <c r="H29" s="23" t="n">
        <v>250020698.85259</v>
      </c>
      <c r="I29" s="23" t="n">
        <v>8308346.21216116</v>
      </c>
      <c r="J29" s="23"/>
      <c r="K29" s="85"/>
      <c r="L29" s="86"/>
      <c r="M29" s="87"/>
      <c r="N29" s="85"/>
      <c r="O29" s="88"/>
      <c r="P29" s="86"/>
      <c r="Q29" s="87"/>
      <c r="R29" s="88"/>
      <c r="S29" s="88"/>
      <c r="T29" s="88"/>
      <c r="U29" s="88"/>
      <c r="V29" s="88"/>
      <c r="W29" s="88"/>
      <c r="X29" s="86"/>
      <c r="Y29" s="88"/>
      <c r="Z29" s="85"/>
      <c r="AA29" s="88"/>
      <c r="AB29" s="88"/>
      <c r="AC29" s="88"/>
      <c r="AD29" s="88"/>
      <c r="AE29" s="86"/>
      <c r="AF29" s="87"/>
      <c r="AG29" s="85"/>
      <c r="AH29" s="88"/>
      <c r="AI29" s="88"/>
      <c r="AJ29" s="88"/>
      <c r="AK29" s="88"/>
      <c r="AL29" s="86"/>
      <c r="AM29" s="87"/>
      <c r="AN29" s="85"/>
      <c r="AO29" s="88"/>
      <c r="AP29" s="88"/>
      <c r="AQ29" s="88"/>
      <c r="AR29" s="88"/>
      <c r="AS29" s="86"/>
      <c r="AT29" s="87"/>
      <c r="AU29" s="85"/>
      <c r="AV29" s="88"/>
      <c r="AW29" s="88"/>
      <c r="AX29" s="88"/>
      <c r="AY29" s="88"/>
      <c r="AZ29" s="88"/>
      <c r="BA29" s="86"/>
      <c r="BB29" s="89"/>
      <c r="BC29" s="29"/>
      <c r="BE29" s="30"/>
      <c r="BF29" s="89"/>
      <c r="BH29" s="60"/>
    </row>
    <row r="30" customFormat="false" ht="15" hidden="false" customHeight="false" outlineLevel="0" collapsed="false">
      <c r="B30" s="32" t="n">
        <v>44228</v>
      </c>
      <c r="C30" s="67" t="n">
        <v>68451.4951099599</v>
      </c>
      <c r="D30" s="34" t="n">
        <v>391.598802876888</v>
      </c>
      <c r="E30" s="35" t="n">
        <v>452884049.365563</v>
      </c>
      <c r="F30" s="35" t="n">
        <v>79334483.8512768</v>
      </c>
      <c r="G30" s="35" t="n">
        <v>4186713.55173957</v>
      </c>
      <c r="H30" s="35" t="n">
        <v>205715036.627977</v>
      </c>
      <c r="I30" s="35" t="n">
        <v>8312503.5034879</v>
      </c>
      <c r="J30" s="35" t="n">
        <f aca="false">AVERAGE(I29:I31)</f>
        <v>8312504.19688988</v>
      </c>
      <c r="K30" s="29"/>
      <c r="L30" s="30"/>
      <c r="M30" s="90"/>
      <c r="N30" s="29"/>
      <c r="P30" s="30"/>
      <c r="Q30" s="90"/>
      <c r="X30" s="30"/>
      <c r="Z30" s="29"/>
      <c r="AE30" s="30"/>
      <c r="AF30" s="90"/>
      <c r="AG30" s="29"/>
      <c r="AL30" s="30"/>
      <c r="AM30" s="90"/>
      <c r="AN30" s="29"/>
      <c r="AO30" s="91" t="n">
        <f aca="false">AVERAGE($I11:$I16)/AVERAGE($I23:$I28)-1</f>
        <v>-0.00463214702912773</v>
      </c>
      <c r="AS30" s="30"/>
      <c r="AT30" s="90"/>
      <c r="AU30" s="29"/>
      <c r="BA30" s="30"/>
      <c r="BB30" s="31"/>
      <c r="BC30" s="29"/>
      <c r="BE30" s="30"/>
      <c r="BF30" s="31"/>
      <c r="BH30" s="60"/>
    </row>
    <row r="31" customFormat="false" ht="15" hidden="false" customHeight="false" outlineLevel="0" collapsed="false">
      <c r="B31" s="32" t="n">
        <v>44256</v>
      </c>
      <c r="C31" s="67" t="n">
        <v>70066.6081370794</v>
      </c>
      <c r="D31" s="34" t="n">
        <v>399.998597198597</v>
      </c>
      <c r="E31" s="35" t="n">
        <v>450535965.143704</v>
      </c>
      <c r="F31" s="35" t="n">
        <v>80230482.0087218</v>
      </c>
      <c r="G31" s="35" t="n">
        <v>4071267.84998694</v>
      </c>
      <c r="H31" s="35" t="n">
        <v>212024934.63561</v>
      </c>
      <c r="I31" s="35" t="n">
        <v>8316662.87502058</v>
      </c>
      <c r="J31" s="35"/>
      <c r="K31" s="65" t="n">
        <f aca="false">D25/D22-1</f>
        <v>0.0761775324576099</v>
      </c>
      <c r="L31" s="66" t="n">
        <f aca="false">C25/C22-1</f>
        <v>0.0528751015602125</v>
      </c>
      <c r="M31" s="92" t="n">
        <f aca="false">K31*0.7+L31*0.3</f>
        <v>0.0691868031883907</v>
      </c>
      <c r="N31" s="65" t="n">
        <f aca="false">C28/C22-1</f>
        <v>0.120604246919838</v>
      </c>
      <c r="O31" s="60" t="n">
        <f aca="false">(SUM($E23:$E28)/AVERAGE($I23:$I28))/(SUM($E11:$E16)/AVERAGE($I11:$I16))-1</f>
        <v>0.253670998380665</v>
      </c>
      <c r="P31" s="66" t="n">
        <f aca="false">(SQRT(1+O31)-1)*1.03</f>
        <v>0.123264740717433</v>
      </c>
      <c r="Q31" s="92" t="n">
        <f aca="false">IF(N31&gt;P31,P31,N31)</f>
        <v>0.120604246919838</v>
      </c>
      <c r="R31" s="65" t="n">
        <f aca="false">$C28/$C22-1</f>
        <v>0.120604246919838</v>
      </c>
      <c r="S31" s="60" t="n">
        <f aca="false">((SUM($F23:$F28)/AVERAGE($I23:$I28))/(SUM($F11:$F16)/AVERAGE($I11:$I16))-1)/2</f>
        <v>0.195335771280288</v>
      </c>
      <c r="T31" s="60" t="n">
        <f aca="false">R31*0.5+S31*0.5</f>
        <v>0.157970009100063</v>
      </c>
      <c r="U31" s="60" t="n">
        <f aca="false">((SUM($H23:$H28)/AVERAGE($I23:$I28))/(SUM($H11:$H16)/AVERAGE($I11:$I16))-1)/2</f>
        <v>0.147322879371574</v>
      </c>
      <c r="V31" s="60" t="n">
        <f aca="false">IF(T31&gt;U31,U31,T31)</f>
        <v>0.147322879371574</v>
      </c>
      <c r="W31" s="60" t="n">
        <f aca="false">$D28/$D22-1</f>
        <v>0.165699463808139</v>
      </c>
      <c r="X31" s="66" t="n">
        <f aca="false">(V31+W31)/2</f>
        <v>0.156511171589857</v>
      </c>
      <c r="Y31" s="93" t="n">
        <f aca="false">IF(W31&gt;V31,X31,V31)</f>
        <v>0.156511171589857</v>
      </c>
      <c r="Z31" s="65" t="n">
        <f aca="false">AVERAGE($C23:$C28)/AVERAGE($C17:$C22)-1</f>
        <v>0.106094528910919</v>
      </c>
      <c r="AA31" s="60" t="n">
        <f aca="false">(((SUM($F23:$F28)-SUM($G23:$G28))/AVERAGE($I23:$I28))/((SUM($F11:$F16)-SUM($G11:$G16))/AVERAGE($I11:$I16))-1)</f>
        <v>0.273214110334555</v>
      </c>
      <c r="AB31" s="60" t="n">
        <f aca="false">SQRT(1+AA31)-1</f>
        <v>0.128367896713902</v>
      </c>
      <c r="AC31" s="60" t="n">
        <f aca="false">0.7*Z31+0.3*AB31</f>
        <v>0.112776539251814</v>
      </c>
      <c r="AD31" s="60"/>
      <c r="AE31" s="66"/>
      <c r="AF31" s="92" t="n">
        <f aca="false">AC31</f>
        <v>0.112776539251814</v>
      </c>
      <c r="AG31" s="65" t="n">
        <f aca="false">AVERAGE($C23:$C28)/AVERAGE($C17:$C22)-1</f>
        <v>0.106094528910919</v>
      </c>
      <c r="AH31" s="60" t="n">
        <f aca="false">(((SUM($F23:$F28))/AVERAGE($I23:$I28))/((SUM($F11:$F16))/AVERAGE($I11:$I16))-1)</f>
        <v>0.390671542560577</v>
      </c>
      <c r="AI31" s="60" t="n">
        <f aca="false">SQRT(1+AH31)-1</f>
        <v>0.179267375348176</v>
      </c>
      <c r="AJ31" s="60" t="n">
        <f aca="false">0.7*AG31+0.3*AI31</f>
        <v>0.128046382842096</v>
      </c>
      <c r="AK31" s="60"/>
      <c r="AL31" s="66"/>
      <c r="AM31" s="92" t="n">
        <f aca="false">AJ31</f>
        <v>0.128046382842096</v>
      </c>
      <c r="AN31" s="36" t="n">
        <f aca="false">C28/C22-1</f>
        <v>0.120604246919838</v>
      </c>
      <c r="AO31" s="60" t="n">
        <f aca="false">(((SUM($F23:$F28)-SUM($G23:$G28))/AVERAGE($I23:$I28))/((SUM($F11:$F16)-SUM($G11:$G16))/AVERAGE($I11:$I16))-1)</f>
        <v>0.273214110334555</v>
      </c>
      <c r="AP31" s="39" t="n">
        <f aca="false">SQRT(1+AO31)-1</f>
        <v>0.128367896713902</v>
      </c>
      <c r="AQ31" s="60" t="n">
        <f aca="false">0.5*AN31+0.5*AP31</f>
        <v>0.12448607181687</v>
      </c>
      <c r="AR31" s="60"/>
      <c r="AS31" s="66"/>
      <c r="AT31" s="94" t="n">
        <f aca="false">AQ31</f>
        <v>0.12448607181687</v>
      </c>
      <c r="AU31" s="65" t="n">
        <f aca="false">$C28/$C22-1</f>
        <v>0.120604246919838</v>
      </c>
      <c r="AV31" s="60" t="n">
        <f aca="false">(((SUM($F23:$F28)-SUM(G23:G28))/AVERAGE($I23:$I28))/((SUM($F11:$F16)-SUM(G11:G16))/AVERAGE($I11:$I16))-1)/2</f>
        <v>0.136607055167278</v>
      </c>
      <c r="AW31" s="60" t="n">
        <f aca="false">AU31*0.5+AV31*0.5</f>
        <v>0.128605651043558</v>
      </c>
      <c r="AX31" s="60" t="n">
        <f aca="false">((SUM($H23:$H28)/AVERAGE($I23:$I28))/(SUM($H11:$H16)/AVERAGE($I11:$I16))-1)/2</f>
        <v>0.147322879371574</v>
      </c>
      <c r="AY31" s="60" t="n">
        <f aca="false">IF(AW31&gt;AX31,AX31,AW31)</f>
        <v>0.128605651043558</v>
      </c>
      <c r="AZ31" s="60" t="n">
        <f aca="false">$D28/$D22-1</f>
        <v>0.165699463808139</v>
      </c>
      <c r="BA31" s="66" t="n">
        <f aca="false">(AY31+AZ31)/2</f>
        <v>0.147152557425849</v>
      </c>
      <c r="BB31" s="95" t="n">
        <f aca="false">IF(AZ31&gt;AY31,BA31,AY31)</f>
        <v>0.147152557425849</v>
      </c>
      <c r="BC31" s="65" t="n">
        <f aca="false">$C28/$C22-1</f>
        <v>0.120604246919838</v>
      </c>
      <c r="BD31" s="60" t="n">
        <f aca="false">(((SUM($H23:$H28))/AVERAGE($I23:$I28))/((SUM($H11:$H16))/AVERAGE($I11:$I16))-1)</f>
        <v>0.294645758743148</v>
      </c>
      <c r="BE31" s="66" t="n">
        <f aca="false">(SQRT(1+BD31)-1)*1.03</f>
        <v>0.141959762726778</v>
      </c>
      <c r="BF31" s="95" t="n">
        <f aca="false">MIN(BC31,BE31)</f>
        <v>0.120604246919838</v>
      </c>
      <c r="BH31" s="60"/>
    </row>
    <row r="32" customFormat="false" ht="15" hidden="false" customHeight="false" outlineLevel="0" collapsed="false">
      <c r="B32" s="32" t="n">
        <v>44287</v>
      </c>
      <c r="C32" s="67" t="n">
        <v>71719.8297560738</v>
      </c>
      <c r="D32" s="34" t="n">
        <v>408.578567108507</v>
      </c>
      <c r="E32" s="35" t="n">
        <v>463174257.744476</v>
      </c>
      <c r="F32" s="35" t="n">
        <v>72917530.0761157</v>
      </c>
      <c r="G32" s="35" t="n">
        <v>3667913.38191913</v>
      </c>
      <c r="H32" s="35" t="n">
        <v>207908137.994465</v>
      </c>
      <c r="I32" s="35" t="n">
        <v>8320824.32780009</v>
      </c>
      <c r="J32" s="35"/>
      <c r="K32" s="29"/>
      <c r="L32" s="30"/>
      <c r="M32" s="90"/>
      <c r="N32" s="29"/>
      <c r="P32" s="30"/>
      <c r="Q32" s="90"/>
      <c r="R32" s="29"/>
      <c r="X32" s="30"/>
      <c r="Z32" s="29"/>
      <c r="AE32" s="30"/>
      <c r="AF32" s="90"/>
      <c r="AG32" s="29"/>
      <c r="AL32" s="30"/>
      <c r="AM32" s="90"/>
      <c r="AN32" s="29"/>
      <c r="AS32" s="30"/>
      <c r="AT32" s="90"/>
      <c r="AU32" s="29"/>
      <c r="BA32" s="30"/>
      <c r="BB32" s="31"/>
      <c r="BC32" s="29"/>
      <c r="BE32" s="30"/>
      <c r="BF32" s="31"/>
      <c r="BH32" s="60"/>
    </row>
    <row r="33" customFormat="false" ht="15" hidden="false" customHeight="false" outlineLevel="0" collapsed="false">
      <c r="B33" s="32" t="n">
        <v>44317</v>
      </c>
      <c r="C33" s="67" t="n">
        <v>73412.0591391683</v>
      </c>
      <c r="D33" s="34" t="n">
        <v>417.342577372985</v>
      </c>
      <c r="E33" s="35" t="n">
        <v>555261000.352615</v>
      </c>
      <c r="F33" s="35" t="n">
        <v>85292908.9140122</v>
      </c>
      <c r="G33" s="35" t="n">
        <v>3654005.99712373</v>
      </c>
      <c r="H33" s="35" t="n">
        <v>221604431.549988</v>
      </c>
      <c r="I33" s="35" t="n">
        <v>8324987.86286783</v>
      </c>
      <c r="J33" s="35" t="n">
        <f aca="false">AVERAGE(I32:I34)</f>
        <v>8324988.55731122</v>
      </c>
      <c r="K33" s="29"/>
      <c r="L33" s="30"/>
      <c r="M33" s="90"/>
      <c r="N33" s="29"/>
      <c r="P33" s="30"/>
      <c r="Q33" s="90"/>
      <c r="R33" s="29"/>
      <c r="X33" s="30"/>
      <c r="Z33" s="29"/>
      <c r="AE33" s="30"/>
      <c r="AF33" s="90"/>
      <c r="AG33" s="29"/>
      <c r="AL33" s="30"/>
      <c r="AM33" s="90"/>
      <c r="AN33" s="29"/>
      <c r="AS33" s="30"/>
      <c r="AT33" s="90"/>
      <c r="AU33" s="29"/>
      <c r="BA33" s="30"/>
      <c r="BB33" s="31"/>
      <c r="BC33" s="29"/>
      <c r="BE33" s="30"/>
      <c r="BF33" s="31"/>
      <c r="BH33" s="60"/>
    </row>
    <row r="34" customFormat="false" ht="15" hidden="false" customHeight="false" outlineLevel="0" collapsed="false">
      <c r="B34" s="32" t="n">
        <v>44348</v>
      </c>
      <c r="C34" s="67" t="n">
        <v>75144.216674557</v>
      </c>
      <c r="D34" s="34" t="n">
        <v>426.294575657635</v>
      </c>
      <c r="E34" s="35" t="n">
        <v>582552071.868589</v>
      </c>
      <c r="F34" s="35" t="n">
        <v>91544734.9217248</v>
      </c>
      <c r="G34" s="35" t="n">
        <v>3649096.45048774</v>
      </c>
      <c r="H34" s="35" t="n">
        <v>231556251.186949</v>
      </c>
      <c r="I34" s="35" t="n">
        <v>8329153.48126573</v>
      </c>
      <c r="J34" s="35"/>
      <c r="K34" s="65" t="n">
        <f aca="false">D28/D25-1</f>
        <v>0.0831850959999998</v>
      </c>
      <c r="L34" s="66" t="n">
        <f aca="false">C28/C25-1</f>
        <v>0.0643278060799999</v>
      </c>
      <c r="M34" s="92" t="n">
        <f aca="false">K34*0.7+L34*0.3</f>
        <v>0.0775279090239998</v>
      </c>
      <c r="N34" s="29"/>
      <c r="P34" s="30"/>
      <c r="Q34" s="90"/>
      <c r="R34" s="29"/>
      <c r="X34" s="30"/>
      <c r="Z34" s="29"/>
      <c r="AE34" s="30"/>
      <c r="AF34" s="90"/>
      <c r="AG34" s="29"/>
      <c r="AL34" s="30"/>
      <c r="AM34" s="90"/>
      <c r="AN34" s="29"/>
      <c r="AS34" s="30"/>
      <c r="AT34" s="90"/>
      <c r="AU34" s="29"/>
      <c r="BA34" s="30"/>
      <c r="BB34" s="31"/>
      <c r="BC34" s="29"/>
      <c r="BE34" s="30"/>
      <c r="BF34" s="31"/>
      <c r="BH34" s="60"/>
    </row>
    <row r="35" customFormat="false" ht="15" hidden="false" customHeight="false" outlineLevel="0" collapsed="false">
      <c r="B35" s="32" t="n">
        <v>44378</v>
      </c>
      <c r="C35" s="67" t="n">
        <v>76917.2444669932</v>
      </c>
      <c r="D35" s="34" t="n">
        <v>435.438594305492</v>
      </c>
      <c r="E35" s="35" t="n">
        <v>636192490.066365</v>
      </c>
      <c r="F35" s="35" t="n">
        <v>97265680.4373481</v>
      </c>
      <c r="G35" s="35" t="n">
        <v>4147279.64315082</v>
      </c>
      <c r="H35" s="35" t="n">
        <v>301135036.535971</v>
      </c>
      <c r="I35" s="35" t="n">
        <v>8333321.18403624</v>
      </c>
      <c r="J35" s="35"/>
      <c r="K35" s="29"/>
      <c r="L35" s="30"/>
      <c r="M35" s="90"/>
      <c r="N35" s="29"/>
      <c r="P35" s="30"/>
      <c r="Q35" s="90"/>
      <c r="R35" s="29"/>
      <c r="X35" s="30"/>
      <c r="Z35" s="29"/>
      <c r="AE35" s="30"/>
      <c r="AF35" s="90"/>
      <c r="AG35" s="29"/>
      <c r="AL35" s="30"/>
      <c r="AM35" s="90"/>
      <c r="AN35" s="29"/>
      <c r="AS35" s="30"/>
      <c r="AT35" s="90"/>
      <c r="AU35" s="29"/>
      <c r="BA35" s="30"/>
      <c r="BB35" s="31"/>
      <c r="BC35" s="29"/>
      <c r="BE35" s="30"/>
      <c r="BF35" s="31"/>
      <c r="BH35" s="60"/>
    </row>
    <row r="36" customFormat="false" ht="15" hidden="false" customHeight="false" outlineLevel="0" collapsed="false">
      <c r="B36" s="32" t="n">
        <v>44409</v>
      </c>
      <c r="C36" s="67" t="n">
        <v>78732.1068501919</v>
      </c>
      <c r="D36" s="34" t="n">
        <v>444.778752153344</v>
      </c>
      <c r="E36" s="35" t="n">
        <v>589510931.309445</v>
      </c>
      <c r="F36" s="35" t="n">
        <v>97192355.8123854</v>
      </c>
      <c r="G36" s="35" t="n">
        <v>3711391.87783878</v>
      </c>
      <c r="H36" s="35" t="n">
        <v>242106645.014156</v>
      </c>
      <c r="I36" s="35" t="n">
        <v>8337490.97222232</v>
      </c>
      <c r="J36" s="35" t="n">
        <f aca="false">AVERAGE(I35:I37)</f>
        <v>8337491.66770867</v>
      </c>
      <c r="K36" s="29"/>
      <c r="L36" s="30"/>
      <c r="M36" s="90"/>
      <c r="N36" s="29"/>
      <c r="P36" s="30"/>
      <c r="Q36" s="90"/>
      <c r="R36" s="29"/>
      <c r="X36" s="30"/>
      <c r="Z36" s="29"/>
      <c r="AE36" s="30"/>
      <c r="AF36" s="90"/>
      <c r="AG36" s="29"/>
      <c r="AL36" s="30"/>
      <c r="AM36" s="90"/>
      <c r="AN36" s="29"/>
      <c r="AS36" s="30"/>
      <c r="AT36" s="90"/>
      <c r="AU36" s="29"/>
      <c r="BA36" s="30"/>
      <c r="BB36" s="31"/>
      <c r="BC36" s="29"/>
      <c r="BE36" s="30"/>
      <c r="BF36" s="31"/>
      <c r="BH36" s="60"/>
    </row>
    <row r="37" customFormat="false" ht="15" hidden="false" customHeight="false" outlineLevel="0" collapsed="false">
      <c r="B37" s="32" t="n">
        <v>44440</v>
      </c>
      <c r="C37" s="67" t="n">
        <v>80589.7909113222</v>
      </c>
      <c r="D37" s="34" t="n">
        <v>454.319256387034</v>
      </c>
      <c r="E37" s="35" t="n">
        <v>596753452.277979</v>
      </c>
      <c r="F37" s="35" t="n">
        <v>97908757.6041945</v>
      </c>
      <c r="G37" s="35" t="n">
        <v>4432650.39434595</v>
      </c>
      <c r="H37" s="35" t="n">
        <v>248338149.621602</v>
      </c>
      <c r="I37" s="35" t="n">
        <v>8341662.84686746</v>
      </c>
      <c r="J37" s="35"/>
      <c r="K37" s="65" t="n">
        <f aca="false">D31/D28-1</f>
        <v>0.065740176698625</v>
      </c>
      <c r="L37" s="66" t="n">
        <f aca="false">C31/C28-1</f>
        <v>0.0713445996168531</v>
      </c>
      <c r="M37" s="92" t="n">
        <f aca="false">K37*0.7+L37*0.3</f>
        <v>0.0674215035740934</v>
      </c>
      <c r="N37" s="65" t="n">
        <f aca="false">C34/C28-1</f>
        <v>0.14898313001285</v>
      </c>
      <c r="O37" s="60" t="n">
        <f aca="false">(SUM($E29:$E34)/AVERAGE($I29:$I34))/(SUM($E17:$E22)/AVERAGE($I17:$I22))-1</f>
        <v>0.491953076189838</v>
      </c>
      <c r="P37" s="66" t="n">
        <f aca="false">(SQRT(1+O37)-1)*1.03</f>
        <v>0.228098970085342</v>
      </c>
      <c r="Q37" s="92" t="n">
        <f aca="false">IF(N37&gt;P37,P37,N37)</f>
        <v>0.14898313001285</v>
      </c>
      <c r="R37" s="65" t="n">
        <f aca="false">$C34/$C28-1</f>
        <v>0.14898313001285</v>
      </c>
      <c r="S37" s="60" t="n">
        <f aca="false">((SUM($F29:$F34)/AVERAGE($I29:$I34))/(SUM($F17:$F22)/AVERAGE($I17:$I22))-1)/2</f>
        <v>0.218050336474418</v>
      </c>
      <c r="T37" s="60" t="n">
        <f aca="false">R37*0.5+S37*0.5</f>
        <v>0.183516733243634</v>
      </c>
      <c r="U37" s="60" t="n">
        <f aca="false">((SUM($H29:$H34)/AVERAGE($I29:$I34))/(SUM($H17:$H22)/AVERAGE($I17:$I22))-1)/2</f>
        <v>0.206252593528692</v>
      </c>
      <c r="V37" s="60" t="n">
        <f aca="false">IF(T37&gt;U37,U37,T37)</f>
        <v>0.183516733243634</v>
      </c>
      <c r="W37" s="60" t="n">
        <f aca="false">$D34/$D28-1</f>
        <v>0.135802124229616</v>
      </c>
      <c r="X37" s="66" t="n">
        <f aca="false">(V37+W37)/2</f>
        <v>0.159659428736625</v>
      </c>
      <c r="Y37" s="93" t="n">
        <f aca="false">IF(W37&gt;V37,X37,V37)</f>
        <v>0.183516733243634</v>
      </c>
      <c r="Z37" s="65" t="n">
        <f aca="false">AVERAGE($C29:$C34)/AVERAGE($C23:$C28)-1</f>
        <v>0.136205712243817</v>
      </c>
      <c r="AA37" s="60" t="n">
        <f aca="false">(((SUM($F29:$F34)-SUM($G29:$G34))/AVERAGE($I29:$I34))/((SUM($F17:$F22)-SUM($G17:$G22))/AVERAGE($I17:$I22))-1)</f>
        <v>0.453468745945304</v>
      </c>
      <c r="AB37" s="60" t="n">
        <f aca="false">SQRT(1+AA37)-1</f>
        <v>0.20559891586933</v>
      </c>
      <c r="AC37" s="60" t="n">
        <f aca="false">0.7*Z37+0.3*AB37</f>
        <v>0.157023673331471</v>
      </c>
      <c r="AD37" s="60" t="n">
        <f aca="false">((SUM($H23:$H34)-SUM(G23:G34))/AVERAGE($I23:$I34))/((SUM($H11:$H22)-SUM(G11:G22))/AVERAGE($I11:$I22))-1</f>
        <v>0.338197262243674</v>
      </c>
      <c r="AE37" s="66" t="n">
        <f aca="false">(1+AD37*1.03)/(1+AF31)-1</f>
        <v>0.211692673730843</v>
      </c>
      <c r="AF37" s="92" t="n">
        <f aca="false">IF(AC37&gt;AE37,AE37,AC37)</f>
        <v>0.157023673331471</v>
      </c>
      <c r="AG37" s="65" t="n">
        <f aca="false">AVERAGE($C29:$C34)/AVERAGE($C23:$C28)-1</f>
        <v>0.136205712243817</v>
      </c>
      <c r="AH37" s="60" t="n">
        <f aca="false">(((SUM($F29:$F34))/AVERAGE($I29:$I34))/((SUM($F17:$F22))/AVERAGE($I17:$I22))-1)</f>
        <v>0.436100672948837</v>
      </c>
      <c r="AI37" s="60" t="n">
        <f aca="false">SQRT(1+AH37)-1</f>
        <v>0.198374179022911</v>
      </c>
      <c r="AJ37" s="60" t="n">
        <f aca="false">0.7*AG37+0.3*AI37</f>
        <v>0.154856252277545</v>
      </c>
      <c r="AK37" s="60" t="n">
        <f aca="false">(SUM($H23:$H34)/AVERAGE($I23:$I34))/(SUM($H11:$H22)/AVERAGE($I11:$I22))-1</f>
        <v>0.356862234583071</v>
      </c>
      <c r="AL37" s="66" t="n">
        <f aca="false">(1+AK37*1.03)/(1+AM31)-1</f>
        <v>0.212333218227247</v>
      </c>
      <c r="AM37" s="92" t="n">
        <f aca="false">IF(AJ37&gt;AL37,AL37,AJ37)</f>
        <v>0.154856252277545</v>
      </c>
      <c r="AN37" s="36" t="n">
        <f aca="false">C34/C28-1</f>
        <v>0.14898313001285</v>
      </c>
      <c r="AO37" s="60" t="n">
        <f aca="false">(((SUM($F29:$F34)-SUM($G29:$G34))/AVERAGE($I29:$I34))/((SUM($F17:$F22)-SUM($G17:$G22))/AVERAGE($I17:$I22))-1)</f>
        <v>0.453468745945304</v>
      </c>
      <c r="AP37" s="39" t="n">
        <f aca="false">SQRT(1+AO37)-1</f>
        <v>0.20559891586933</v>
      </c>
      <c r="AQ37" s="60" t="n">
        <f aca="false">0.5*AN37+0.5*AP37</f>
        <v>0.17729102294109</v>
      </c>
      <c r="AR37" s="60" t="n">
        <f aca="false">(SUM($H23:$H34)/AVERAGE($I23:$I34))/(SUM($H11:$H22)/AVERAGE($I11:$I22))-1</f>
        <v>0.356862234583071</v>
      </c>
      <c r="AS37" s="66" t="n">
        <f aca="false">(1+AR37*1.03)/(1+AT31)-1</f>
        <v>0.216171668014471</v>
      </c>
      <c r="AT37" s="94" t="n">
        <f aca="false">IF(AQ37&gt;AS37,AS37,AQ37)</f>
        <v>0.17729102294109</v>
      </c>
      <c r="AU37" s="65" t="n">
        <f aca="false">$C34/$C28-1</f>
        <v>0.14898313001285</v>
      </c>
      <c r="AV37" s="60" t="n">
        <f aca="false">(((SUM($F29:$F34)-SUM(G29:G34))/AVERAGE($I29:$I34))/((SUM($F17:$F22)-SUM(G17:G22))/AVERAGE($I17:$I22))-1)/2</f>
        <v>0.226734372972652</v>
      </c>
      <c r="AW37" s="60" t="n">
        <f aca="false">AU37*0.5+AV37*0.5</f>
        <v>0.187858751492751</v>
      </c>
      <c r="AX37" s="60" t="n">
        <f aca="false">((SUM($H29:$H34)/AVERAGE($I29:$I34))/(SUM($H17:$H22)/AVERAGE($I17:$I22))-1)/2</f>
        <v>0.206252593528692</v>
      </c>
      <c r="AY37" s="60" t="n">
        <f aca="false">IF(AW37&gt;AX37,AX37,AW37)</f>
        <v>0.187858751492751</v>
      </c>
      <c r="AZ37" s="60" t="n">
        <f aca="false">$D34/$D28-1</f>
        <v>0.135802124229616</v>
      </c>
      <c r="BA37" s="66" t="n">
        <f aca="false">(AY37+AZ37)/2</f>
        <v>0.161830437861184</v>
      </c>
      <c r="BB37" s="95" t="n">
        <f aca="false">IF(AZ37&gt;AY37,BA37,AY37)</f>
        <v>0.187858751492751</v>
      </c>
      <c r="BC37" s="65" t="n">
        <f aca="false">$C34/$C28-1</f>
        <v>0.14898313001285</v>
      </c>
      <c r="BD37" s="60" t="n">
        <f aca="false">(((SUM($H29:$H34))/AVERAGE($I29:$I34))/((SUM($H17:$H22))/AVERAGE($I17:$I22))-1)</f>
        <v>0.412505187057384</v>
      </c>
      <c r="BE37" s="66" t="n">
        <f aca="false">(SQRT(1+BD37)-1)*1.03</f>
        <v>0.194143273048208</v>
      </c>
      <c r="BF37" s="95" t="n">
        <f aca="false">MIN(BC37,BE37)</f>
        <v>0.14898313001285</v>
      </c>
      <c r="BH37" s="60"/>
    </row>
    <row r="38" customFormat="false" ht="15" hidden="false" customHeight="false" outlineLevel="0" collapsed="false">
      <c r="B38" s="32" t="n">
        <v>44470</v>
      </c>
      <c r="C38" s="67" t="n">
        <v>82491.3070278748</v>
      </c>
      <c r="D38" s="34" t="n">
        <v>464.064404436535</v>
      </c>
      <c r="E38" s="35" t="n">
        <v>615564864.061124</v>
      </c>
      <c r="F38" s="35" t="n">
        <v>107524055.520837</v>
      </c>
      <c r="G38" s="35" t="n">
        <v>4657514.43310607</v>
      </c>
      <c r="H38" s="35" t="n">
        <v>262686195.235357</v>
      </c>
      <c r="I38" s="35" t="n">
        <v>8345836.80901568</v>
      </c>
      <c r="J38" s="35"/>
      <c r="K38" s="29"/>
      <c r="L38" s="30"/>
      <c r="M38" s="90"/>
      <c r="N38" s="29"/>
      <c r="P38" s="30"/>
      <c r="Q38" s="90"/>
      <c r="R38" s="29"/>
      <c r="X38" s="30"/>
      <c r="Z38" s="29"/>
      <c r="AE38" s="30"/>
      <c r="AF38" s="90"/>
      <c r="AG38" s="29"/>
      <c r="AL38" s="30"/>
      <c r="AM38" s="90"/>
      <c r="AN38" s="29"/>
      <c r="AS38" s="30"/>
      <c r="AT38" s="90"/>
      <c r="AU38" s="29"/>
      <c r="BA38" s="30"/>
      <c r="BB38" s="31"/>
      <c r="BC38" s="29"/>
      <c r="BE38" s="30"/>
      <c r="BF38" s="31"/>
      <c r="BH38" s="60"/>
    </row>
    <row r="39" customFormat="false" ht="15" hidden="false" customHeight="false" outlineLevel="0" collapsed="false">
      <c r="B39" s="32" t="n">
        <v>44501</v>
      </c>
      <c r="C39" s="67" t="n">
        <v>84437.6894171975</v>
      </c>
      <c r="D39" s="34" t="n">
        <v>474.018585911699</v>
      </c>
      <c r="E39" s="35" t="n">
        <v>582608840.080706</v>
      </c>
      <c r="F39" s="35" t="n">
        <v>100144777.201172</v>
      </c>
      <c r="G39" s="35" t="n">
        <v>4539428.72262132</v>
      </c>
      <c r="H39" s="35" t="n">
        <v>260491231.298848</v>
      </c>
      <c r="I39" s="35" t="n">
        <v>8350012.85971151</v>
      </c>
      <c r="J39" s="35" t="n">
        <f aca="false">AVERAGE(I38:I40)</f>
        <v>8350013.5562424</v>
      </c>
      <c r="K39" s="29"/>
      <c r="L39" s="30"/>
      <c r="M39" s="90"/>
      <c r="N39" s="29"/>
      <c r="P39" s="30"/>
      <c r="Q39" s="90"/>
      <c r="R39" s="29"/>
      <c r="X39" s="30"/>
      <c r="Z39" s="29"/>
      <c r="AE39" s="30"/>
      <c r="AF39" s="90"/>
      <c r="AG39" s="29"/>
      <c r="AL39" s="30"/>
      <c r="AM39" s="90"/>
      <c r="AN39" s="29"/>
      <c r="AS39" s="30"/>
      <c r="AT39" s="90"/>
      <c r="AU39" s="29"/>
      <c r="BA39" s="30"/>
      <c r="BB39" s="31"/>
      <c r="BC39" s="29"/>
      <c r="BE39" s="30"/>
      <c r="BF39" s="31"/>
      <c r="BH39" s="60"/>
    </row>
    <row r="40" customFormat="false" ht="15" hidden="false" customHeight="false" outlineLevel="0" collapsed="false">
      <c r="B40" s="42" t="n">
        <v>44531</v>
      </c>
      <c r="C40" s="74" t="n">
        <v>86429.9966989963</v>
      </c>
      <c r="D40" s="44" t="n">
        <v>484.186284579505</v>
      </c>
      <c r="E40" s="45" t="n">
        <v>570646552.742324</v>
      </c>
      <c r="F40" s="45" t="n">
        <v>98233048.6238337</v>
      </c>
      <c r="G40" s="45" t="n">
        <v>5330789.49649632</v>
      </c>
      <c r="H40" s="45" t="n">
        <v>263078586.899992</v>
      </c>
      <c r="I40" s="45" t="n">
        <v>8354191</v>
      </c>
      <c r="J40" s="45"/>
      <c r="K40" s="76" t="n">
        <f aca="false">D34/D31-1</f>
        <v>0.065740176698625</v>
      </c>
      <c r="L40" s="78" t="n">
        <f aca="false">C34/C31-1</f>
        <v>0.0724683079783697</v>
      </c>
      <c r="M40" s="96" t="n">
        <f aca="false">K40*0.7+L40*0.3</f>
        <v>0.0677586160825484</v>
      </c>
      <c r="N40" s="52"/>
      <c r="O40" s="53"/>
      <c r="P40" s="54"/>
      <c r="Q40" s="97"/>
      <c r="R40" s="52"/>
      <c r="S40" s="53"/>
      <c r="T40" s="53"/>
      <c r="U40" s="53"/>
      <c r="V40" s="53"/>
      <c r="W40" s="53"/>
      <c r="X40" s="54"/>
      <c r="Y40" s="53"/>
      <c r="Z40" s="52"/>
      <c r="AA40" s="53"/>
      <c r="AB40" s="53"/>
      <c r="AC40" s="53"/>
      <c r="AD40" s="53"/>
      <c r="AE40" s="54"/>
      <c r="AF40" s="97"/>
      <c r="AG40" s="52"/>
      <c r="AH40" s="53"/>
      <c r="AI40" s="53"/>
      <c r="AJ40" s="53"/>
      <c r="AK40" s="53"/>
      <c r="AL40" s="54"/>
      <c r="AM40" s="97"/>
      <c r="AN40" s="52"/>
      <c r="AO40" s="53"/>
      <c r="AP40" s="53"/>
      <c r="AQ40" s="53"/>
      <c r="AR40" s="53"/>
      <c r="AS40" s="54"/>
      <c r="AT40" s="97"/>
      <c r="AU40" s="52"/>
      <c r="AV40" s="53"/>
      <c r="AW40" s="53"/>
      <c r="AX40" s="53"/>
      <c r="AY40" s="53"/>
      <c r="AZ40" s="53"/>
      <c r="BA40" s="54"/>
      <c r="BB40" s="55"/>
      <c r="BC40" s="52"/>
      <c r="BD40" s="53"/>
      <c r="BE40" s="54"/>
      <c r="BF40" s="55"/>
      <c r="BH40" s="60"/>
    </row>
    <row r="41" customFormat="false" ht="15" hidden="false" customHeight="false" outlineLevel="0" collapsed="false">
      <c r="B41" s="20" t="n">
        <v>44562</v>
      </c>
      <c r="C41" s="84" t="n">
        <v>88072.5987862607</v>
      </c>
      <c r="D41" s="22" t="n">
        <v>492.950056330394</v>
      </c>
      <c r="E41" s="23" t="n">
        <v>699212424.49139</v>
      </c>
      <c r="F41" s="23" t="n">
        <v>105048578.490048</v>
      </c>
      <c r="G41" s="23" t="n">
        <v>5480147.70657659</v>
      </c>
      <c r="H41" s="23" t="n">
        <v>350794680.692895</v>
      </c>
      <c r="I41" s="23" t="n">
        <v>8359174.61632326</v>
      </c>
      <c r="J41" s="23"/>
      <c r="K41" s="85"/>
      <c r="L41" s="86"/>
      <c r="M41" s="87"/>
      <c r="N41" s="85"/>
      <c r="O41" s="88"/>
      <c r="P41" s="86"/>
      <c r="Q41" s="87"/>
      <c r="R41" s="85"/>
      <c r="S41" s="88"/>
      <c r="T41" s="88"/>
      <c r="U41" s="88"/>
      <c r="V41" s="88"/>
      <c r="W41" s="88"/>
      <c r="X41" s="86"/>
      <c r="Y41" s="88"/>
      <c r="Z41" s="85"/>
      <c r="AA41" s="88"/>
      <c r="AB41" s="88"/>
      <c r="AC41" s="88"/>
      <c r="AD41" s="88"/>
      <c r="AE41" s="86"/>
      <c r="AF41" s="87"/>
      <c r="AG41" s="85"/>
      <c r="AH41" s="88"/>
      <c r="AI41" s="88"/>
      <c r="AJ41" s="88"/>
      <c r="AK41" s="88"/>
      <c r="AL41" s="86"/>
      <c r="AM41" s="87"/>
      <c r="AN41" s="85"/>
      <c r="AO41" s="88"/>
      <c r="AP41" s="88"/>
      <c r="AQ41" s="88"/>
      <c r="AR41" s="88"/>
      <c r="AS41" s="86"/>
      <c r="AT41" s="87"/>
      <c r="AU41" s="85"/>
      <c r="AV41" s="88"/>
      <c r="AW41" s="88"/>
      <c r="AX41" s="88"/>
      <c r="AY41" s="88"/>
      <c r="AZ41" s="88"/>
      <c r="BA41" s="86"/>
      <c r="BB41" s="89"/>
      <c r="BC41" s="29"/>
      <c r="BE41" s="30"/>
      <c r="BF41" s="89"/>
    </row>
    <row r="42" customFormat="false" ht="15" hidden="false" customHeight="false" outlineLevel="0" collapsed="false">
      <c r="B42" s="32" t="n">
        <v>44593</v>
      </c>
      <c r="C42" s="67" t="n">
        <v>89746.4185261936</v>
      </c>
      <c r="D42" s="34" t="n">
        <v>501.872452349974</v>
      </c>
      <c r="E42" s="35" t="n">
        <v>606153304.377773</v>
      </c>
      <c r="F42" s="35" t="n">
        <v>106053714.060969</v>
      </c>
      <c r="G42" s="35" t="n">
        <v>5541649.08274785</v>
      </c>
      <c r="H42" s="35" t="n">
        <v>278110414.542943</v>
      </c>
      <c r="I42" s="35" t="n">
        <v>8364161.20557732</v>
      </c>
      <c r="J42" s="35" t="n">
        <f aca="false">AVERAGE(I41:I43)</f>
        <v>8364162.19714541</v>
      </c>
      <c r="K42" s="29"/>
      <c r="L42" s="30"/>
      <c r="M42" s="90"/>
      <c r="N42" s="29"/>
      <c r="P42" s="30"/>
      <c r="Q42" s="90"/>
      <c r="R42" s="29"/>
      <c r="X42" s="30"/>
      <c r="Z42" s="29"/>
      <c r="AE42" s="30"/>
      <c r="AF42" s="90"/>
      <c r="AG42" s="29"/>
      <c r="AL42" s="30"/>
      <c r="AM42" s="90"/>
      <c r="AN42" s="29"/>
      <c r="AS42" s="30"/>
      <c r="AT42" s="90"/>
      <c r="AU42" s="29"/>
      <c r="BA42" s="30"/>
      <c r="BB42" s="31"/>
      <c r="BC42" s="29"/>
      <c r="BE42" s="30"/>
      <c r="BF42" s="31"/>
    </row>
    <row r="43" customFormat="false" ht="15" hidden="false" customHeight="false" outlineLevel="0" collapsed="false">
      <c r="B43" s="32" t="n">
        <v>44621</v>
      </c>
      <c r="C43" s="67" t="n">
        <v>91452.0492102839</v>
      </c>
      <c r="D43" s="34" t="n">
        <v>510.956343737509</v>
      </c>
      <c r="E43" s="35" t="n">
        <v>599764179.678221</v>
      </c>
      <c r="F43" s="35" t="n">
        <v>107212303.93914</v>
      </c>
      <c r="G43" s="35" t="n">
        <v>5394434.32178159</v>
      </c>
      <c r="H43" s="35" t="n">
        <v>283158690.25071</v>
      </c>
      <c r="I43" s="35" t="n">
        <v>8369150.76953564</v>
      </c>
      <c r="J43" s="35"/>
      <c r="K43" s="65" t="n">
        <f aca="false">D37/D34-1</f>
        <v>0.065740176698625</v>
      </c>
      <c r="L43" s="66" t="n">
        <f aca="false">C37/C34-1</f>
        <v>0.0724683079783699</v>
      </c>
      <c r="M43" s="92" t="n">
        <f aca="false">K43*0.7+L43*0.3</f>
        <v>0.0677586160825484</v>
      </c>
      <c r="N43" s="65" t="n">
        <f aca="false">C40/C34-1</f>
        <v>0.150188271617988</v>
      </c>
      <c r="O43" s="60" t="n">
        <f aca="false">(SUM($E35:$E40)/AVERAGE($I35:$I40))/(SUM($E23:$E28)/AVERAGE($I23:$I28))-1</f>
        <v>0.423948359364239</v>
      </c>
      <c r="P43" s="66" t="n">
        <f aca="false">(SQRT(1+O43)-1)*1.03</f>
        <v>0.19909186574866</v>
      </c>
      <c r="Q43" s="92" t="n">
        <f aca="false">IF(N43&gt;P43,P43,N43)</f>
        <v>0.150188271617988</v>
      </c>
      <c r="R43" s="65" t="n">
        <f aca="false">$C40/$C34-1</f>
        <v>0.150188271617988</v>
      </c>
      <c r="S43" s="60" t="n">
        <f aca="false">((SUM($F35:$F40)/AVERAGE($I35:$I40))/(SUM($F23:$F28)/AVERAGE($I23:$I28))-1)/2</f>
        <v>0.181803150916381</v>
      </c>
      <c r="T43" s="60" t="n">
        <f aca="false">R43*0.5+S43*0.5</f>
        <v>0.165995711267185</v>
      </c>
      <c r="U43" s="60" t="n">
        <f aca="false">((SUM($H35:$H40)/AVERAGE($I35:$I40))/(SUM($H23:$H28)/AVERAGE($I23:$I28))-1)/2</f>
        <v>0.219630478448897</v>
      </c>
      <c r="V43" s="60" t="n">
        <f aca="false">IF(T43&gt;U43,U43,T43)</f>
        <v>0.165995711267185</v>
      </c>
      <c r="W43" s="60" t="n">
        <f aca="false">$D40/$D34-1</f>
        <v>0.135802124229616</v>
      </c>
      <c r="X43" s="66" t="n">
        <f aca="false">(V43+W43)/2</f>
        <v>0.150898917748401</v>
      </c>
      <c r="Y43" s="93" t="n">
        <f aca="false">IF(W43&gt;V43,X43,V43)</f>
        <v>0.165995711267185</v>
      </c>
      <c r="Z43" s="65" t="n">
        <f aca="false">AVERAGE($C35:$C40)/AVERAGE($C29:$C34)-1</f>
        <v>0.150188271617988</v>
      </c>
      <c r="AA43" s="60" t="n">
        <f aca="false">(((SUM($F35:$F40)-SUM($G35:$G40))/AVERAGE($I35:$I40))/((SUM($F23:$F28)-SUM($G23:$G28))/AVERAGE($I23:$I28))-1)</f>
        <v>0.422636047567513</v>
      </c>
      <c r="AB43" s="60" t="n">
        <f aca="false">SQRT(1+AA43)-1</f>
        <v>0.192743076931287</v>
      </c>
      <c r="AC43" s="60" t="n">
        <f aca="false">0.7*Z43+0.3*AB43</f>
        <v>0.162954713211977</v>
      </c>
      <c r="AD43" s="60"/>
      <c r="AE43" s="66"/>
      <c r="AF43" s="92" t="n">
        <f aca="false">AC43</f>
        <v>0.162954713211977</v>
      </c>
      <c r="AG43" s="65" t="n">
        <f aca="false">AVERAGE($C35:$C40)/AVERAGE($C29:$C34)-1</f>
        <v>0.150188271617988</v>
      </c>
      <c r="AH43" s="60" t="n">
        <f aca="false">(((SUM($F35:$F40))/AVERAGE($I35:$I40))/((SUM($F23:$F28))/AVERAGE($I23:$I28))-1)</f>
        <v>0.363606301832763</v>
      </c>
      <c r="AI43" s="60" t="n">
        <f aca="false">SQRT(1+AH43)-1</f>
        <v>0.167735544476044</v>
      </c>
      <c r="AJ43" s="60" t="n">
        <f aca="false">0.7*AG43+0.3*AI43</f>
        <v>0.155452453475404</v>
      </c>
      <c r="AK43" s="60"/>
      <c r="AL43" s="66"/>
      <c r="AM43" s="92" t="n">
        <f aca="false">AJ43</f>
        <v>0.155452453475404</v>
      </c>
      <c r="AN43" s="36" t="n">
        <f aca="false">C40/C34-1</f>
        <v>0.150188271617988</v>
      </c>
      <c r="AO43" s="60" t="n">
        <f aca="false">(((SUM($F35:$F40)-SUM($G35:$G40))/AVERAGE($I35:$I40))/((SUM($F23:$F28)-SUM($G23:$G28))/AVERAGE($I23:$I28))-1)</f>
        <v>0.422636047567513</v>
      </c>
      <c r="AP43" s="39" t="n">
        <f aca="false">SQRT(1+AO43)-1</f>
        <v>0.192743076931287</v>
      </c>
      <c r="AQ43" s="60" t="n">
        <f aca="false">0.5*AN43+0.5*AP43</f>
        <v>0.171465674274637</v>
      </c>
      <c r="AR43" s="60"/>
      <c r="AS43" s="66"/>
      <c r="AT43" s="92" t="n">
        <f aca="false">AQ43</f>
        <v>0.171465674274637</v>
      </c>
      <c r="AU43" s="65" t="n">
        <f aca="false">$C40/$C34-1</f>
        <v>0.150188271617988</v>
      </c>
      <c r="AV43" s="60" t="n">
        <f aca="false">(((SUM($F35:$F40)-SUM(G35:G40))/AVERAGE($I35:$I40))/((SUM($F23:$F28)-SUM(G23:G28))/AVERAGE($I23:$I28))-1)/2</f>
        <v>0.211318023783756</v>
      </c>
      <c r="AW43" s="60" t="n">
        <f aca="false">AU43*0.5+AV43*0.5</f>
        <v>0.180753147700872</v>
      </c>
      <c r="AX43" s="60" t="n">
        <f aca="false">((SUM($H35:$H40)/AVERAGE($I35:$I40))/(SUM($H23:$H28)/AVERAGE($I23:$I28))-1)/2</f>
        <v>0.219630478448897</v>
      </c>
      <c r="AY43" s="60" t="n">
        <f aca="false">IF(AW43&gt;AX43,AX43,AW43)</f>
        <v>0.180753147700872</v>
      </c>
      <c r="AZ43" s="60" t="n">
        <f aca="false">$D40/$D34-1</f>
        <v>0.135802124229616</v>
      </c>
      <c r="BA43" s="66" t="n">
        <f aca="false">(AY43+AZ43)/2</f>
        <v>0.158277635965244</v>
      </c>
      <c r="BB43" s="95" t="n">
        <f aca="false">IF(AZ43&gt;AY43,BA43,AY43)</f>
        <v>0.180753147700872</v>
      </c>
      <c r="BC43" s="65" t="n">
        <f aca="false">$C40/$C34-1</f>
        <v>0.150188271617988</v>
      </c>
      <c r="BD43" s="60" t="n">
        <f aca="false">(((SUM($H35:$H40))/AVERAGE($I35:$I40))/((SUM($H23:$H28))/AVERAGE($I23:$I28))-1)</f>
        <v>0.439260956897794</v>
      </c>
      <c r="BE43" s="66" t="n">
        <f aca="false">(SQRT(1+BD43)-1)*1.03</f>
        <v>0.205682786629671</v>
      </c>
      <c r="BF43" s="95" t="n">
        <f aca="false">MIN(BC43,BE43)</f>
        <v>0.150188271617988</v>
      </c>
    </row>
    <row r="44" customFormat="false" ht="15" hidden="false" customHeight="false" outlineLevel="0" collapsed="false">
      <c r="B44" s="32" t="n">
        <v>44652</v>
      </c>
      <c r="C44" s="67" t="n">
        <v>93190.0954055253</v>
      </c>
      <c r="D44" s="34" t="n">
        <v>520.204653559158</v>
      </c>
      <c r="E44" s="35" t="n">
        <v>613345764.701684</v>
      </c>
      <c r="F44" s="35" t="n">
        <v>96932242.9787579</v>
      </c>
      <c r="G44" s="35" t="n">
        <v>4865032.73134605</v>
      </c>
      <c r="H44" s="35" t="n">
        <v>275870869.0686</v>
      </c>
      <c r="I44" s="35" t="n">
        <v>8374143.30997276</v>
      </c>
      <c r="J44" s="35"/>
      <c r="K44" s="29"/>
      <c r="L44" s="30"/>
      <c r="M44" s="90"/>
      <c r="N44" s="29"/>
      <c r="P44" s="30"/>
      <c r="Q44" s="90"/>
      <c r="R44" s="29"/>
      <c r="X44" s="30"/>
      <c r="Z44" s="29"/>
      <c r="AE44" s="30"/>
      <c r="AF44" s="90"/>
      <c r="AG44" s="29"/>
      <c r="AL44" s="30"/>
      <c r="AM44" s="90"/>
      <c r="AN44" s="98"/>
      <c r="AS44" s="30"/>
      <c r="AT44" s="90"/>
      <c r="AU44" s="29"/>
      <c r="BA44" s="30"/>
      <c r="BB44" s="31"/>
      <c r="BC44" s="29"/>
      <c r="BE44" s="30"/>
      <c r="BF44" s="31"/>
    </row>
    <row r="45" customFormat="false" ht="15" hidden="false" customHeight="false" outlineLevel="0" collapsed="false">
      <c r="B45" s="32" t="n">
        <v>44682</v>
      </c>
      <c r="C45" s="67" t="n">
        <v>94961.1731687073</v>
      </c>
      <c r="D45" s="34" t="n">
        <v>529.620357788578</v>
      </c>
      <c r="E45" s="35" t="n">
        <v>732128899.000944</v>
      </c>
      <c r="F45" s="35" t="n">
        <v>113050829.108213</v>
      </c>
      <c r="G45" s="35" t="n">
        <v>4851615.91689069</v>
      </c>
      <c r="H45" s="35" t="n">
        <v>293175199.520642</v>
      </c>
      <c r="I45" s="35" t="n">
        <v>8379138.82866427</v>
      </c>
      <c r="J45" s="35" t="n">
        <f aca="false">AVERAGE(I44:I46)</f>
        <v>8379139.82200795</v>
      </c>
      <c r="K45" s="29"/>
      <c r="L45" s="30"/>
      <c r="M45" s="90"/>
      <c r="N45" s="29"/>
      <c r="P45" s="30"/>
      <c r="Q45" s="90"/>
      <c r="R45" s="29"/>
      <c r="X45" s="30"/>
      <c r="Z45" s="29"/>
      <c r="AE45" s="30"/>
      <c r="AF45" s="90"/>
      <c r="AG45" s="29"/>
      <c r="AL45" s="30"/>
      <c r="AM45" s="90"/>
      <c r="AN45" s="98"/>
      <c r="AS45" s="30"/>
      <c r="AT45" s="90"/>
      <c r="AU45" s="29"/>
      <c r="BA45" s="30"/>
      <c r="BB45" s="31"/>
      <c r="BC45" s="29"/>
      <c r="BE45" s="30"/>
      <c r="BF45" s="31"/>
    </row>
    <row r="46" customFormat="false" ht="15" hidden="false" customHeight="false" outlineLevel="0" collapsed="false">
      <c r="B46" s="32" t="n">
        <v>44713</v>
      </c>
      <c r="C46" s="67" t="n">
        <v>96765.9102647786</v>
      </c>
      <c r="D46" s="34" t="n">
        <v>539.206486264552</v>
      </c>
      <c r="E46" s="35" t="n">
        <v>771062100.973865</v>
      </c>
      <c r="F46" s="35" t="n">
        <v>121858674.578197</v>
      </c>
      <c r="G46" s="35" t="n">
        <v>4850125.31702797</v>
      </c>
      <c r="H46" s="35" t="n">
        <v>305851551.491053</v>
      </c>
      <c r="I46" s="35" t="n">
        <v>8384137.32738682</v>
      </c>
      <c r="J46" s="35"/>
      <c r="K46" s="65" t="n">
        <f aca="false">D40/D37-1</f>
        <v>0.065740176698625</v>
      </c>
      <c r="L46" s="66" t="n">
        <f aca="false">C40/C37-1</f>
        <v>0.0724683079783701</v>
      </c>
      <c r="M46" s="92" t="n">
        <f aca="false">K46*0.7+L46*0.3</f>
        <v>0.0677586160825485</v>
      </c>
      <c r="N46" s="29"/>
      <c r="P46" s="30"/>
      <c r="Q46" s="90"/>
      <c r="R46" s="29"/>
      <c r="X46" s="30"/>
      <c r="Z46" s="29"/>
      <c r="AE46" s="30"/>
      <c r="AF46" s="90"/>
      <c r="AG46" s="29"/>
      <c r="AL46" s="30"/>
      <c r="AM46" s="90"/>
      <c r="AN46" s="98"/>
      <c r="AS46" s="30"/>
      <c r="AT46" s="90"/>
      <c r="AU46" s="29"/>
      <c r="BA46" s="30"/>
      <c r="BB46" s="31"/>
      <c r="BC46" s="29"/>
      <c r="BE46" s="30"/>
      <c r="BF46" s="31"/>
    </row>
    <row r="47" customFormat="false" ht="15" hidden="false" customHeight="false" outlineLevel="0" collapsed="false">
      <c r="B47" s="32" t="n">
        <v>44743</v>
      </c>
      <c r="C47" s="67" t="n">
        <v>98604.9463893607</v>
      </c>
      <c r="D47" s="34" t="n">
        <v>548.96612366594</v>
      </c>
      <c r="E47" s="35" t="n">
        <v>837050380.312716</v>
      </c>
      <c r="F47" s="35" t="n">
        <v>128401880.547797</v>
      </c>
      <c r="G47" s="35" t="n">
        <v>5517996.21972883</v>
      </c>
      <c r="H47" s="35" t="n">
        <v>394867987.105186</v>
      </c>
      <c r="I47" s="35" t="n">
        <v>8389138.80791812</v>
      </c>
      <c r="J47" s="35"/>
      <c r="K47" s="29"/>
      <c r="L47" s="30"/>
      <c r="M47" s="90"/>
      <c r="N47" s="29"/>
      <c r="P47" s="30"/>
      <c r="Q47" s="90"/>
      <c r="R47" s="29"/>
      <c r="X47" s="30"/>
      <c r="Z47" s="29"/>
      <c r="AE47" s="30"/>
      <c r="AF47" s="90"/>
      <c r="AG47" s="29"/>
      <c r="AL47" s="30"/>
      <c r="AM47" s="90"/>
      <c r="AN47" s="98"/>
      <c r="AS47" s="30"/>
      <c r="AT47" s="90"/>
      <c r="AU47" s="29"/>
      <c r="BA47" s="30"/>
      <c r="BB47" s="31"/>
      <c r="BC47" s="29"/>
      <c r="BE47" s="30"/>
      <c r="BF47" s="31"/>
    </row>
    <row r="48" customFormat="false" ht="15" hidden="false" customHeight="false" outlineLevel="0" collapsed="false">
      <c r="B48" s="32" t="n">
        <v>44774</v>
      </c>
      <c r="C48" s="67" t="n">
        <v>100478.933395491</v>
      </c>
      <c r="D48" s="34" t="n">
        <v>558.902410504294</v>
      </c>
      <c r="E48" s="35" t="n">
        <v>774201779.220965</v>
      </c>
      <c r="F48" s="35" t="n">
        <v>128143305.72674</v>
      </c>
      <c r="G48" s="35" t="n">
        <v>4887907.82409897</v>
      </c>
      <c r="H48" s="35" t="n">
        <v>316559828.43243</v>
      </c>
      <c r="I48" s="35" t="n">
        <v>8394143.27203694</v>
      </c>
      <c r="J48" s="35" t="n">
        <f aca="false">AVERAGE(I47:I49)</f>
        <v>8394144.26715939</v>
      </c>
      <c r="K48" s="29"/>
      <c r="L48" s="30"/>
      <c r="M48" s="90"/>
      <c r="N48" s="29"/>
      <c r="P48" s="30"/>
      <c r="Q48" s="90"/>
      <c r="R48" s="29"/>
      <c r="X48" s="30"/>
      <c r="Z48" s="29"/>
      <c r="AE48" s="30"/>
      <c r="AF48" s="90"/>
      <c r="AG48" s="29"/>
      <c r="AL48" s="30"/>
      <c r="AM48" s="90"/>
      <c r="AN48" s="98"/>
      <c r="AS48" s="30"/>
      <c r="AT48" s="90"/>
      <c r="AU48" s="29"/>
      <c r="BA48" s="30"/>
      <c r="BB48" s="31"/>
      <c r="BC48" s="29"/>
      <c r="BE48" s="30"/>
      <c r="BF48" s="31"/>
    </row>
    <row r="49" customFormat="false" ht="15" hidden="false" customHeight="false" outlineLevel="0" collapsed="false">
      <c r="B49" s="32" t="n">
        <v>44805</v>
      </c>
      <c r="C49" s="67" t="n">
        <v>102388.535524672</v>
      </c>
      <c r="D49" s="34" t="n">
        <v>569.018544134421</v>
      </c>
      <c r="E49" s="35" t="n">
        <v>783937883.192151</v>
      </c>
      <c r="F49" s="35" t="n">
        <v>129113592.433864</v>
      </c>
      <c r="G49" s="35" t="n">
        <v>5799562.63996398</v>
      </c>
      <c r="H49" s="35" t="n">
        <v>324065045.603428</v>
      </c>
      <c r="I49" s="35" t="n">
        <v>8399150.72152311</v>
      </c>
      <c r="J49" s="35"/>
      <c r="K49" s="65" t="n">
        <f aca="false">D43/D40-1</f>
        <v>0.0552887597410001</v>
      </c>
      <c r="L49" s="66" t="n">
        <f aca="false">C43/C40-1</f>
        <v>0.0581054344914247</v>
      </c>
      <c r="M49" s="92" t="n">
        <f aca="false">K49*0.7+L49*0.3</f>
        <v>0.0561337621661275</v>
      </c>
      <c r="N49" s="65" t="n">
        <f aca="false">C46/C40-1</f>
        <v>0.119587110500287</v>
      </c>
      <c r="O49" s="60" t="n">
        <f aca="false">(SUM($E41:$E46)/AVERAGE($I41:$I46))/(SUM($E29:$E34)/AVERAGE($I29:$I34))-1</f>
        <v>0.325796098960175</v>
      </c>
      <c r="P49" s="66" t="n">
        <f aca="false">(SQRT(1+O49)-1)*1.03</f>
        <v>0.155975160526918</v>
      </c>
      <c r="Q49" s="92" t="n">
        <f aca="false">IF(N49&gt;P49,P49,N49)</f>
        <v>0.119587110500287</v>
      </c>
      <c r="R49" s="65" t="n">
        <f aca="false">$C46/$C40-1</f>
        <v>0.119587110500287</v>
      </c>
      <c r="S49" s="60" t="n">
        <f aca="false">((SUM($F41:$F46)/AVERAGE($I41:$I46))/(SUM($F29:$F34)/AVERAGE($I29:$I34))-1)/2</f>
        <v>0.162242183228897</v>
      </c>
      <c r="T49" s="60" t="n">
        <f aca="false">R49*0.5+S49*0.5</f>
        <v>0.140914646864592</v>
      </c>
      <c r="U49" s="60" t="n">
        <f aca="false">((SUM($H41:$H46)/AVERAGE($I41:$I46))/(SUM($H29:$H34)/AVERAGE($I29:$I34))-1)/2</f>
        <v>0.168132638019599</v>
      </c>
      <c r="V49" s="60" t="n">
        <f aca="false">IF(T49&gt;U49,U49,T49)</f>
        <v>0.140914646864592</v>
      </c>
      <c r="W49" s="60" t="n">
        <f aca="false">$D46/$D40-1</f>
        <v>0.113634366435698</v>
      </c>
      <c r="X49" s="66" t="n">
        <f aca="false">(V49+W49)/2</f>
        <v>0.127274506650145</v>
      </c>
      <c r="Y49" s="93" t="n">
        <f aca="false">IF(W49&gt;V49,X49,V49)</f>
        <v>0.140914646864592</v>
      </c>
      <c r="Z49" s="65" t="n">
        <f aca="false">AVERAGE($C41:$C46)/AVERAGE($C35:$C40)-1</f>
        <v>0.131924746690511</v>
      </c>
      <c r="AA49" s="60" t="n">
        <f aca="false">(((SUM($F41:$F46)-SUM($G41:$G46))/AVERAGE($I41:$I46))/((SUM($F29:$F34)-SUM($G29:$G34))/AVERAGE($I29:$I34))-1)</f>
        <v>0.324851904400622</v>
      </c>
      <c r="AB49" s="60" t="n">
        <f aca="false">SQRT(1+AA49)-1</f>
        <v>0.151022112906881</v>
      </c>
      <c r="AC49" s="60" t="n">
        <f aca="false">0.7*Z49+0.3*AB49</f>
        <v>0.137653956555422</v>
      </c>
      <c r="AD49" s="60" t="n">
        <f aca="false">((SUM($H35:$H46)-SUM(G35:G46))/AVERAGE($I35:$I46))/((SUM($H23:$H34)-SUM(G23:G34))/AVERAGE($I23:$I34))-1</f>
        <v>0.393644840816656</v>
      </c>
      <c r="AE49" s="66" t="n">
        <f aca="false">(1+AD49*1.03)/(1+AF43)-1</f>
        <v>0.208520134167061</v>
      </c>
      <c r="AF49" s="92" t="n">
        <f aca="false">IF(AC49&gt;AE49,AE49,AC49)</f>
        <v>0.137653956555422</v>
      </c>
      <c r="AG49" s="65" t="n">
        <f aca="false">AVERAGE($C41:$C46)/AVERAGE($C35:$C40)-1</f>
        <v>0.131924746690511</v>
      </c>
      <c r="AH49" s="60" t="n">
        <f aca="false">(((SUM($F41:$F46))/AVERAGE($I41:$I46))/((SUM($F29:$F34))/AVERAGE($I29:$I34))-1)</f>
        <v>0.324484366457793</v>
      </c>
      <c r="AI49" s="60" t="n">
        <f aca="false">SQRT(1+AH49)-1</f>
        <v>0.150862444629154</v>
      </c>
      <c r="AJ49" s="60" t="n">
        <f aca="false">0.7*AG49+0.3*AI49</f>
        <v>0.137606056072104</v>
      </c>
      <c r="AK49" s="60" t="n">
        <f aca="false">(SUM($H35:$H46)/AVERAGE($I35:$I46))/(SUM($H23:$H34)/AVERAGE($I23:$I34))-1</f>
        <v>0.382702342112953</v>
      </c>
      <c r="AL49" s="66" t="n">
        <f aca="false">(1+AK49*1.03)/(1+AM43)-1</f>
        <v>0.206612533629467</v>
      </c>
      <c r="AM49" s="92" t="n">
        <f aca="false">IF(AJ49&gt;AL49,AL49,AJ49)</f>
        <v>0.137606056072104</v>
      </c>
      <c r="AN49" s="36" t="n">
        <f aca="false">C46/C40-1</f>
        <v>0.119587110500287</v>
      </c>
      <c r="AO49" s="60" t="n">
        <f aca="false">(((SUM($F41:$F46)-SUM($G41:$G46))/AVERAGE($I41:$I46))/((SUM($F29:$F34)-SUM($G29:$G34))/AVERAGE($I29:$I34))-1)</f>
        <v>0.324851904400622</v>
      </c>
      <c r="AP49" s="39" t="n">
        <f aca="false">SQRT(1+AO49)-1</f>
        <v>0.151022112906881</v>
      </c>
      <c r="AQ49" s="60" t="n">
        <f aca="false">0.5*AN49+0.5*AP49</f>
        <v>0.135304611703584</v>
      </c>
      <c r="AR49" s="60" t="n">
        <f aca="false">(SUM($H35:$H46)/AVERAGE($I35:$I46))/(SUM($H23:$H34)/AVERAGE($I23:$I34))-1</f>
        <v>0.382702342112953</v>
      </c>
      <c r="AS49" s="66" t="n">
        <f aca="false">(1+AR49*1.03)/(1+AT43)-1</f>
        <v>0.19011887671366</v>
      </c>
      <c r="AT49" s="92" t="n">
        <f aca="false">IF(AQ49&gt;AS49,AS49,AQ49)</f>
        <v>0.135304611703584</v>
      </c>
      <c r="AU49" s="65" t="n">
        <f aca="false">$C46/$C40-1</f>
        <v>0.119587110500287</v>
      </c>
      <c r="AV49" s="60" t="n">
        <f aca="false">(((SUM($F41:$F46)-SUM(G41:G46))/AVERAGE($I41:$I46))/((SUM($F29:$F34)-SUM(G29:G34))/AVERAGE($I29:$I34))-1)/2</f>
        <v>0.162425952200311</v>
      </c>
      <c r="AW49" s="60" t="n">
        <f aca="false">AU49*0.5+AV49*0.5</f>
        <v>0.141006531350299</v>
      </c>
      <c r="AX49" s="60" t="n">
        <f aca="false">((SUM($H41:$H46)/AVERAGE($I41:$I46))/(SUM($H29:$H34)/AVERAGE($I29:$I34))-1)/2</f>
        <v>0.168132638019599</v>
      </c>
      <c r="AY49" s="60" t="n">
        <f aca="false">IF(AW49&gt;AX49,AX49,AW49)</f>
        <v>0.141006531350299</v>
      </c>
      <c r="AZ49" s="60" t="n">
        <f aca="false">$D46/$D40-1</f>
        <v>0.113634366435698</v>
      </c>
      <c r="BA49" s="66" t="n">
        <f aca="false">(AY49+AZ49)/2</f>
        <v>0.127320448892998</v>
      </c>
      <c r="BB49" s="95" t="n">
        <f aca="false">IF(AZ49&gt;AY49,BA49,AY49)</f>
        <v>0.141006531350299</v>
      </c>
      <c r="BC49" s="65" t="n">
        <f aca="false">$C46/$C40-1</f>
        <v>0.119587110500287</v>
      </c>
      <c r="BD49" s="60" t="n">
        <f aca="false">(((SUM($H41:$H46))/AVERAGE($I41:$I46))/((SUM($H29:$H34))/AVERAGE($I29:$I34))-1)</f>
        <v>0.336265276039198</v>
      </c>
      <c r="BE49" s="66" t="n">
        <f aca="false">(SQRT(1+BD49)-1)*1.03</f>
        <v>0.160648491936216</v>
      </c>
      <c r="BF49" s="95" t="n">
        <f aca="false">MIN(BC49,BE49)</f>
        <v>0.119587110500287</v>
      </c>
    </row>
    <row r="50" customFormat="false" ht="15" hidden="false" customHeight="false" outlineLevel="0" collapsed="false">
      <c r="B50" s="32" t="n">
        <v>44835</v>
      </c>
      <c r="C50" s="67" t="n">
        <v>104334.429642318</v>
      </c>
      <c r="D50" s="34" t="n">
        <v>579.317779783254</v>
      </c>
      <c r="E50" s="35" t="n">
        <v>801577251.060825</v>
      </c>
      <c r="F50" s="35" t="n">
        <v>140337669.782592</v>
      </c>
      <c r="G50" s="35" t="n">
        <v>6011104.56522752</v>
      </c>
      <c r="H50" s="35" t="n">
        <v>340823410.924489</v>
      </c>
      <c r="I50" s="35" t="n">
        <v>8404161.15815753</v>
      </c>
      <c r="J50" s="35"/>
      <c r="K50" s="29"/>
      <c r="L50" s="30"/>
      <c r="M50" s="90"/>
      <c r="N50" s="29"/>
      <c r="P50" s="30"/>
      <c r="Q50" s="90"/>
      <c r="R50" s="29"/>
      <c r="X50" s="30"/>
      <c r="Z50" s="29"/>
      <c r="AE50" s="30"/>
      <c r="AF50" s="90"/>
      <c r="AG50" s="29"/>
      <c r="AL50" s="30"/>
      <c r="AM50" s="90"/>
      <c r="AN50" s="98"/>
      <c r="AS50" s="30"/>
      <c r="AT50" s="90"/>
      <c r="AU50" s="29"/>
      <c r="BA50" s="30"/>
      <c r="BB50" s="31"/>
      <c r="BC50" s="29"/>
      <c r="BE50" s="30"/>
      <c r="BF50" s="31"/>
    </row>
    <row r="51" customFormat="false" ht="15" hidden="false" customHeight="false" outlineLevel="0" collapsed="false">
      <c r="B51" s="32" t="n">
        <v>44866</v>
      </c>
      <c r="C51" s="67" t="n">
        <v>106317.30547767</v>
      </c>
      <c r="D51" s="34" t="n">
        <v>589.803431597331</v>
      </c>
      <c r="E51" s="35" t="n">
        <v>755177266.723874</v>
      </c>
      <c r="F51" s="35" t="n">
        <v>130494344.631064</v>
      </c>
      <c r="G51" s="35" t="n">
        <v>5836408.35765598</v>
      </c>
      <c r="H51" s="35" t="n">
        <v>336849503.053022</v>
      </c>
      <c r="I51" s="35" t="n">
        <v>8409174.58372215</v>
      </c>
      <c r="J51" s="35" t="n">
        <f aca="false">AVERAGE(I50:I52)</f>
        <v>8409175.58062656</v>
      </c>
      <c r="K51" s="29"/>
      <c r="L51" s="30"/>
      <c r="M51" s="90"/>
      <c r="N51" s="29"/>
      <c r="P51" s="30"/>
      <c r="Q51" s="90"/>
      <c r="R51" s="29"/>
      <c r="X51" s="30"/>
      <c r="Z51" s="29"/>
      <c r="AE51" s="30"/>
      <c r="AF51" s="90"/>
      <c r="AG51" s="29"/>
      <c r="AL51" s="30"/>
      <c r="AM51" s="90"/>
      <c r="AN51" s="29"/>
      <c r="AS51" s="30"/>
      <c r="AT51" s="90"/>
      <c r="AU51" s="29"/>
      <c r="BA51" s="30"/>
      <c r="BB51" s="31"/>
      <c r="BC51" s="29"/>
      <c r="BE51" s="30"/>
      <c r="BF51" s="31"/>
    </row>
    <row r="52" customFormat="false" ht="15" hidden="false" customHeight="false" outlineLevel="0" collapsed="false">
      <c r="B52" s="42" t="n">
        <v>44896</v>
      </c>
      <c r="C52" s="74" t="n">
        <v>108337.865868274</v>
      </c>
      <c r="D52" s="44" t="n">
        <v>600.478873709243</v>
      </c>
      <c r="E52" s="45" t="n">
        <v>737273204.608347</v>
      </c>
      <c r="F52" s="45" t="n">
        <v>127832315.422525</v>
      </c>
      <c r="G52" s="45" t="n">
        <v>6821744.68379763</v>
      </c>
      <c r="H52" s="45" t="n">
        <v>339114183.475793</v>
      </c>
      <c r="I52" s="45" t="n">
        <v>8414191</v>
      </c>
      <c r="J52" s="45"/>
      <c r="K52" s="76" t="n">
        <f aca="false">D46/D43-1</f>
        <v>0.0552887597409999</v>
      </c>
      <c r="L52" s="78" t="n">
        <f aca="false">C46/C43-1</f>
        <v>0.0581054344914249</v>
      </c>
      <c r="M52" s="96" t="n">
        <f aca="false">K52*0.7+L52*0.3</f>
        <v>0.0561337621661274</v>
      </c>
      <c r="N52" s="52"/>
      <c r="O52" s="53"/>
      <c r="P52" s="54"/>
      <c r="Q52" s="97"/>
      <c r="R52" s="52"/>
      <c r="S52" s="53"/>
      <c r="T52" s="53"/>
      <c r="U52" s="53"/>
      <c r="V52" s="53"/>
      <c r="W52" s="53"/>
      <c r="X52" s="54"/>
      <c r="Y52" s="53"/>
      <c r="Z52" s="52"/>
      <c r="AA52" s="53"/>
      <c r="AB52" s="53"/>
      <c r="AC52" s="53"/>
      <c r="AD52" s="53"/>
      <c r="AE52" s="54"/>
      <c r="AF52" s="97"/>
      <c r="AG52" s="52"/>
      <c r="AH52" s="53"/>
      <c r="AI52" s="53"/>
      <c r="AJ52" s="53"/>
      <c r="AK52" s="53"/>
      <c r="AL52" s="54"/>
      <c r="AM52" s="97"/>
      <c r="AN52" s="52"/>
      <c r="AO52" s="53"/>
      <c r="AP52" s="53"/>
      <c r="AQ52" s="53"/>
      <c r="AR52" s="53"/>
      <c r="AS52" s="54"/>
      <c r="AT52" s="97"/>
      <c r="AU52" s="52"/>
      <c r="AV52" s="53"/>
      <c r="AW52" s="53"/>
      <c r="AX52" s="53"/>
      <c r="AY52" s="53"/>
      <c r="AZ52" s="53"/>
      <c r="BA52" s="54"/>
      <c r="BB52" s="55"/>
      <c r="BC52" s="52"/>
      <c r="BD52" s="53"/>
      <c r="BE52" s="54"/>
      <c r="BF52" s="55"/>
    </row>
    <row r="53" customFormat="false" ht="15" hidden="false" customHeight="false" outlineLevel="0" collapsed="false">
      <c r="B53" s="20" t="n">
        <v>44927</v>
      </c>
      <c r="C53" s="84" t="n">
        <v>110061.73798997</v>
      </c>
      <c r="D53" s="22" t="n">
        <v>609.666200476995</v>
      </c>
      <c r="E53" s="23" t="n">
        <v>895499448.229393</v>
      </c>
      <c r="F53" s="23" t="n">
        <v>134392597.722882</v>
      </c>
      <c r="G53" s="23" t="n">
        <v>6920597.28640274</v>
      </c>
      <c r="H53" s="23" t="n">
        <v>449098370.21543</v>
      </c>
      <c r="I53" s="23" t="n">
        <v>8420002.20832593</v>
      </c>
      <c r="J53" s="23"/>
      <c r="K53" s="85"/>
      <c r="L53" s="86"/>
      <c r="M53" s="87"/>
      <c r="N53" s="85"/>
      <c r="O53" s="88"/>
      <c r="P53" s="86"/>
      <c r="Q53" s="87"/>
      <c r="R53" s="85"/>
      <c r="S53" s="88"/>
      <c r="T53" s="88"/>
      <c r="U53" s="88"/>
      <c r="V53" s="88"/>
      <c r="W53" s="88"/>
      <c r="X53" s="86"/>
      <c r="Y53" s="88"/>
      <c r="Z53" s="85"/>
      <c r="AA53" s="88"/>
      <c r="AB53" s="88"/>
      <c r="AC53" s="88"/>
      <c r="AD53" s="88"/>
      <c r="AE53" s="86"/>
      <c r="AF53" s="87"/>
      <c r="AG53" s="85"/>
      <c r="AH53" s="88"/>
      <c r="AI53" s="88"/>
      <c r="AJ53" s="88"/>
      <c r="AK53" s="88"/>
      <c r="AL53" s="86"/>
      <c r="AM53" s="87"/>
      <c r="AN53" s="85"/>
      <c r="AO53" s="88"/>
      <c r="AP53" s="99"/>
      <c r="AQ53" s="88"/>
      <c r="AR53" s="88"/>
      <c r="AS53" s="86"/>
      <c r="AT53" s="87"/>
      <c r="AU53" s="85"/>
      <c r="AV53" s="88"/>
      <c r="AW53" s="88"/>
      <c r="AX53" s="88"/>
      <c r="AY53" s="88"/>
      <c r="AZ53" s="88"/>
      <c r="BA53" s="86"/>
      <c r="BB53" s="89"/>
      <c r="BC53" s="29"/>
      <c r="BE53" s="30"/>
      <c r="BF53" s="89"/>
    </row>
    <row r="54" customFormat="false" ht="15" hidden="false" customHeight="false" outlineLevel="0" collapsed="false">
      <c r="B54" s="32" t="n">
        <v>44958</v>
      </c>
      <c r="C54" s="67" t="n">
        <v>111813.040364866</v>
      </c>
      <c r="D54" s="34" t="n">
        <v>618.994093344293</v>
      </c>
      <c r="E54" s="35" t="n">
        <v>773708345.64619</v>
      </c>
      <c r="F54" s="35" t="n">
        <v>135518591.670386</v>
      </c>
      <c r="G54" s="35" t="n">
        <v>6986017.46227684</v>
      </c>
      <c r="H54" s="35" t="n">
        <v>355330509.584174</v>
      </c>
      <c r="I54" s="35" t="n">
        <v>8425817.4301265</v>
      </c>
      <c r="J54" s="35" t="n">
        <f aca="false">AVERAGE(I53:I55)</f>
        <v>8425818.76887534</v>
      </c>
      <c r="K54" s="29"/>
      <c r="L54" s="30"/>
      <c r="M54" s="90"/>
      <c r="N54" s="29"/>
      <c r="P54" s="30"/>
      <c r="Q54" s="90"/>
      <c r="R54" s="29"/>
      <c r="X54" s="30"/>
      <c r="Z54" s="29"/>
      <c r="AE54" s="30"/>
      <c r="AF54" s="90"/>
      <c r="AG54" s="29"/>
      <c r="AL54" s="30"/>
      <c r="AM54" s="90"/>
      <c r="AN54" s="98"/>
      <c r="AP54" s="2"/>
      <c r="AS54" s="30"/>
      <c r="AT54" s="90"/>
      <c r="AU54" s="29"/>
      <c r="BA54" s="30"/>
      <c r="BB54" s="31"/>
      <c r="BC54" s="29"/>
      <c r="BE54" s="30"/>
      <c r="BF54" s="31"/>
    </row>
    <row r="55" customFormat="false" ht="15" hidden="false" customHeight="false" outlineLevel="0" collapsed="false">
      <c r="B55" s="32" t="n">
        <v>44986</v>
      </c>
      <c r="C55" s="67" t="n">
        <v>113592.209463152</v>
      </c>
      <c r="D55" s="34" t="n">
        <v>628.46470297246</v>
      </c>
      <c r="E55" s="35" t="n">
        <v>763446943.797914</v>
      </c>
      <c r="F55" s="35" t="n">
        <v>136796491.005469</v>
      </c>
      <c r="G55" s="35" t="n">
        <v>6788532.2763257</v>
      </c>
      <c r="H55" s="35" t="n">
        <v>360535470.83633</v>
      </c>
      <c r="I55" s="35" t="n">
        <v>8431636.66817359</v>
      </c>
      <c r="J55" s="35"/>
      <c r="K55" s="65" t="n">
        <f aca="false">D49/D46-1</f>
        <v>0.0552887597410001</v>
      </c>
      <c r="L55" s="66" t="n">
        <f aca="false">C49/C46-1</f>
        <v>0.0581054344914249</v>
      </c>
      <c r="M55" s="92" t="n">
        <f aca="false">K55*0.7+L55*0.3</f>
        <v>0.0561337621661276</v>
      </c>
      <c r="N55" s="65" t="n">
        <f aca="false">C52/C46-1</f>
        <v>0.119587110500287</v>
      </c>
      <c r="O55" s="60" t="n">
        <f aca="false">(SUM($E47:$E52)/AVERAGE($I47:$I52))/(SUM($E35:$E40)/AVERAGE($I35:$I40))-1</f>
        <v>0.296724756288631</v>
      </c>
      <c r="P55" s="66" t="n">
        <f aca="false">(SQRT(1+O55)-1)*1.03</f>
        <v>0.1429003768209</v>
      </c>
      <c r="Q55" s="92" t="n">
        <f aca="false">IF(N55&gt;P55,P55,N55)</f>
        <v>0.119587110500287</v>
      </c>
      <c r="R55" s="65" t="n">
        <f aca="false">$C52/$C46-1</f>
        <v>0.119587110500287</v>
      </c>
      <c r="S55" s="60" t="n">
        <f aca="false">((SUM($F47:$F52)/AVERAGE($I47:$I52))/(SUM($F35:$F40)/AVERAGE($I35:$I40))-1)/2</f>
        <v>0.150976140999579</v>
      </c>
      <c r="T55" s="60" t="n">
        <f aca="false">R55*0.5+S55*0.5</f>
        <v>0.135281625749933</v>
      </c>
      <c r="U55" s="60" t="n">
        <f aca="false">((SUM($H47:$H52)/AVERAGE($I47:$I52))/(SUM($H35:$H40)/AVERAGE($I35:$I40))-1)/2</f>
        <v>0.145864049088343</v>
      </c>
      <c r="V55" s="60" t="n">
        <f aca="false">IF(T55&gt;U55,U55,T55)</f>
        <v>0.135281625749933</v>
      </c>
      <c r="W55" s="60" t="n">
        <f aca="false">$D52/$D46-1</f>
        <v>0.113634366435698</v>
      </c>
      <c r="X55" s="66" t="n">
        <f aca="false">(V55+W55)/2</f>
        <v>0.124457996092816</v>
      </c>
      <c r="Y55" s="93" t="n">
        <f aca="false">IF(W55&gt;V55,X55,V55)</f>
        <v>0.135281625749933</v>
      </c>
      <c r="Z55" s="65" t="n">
        <f aca="false">AVERAGE($C47:$C52)/AVERAGE($C41:$C46)-1</f>
        <v>0.119587110500287</v>
      </c>
      <c r="AA55" s="60" t="n">
        <f aca="false">(((SUM($F47:$F52)-SUM($G47:$G52))/AVERAGE($I47:$I52))/((SUM($F35:$F40)-SUM($G35:$G40))/AVERAGE($I35:$I40))-1)</f>
        <v>0.302447118892791</v>
      </c>
      <c r="AB55" s="60" t="n">
        <f aca="false">SQRT(1+AA55)-1</f>
        <v>0.141248053182476</v>
      </c>
      <c r="AC55" s="60" t="n">
        <f aca="false">0.7*Z55+0.3*AB55</f>
        <v>0.126085393304944</v>
      </c>
      <c r="AD55" s="60"/>
      <c r="AE55" s="66"/>
      <c r="AF55" s="92" t="n">
        <f aca="false">AC55</f>
        <v>0.126085393304944</v>
      </c>
      <c r="AG55" s="65" t="n">
        <f aca="false">AVERAGE($C47:$C52)/AVERAGE($C41:$C46)-1</f>
        <v>0.119587110500287</v>
      </c>
      <c r="AH55" s="60" t="n">
        <f aca="false">(((SUM($F47:$F52))/AVERAGE($I47:$I52))/((SUM($F35:$F40))/AVERAGE($I35:$I40))-1)</f>
        <v>0.301952281999158</v>
      </c>
      <c r="AI55" s="60" t="n">
        <f aca="false">SQRT(1+AH55)-1</f>
        <v>0.141031236206598</v>
      </c>
      <c r="AJ55" s="60" t="n">
        <f aca="false">0.7*AG55+0.3*AI55</f>
        <v>0.126020348212181</v>
      </c>
      <c r="AK55" s="60"/>
      <c r="AL55" s="66"/>
      <c r="AM55" s="92" t="n">
        <f aca="false">AJ55</f>
        <v>0.126020348212181</v>
      </c>
      <c r="AN55" s="36" t="n">
        <f aca="false">C52/C46-1</f>
        <v>0.119587110500287</v>
      </c>
      <c r="AO55" s="60" t="n">
        <f aca="false">(((SUM($F47:$F52)-SUM($G47:$G52))/AVERAGE($I47:$I52))/((SUM($F35:$F40)-SUM($G35:$G40))/AVERAGE($I35:$I40))-1)</f>
        <v>0.302447118892791</v>
      </c>
      <c r="AP55" s="39" t="n">
        <f aca="false">SQRT(1+AO55)-1</f>
        <v>0.141248053182476</v>
      </c>
      <c r="AQ55" s="60" t="n">
        <f aca="false">0.5*AN55+0.5*AP55</f>
        <v>0.130417581841382</v>
      </c>
      <c r="AR55" s="60"/>
      <c r="AS55" s="66"/>
      <c r="AT55" s="92" t="n">
        <f aca="false">AQ55</f>
        <v>0.130417581841382</v>
      </c>
      <c r="AU55" s="65" t="n">
        <f aca="false">$C52/$C46-1</f>
        <v>0.119587110500287</v>
      </c>
      <c r="AV55" s="60" t="n">
        <f aca="false">(((SUM($F47:$F52)-SUM(G47:G52))/AVERAGE($I47:$I52))/((SUM($F35:$F40)-SUM(G35:G40))/AVERAGE($I35:$I40))-1)/2</f>
        <v>0.151223559446395</v>
      </c>
      <c r="AW55" s="60" t="n">
        <f aca="false">AU55*0.5+AV55*0.5</f>
        <v>0.135405334973341</v>
      </c>
      <c r="AX55" s="60" t="n">
        <f aca="false">((SUM($H47:$H52)/AVERAGE($I47:$I52))/(SUM($H35:$H40)/AVERAGE($I35:$I40))-1)/2</f>
        <v>0.145864049088343</v>
      </c>
      <c r="AY55" s="60" t="n">
        <f aca="false">IF(AW55&gt;AX55,AX55,AW55)</f>
        <v>0.135405334973341</v>
      </c>
      <c r="AZ55" s="60" t="n">
        <f aca="false">$D52/$D46-1</f>
        <v>0.113634366435698</v>
      </c>
      <c r="BA55" s="66" t="n">
        <f aca="false">(AY55+AZ55)/2</f>
        <v>0.12451985070452</v>
      </c>
      <c r="BB55" s="95" t="n">
        <f aca="false">IF(AZ55&gt;AY55,BA55,AY55)</f>
        <v>0.135405334973341</v>
      </c>
      <c r="BC55" s="65" t="n">
        <f aca="false">$C52/$C46-1</f>
        <v>0.119587110500287</v>
      </c>
      <c r="BD55" s="60" t="n">
        <f aca="false">(((SUM($H47:$H52))/AVERAGE($I47:$I52))/((SUM($H35:$H40))/AVERAGE($I35:$I40))-1)</f>
        <v>0.291728098176685</v>
      </c>
      <c r="BE55" s="66" t="n">
        <f aca="false">(SQRT(1+BD55)-1)*1.03</f>
        <v>0.14063843237596</v>
      </c>
      <c r="BF55" s="95" t="n">
        <f aca="false">MIN(BC55,BE55)</f>
        <v>0.119587110500287</v>
      </c>
    </row>
    <row r="56" customFormat="false" ht="15" hidden="false" customHeight="false" outlineLevel="0" collapsed="false">
      <c r="B56" s="32" t="n">
        <v>45017</v>
      </c>
      <c r="C56" s="67" t="n">
        <v>115399.688700129</v>
      </c>
      <c r="D56" s="34" t="n">
        <v>638.080212927939</v>
      </c>
      <c r="E56" s="35" t="n">
        <v>779034659.973762</v>
      </c>
      <c r="F56" s="35" t="n">
        <v>123126714.608808</v>
      </c>
      <c r="G56" s="35" t="n">
        <v>6111602.15794691</v>
      </c>
      <c r="H56" s="35" t="n">
        <v>350092507.460164</v>
      </c>
      <c r="I56" s="35" t="n">
        <v>8437459.92524101</v>
      </c>
      <c r="J56" s="35"/>
      <c r="K56" s="29"/>
      <c r="L56" s="30"/>
      <c r="M56" s="90"/>
      <c r="N56" s="29"/>
      <c r="P56" s="30"/>
      <c r="Q56" s="90"/>
      <c r="R56" s="29"/>
      <c r="X56" s="30"/>
      <c r="Z56" s="29"/>
      <c r="AE56" s="30"/>
      <c r="AF56" s="90"/>
      <c r="AG56" s="29"/>
      <c r="AL56" s="30"/>
      <c r="AM56" s="90"/>
      <c r="AN56" s="98"/>
      <c r="AP56" s="2"/>
      <c r="AS56" s="30"/>
      <c r="AT56" s="90"/>
      <c r="AU56" s="29"/>
      <c r="BA56" s="30"/>
      <c r="BB56" s="31"/>
      <c r="BC56" s="29"/>
      <c r="BE56" s="30"/>
      <c r="BF56" s="31"/>
    </row>
    <row r="57" customFormat="false" ht="15" hidden="false" customHeight="false" outlineLevel="0" collapsed="false">
      <c r="B57" s="32" t="n">
        <v>45047</v>
      </c>
      <c r="C57" s="67" t="n">
        <v>117235.928546726</v>
      </c>
      <c r="D57" s="34" t="n">
        <v>647.842840185737</v>
      </c>
      <c r="E57" s="35" t="n">
        <v>928406997.399364</v>
      </c>
      <c r="F57" s="35" t="n">
        <v>143507401.312773</v>
      </c>
      <c r="G57" s="35" t="n">
        <v>6084081.91913448</v>
      </c>
      <c r="H57" s="35" t="n">
        <v>370849426.380608</v>
      </c>
      <c r="I57" s="35" t="n">
        <v>8443287.20410445</v>
      </c>
      <c r="J57" s="35" t="n">
        <f aca="false">AVERAGE(I56:I58)</f>
        <v>8443288.545629</v>
      </c>
      <c r="K57" s="29"/>
      <c r="L57" s="30"/>
      <c r="M57" s="90"/>
      <c r="N57" s="29"/>
      <c r="P57" s="30"/>
      <c r="Q57" s="90"/>
      <c r="R57" s="29"/>
      <c r="X57" s="30"/>
      <c r="Z57" s="29"/>
      <c r="AE57" s="30"/>
      <c r="AF57" s="90"/>
      <c r="AG57" s="29"/>
      <c r="AL57" s="30"/>
      <c r="AM57" s="90"/>
      <c r="AN57" s="98"/>
      <c r="AP57" s="2"/>
      <c r="AS57" s="30"/>
      <c r="AT57" s="90"/>
      <c r="AU57" s="29"/>
      <c r="BA57" s="30"/>
      <c r="BB57" s="31"/>
      <c r="BC57" s="29"/>
      <c r="BE57" s="30"/>
      <c r="BF57" s="31"/>
    </row>
    <row r="58" customFormat="false" ht="15" hidden="false" customHeight="false" outlineLevel="0" collapsed="false">
      <c r="B58" s="32" t="n">
        <v>45078</v>
      </c>
      <c r="C58" s="67" t="n">
        <v>119101.386641761</v>
      </c>
      <c r="D58" s="34" t="n">
        <v>657.754835640578</v>
      </c>
      <c r="E58" s="35" t="n">
        <v>976864617.883237</v>
      </c>
      <c r="F58" s="35" t="n">
        <v>154772493.998724</v>
      </c>
      <c r="G58" s="35" t="n">
        <v>6071568.9665714</v>
      </c>
      <c r="H58" s="35" t="n">
        <v>386305960.632459</v>
      </c>
      <c r="I58" s="35" t="n">
        <v>8449118.50754155</v>
      </c>
      <c r="J58" s="35"/>
      <c r="K58" s="65" t="n">
        <f aca="false">D52/D49-1</f>
        <v>0.0552887597410001</v>
      </c>
      <c r="L58" s="66" t="n">
        <f aca="false">C52/C49-1</f>
        <v>0.0581054344914249</v>
      </c>
      <c r="M58" s="92" t="n">
        <f aca="false">K58*0.7+L58*0.3</f>
        <v>0.0561337621661276</v>
      </c>
      <c r="N58" s="29"/>
      <c r="P58" s="30"/>
      <c r="Q58" s="90"/>
      <c r="R58" s="29"/>
      <c r="X58" s="30"/>
      <c r="Z58" s="29"/>
      <c r="AE58" s="30"/>
      <c r="AF58" s="90"/>
      <c r="AG58" s="29"/>
      <c r="AL58" s="30"/>
      <c r="AM58" s="90"/>
      <c r="AN58" s="98"/>
      <c r="AP58" s="2"/>
      <c r="AS58" s="30"/>
      <c r="AT58" s="90"/>
      <c r="AU58" s="29"/>
      <c r="BA58" s="30"/>
      <c r="BB58" s="31"/>
      <c r="BC58" s="29"/>
      <c r="BE58" s="30"/>
      <c r="BF58" s="31"/>
    </row>
    <row r="59" customFormat="false" ht="15" hidden="false" customHeight="false" outlineLevel="0" collapsed="false">
      <c r="B59" s="32" t="n">
        <v>45108</v>
      </c>
      <c r="C59" s="67" t="n">
        <v>120996.527906005</v>
      </c>
      <c r="D59" s="34" t="n">
        <v>667.818484625879</v>
      </c>
      <c r="E59" s="35" t="n">
        <v>1053931669.56483</v>
      </c>
      <c r="F59" s="35" t="n">
        <v>161821999.187205</v>
      </c>
      <c r="G59" s="35" t="n">
        <v>6895546.68036121</v>
      </c>
      <c r="H59" s="35" t="n">
        <v>496018935.548829</v>
      </c>
      <c r="I59" s="35" t="n">
        <v>8454953.83833185</v>
      </c>
      <c r="J59" s="35"/>
      <c r="K59" s="29"/>
      <c r="L59" s="30"/>
      <c r="M59" s="90"/>
      <c r="N59" s="29"/>
      <c r="P59" s="30"/>
      <c r="Q59" s="90"/>
      <c r="R59" s="29"/>
      <c r="X59" s="30"/>
      <c r="Z59" s="29"/>
      <c r="AE59" s="30"/>
      <c r="AF59" s="90"/>
      <c r="AG59" s="29"/>
      <c r="AL59" s="30"/>
      <c r="AM59" s="90"/>
      <c r="AN59" s="98"/>
      <c r="AP59" s="2"/>
      <c r="AS59" s="30"/>
      <c r="AT59" s="90"/>
      <c r="AU59" s="29"/>
      <c r="BA59" s="30"/>
      <c r="BB59" s="31"/>
      <c r="BC59" s="29"/>
      <c r="BE59" s="30"/>
      <c r="BF59" s="31"/>
    </row>
    <row r="60" customFormat="false" ht="15" hidden="false" customHeight="false" outlineLevel="0" collapsed="false">
      <c r="B60" s="32" t="n">
        <v>45139</v>
      </c>
      <c r="C60" s="67" t="n">
        <v>122921.824658045</v>
      </c>
      <c r="D60" s="34" t="n">
        <v>678.036107440655</v>
      </c>
      <c r="E60" s="35" t="n">
        <v>974100409.150262</v>
      </c>
      <c r="F60" s="35" t="n">
        <v>161378354.806939</v>
      </c>
      <c r="G60" s="35" t="n">
        <v>6097469.59438085</v>
      </c>
      <c r="H60" s="35" t="n">
        <v>397293507.028413</v>
      </c>
      <c r="I60" s="35" t="n">
        <v>8460793.19925682</v>
      </c>
      <c r="J60" s="35" t="n">
        <f aca="false">AVERAGE(I59:I61)</f>
        <v>8460794.54356284</v>
      </c>
      <c r="K60" s="29"/>
      <c r="L60" s="30"/>
      <c r="M60" s="90"/>
      <c r="N60" s="29"/>
      <c r="P60" s="30"/>
      <c r="Q60" s="90"/>
      <c r="R60" s="29"/>
      <c r="X60" s="30"/>
      <c r="Z60" s="29"/>
      <c r="AE60" s="30"/>
      <c r="AF60" s="90"/>
      <c r="AG60" s="29"/>
      <c r="AL60" s="30"/>
      <c r="AM60" s="90"/>
      <c r="AN60" s="98"/>
      <c r="AP60" s="2"/>
      <c r="AS60" s="30"/>
      <c r="AT60" s="90"/>
      <c r="AU60" s="29"/>
      <c r="BA60" s="30"/>
      <c r="BB60" s="31"/>
      <c r="BC60" s="29"/>
      <c r="BE60" s="30"/>
      <c r="BF60" s="31"/>
    </row>
    <row r="61" customFormat="false" ht="15" hidden="false" customHeight="false" outlineLevel="0" collapsed="false">
      <c r="B61" s="32" t="n">
        <v>45170</v>
      </c>
      <c r="C61" s="67" t="n">
        <v>124877.756732004</v>
      </c>
      <c r="D61" s="34" t="n">
        <v>688.410059884498</v>
      </c>
      <c r="E61" s="35" t="n">
        <v>985568462.789117</v>
      </c>
      <c r="F61" s="35" t="n">
        <v>162633054.570622</v>
      </c>
      <c r="G61" s="35" t="n">
        <v>7222061.9788748</v>
      </c>
      <c r="H61" s="35" t="n">
        <v>406077814.632341</v>
      </c>
      <c r="I61" s="35" t="n">
        <v>8466636.59309985</v>
      </c>
      <c r="J61" s="35"/>
      <c r="K61" s="65" t="n">
        <f aca="false">D55/D52-1</f>
        <v>0.0466058515770003</v>
      </c>
      <c r="L61" s="66" t="n">
        <f aca="false">C55/C52-1</f>
        <v>0.0484996040190304</v>
      </c>
      <c r="M61" s="92" t="n">
        <f aca="false">K61*0.7+L61*0.3</f>
        <v>0.0471739773096093</v>
      </c>
      <c r="N61" s="65" t="n">
        <f aca="false">C58/C52-1</f>
        <v>0.0993514196280634</v>
      </c>
      <c r="O61" s="60" t="n">
        <f aca="false">(SUM($E53:$E58)/AVERAGE($I53:$I58))/(SUM($E41:$E46)/AVERAGE($I41:$I46))-1</f>
        <v>0.262859530013516</v>
      </c>
      <c r="P61" s="66" t="n">
        <f aca="false">(SQRT(1+O61)-1)*1.03</f>
        <v>0.127483336982153</v>
      </c>
      <c r="Q61" s="92" t="n">
        <f aca="false">IF(N61&gt;P61,P61,N61)</f>
        <v>0.0993514196280634</v>
      </c>
      <c r="R61" s="65" t="n">
        <f aca="false">$C58/$C52-1</f>
        <v>0.0993514196280634</v>
      </c>
      <c r="S61" s="60" t="n">
        <f aca="false">((SUM($F53:$F58)/AVERAGE($I53:$I58))/(SUM($F41:$F46)/AVERAGE($I41:$I46))-1)/2</f>
        <v>0.132108295063391</v>
      </c>
      <c r="T61" s="60" t="n">
        <f aca="false">R61*0.5+S61*0.5</f>
        <v>0.115729857345727</v>
      </c>
      <c r="U61" s="60" t="n">
        <f aca="false">((SUM($H53:$H58)/AVERAGE($I53:$I58))/(SUM($H41:$H46)/AVERAGE($I41:$I46))-1)/2</f>
        <v>0.131033968119649</v>
      </c>
      <c r="V61" s="60" t="n">
        <f aca="false">IF(T61&gt;U61,U61,T61)</f>
        <v>0.115729857345727</v>
      </c>
      <c r="W61" s="60" t="n">
        <f aca="false">$D58/$D52-1</f>
        <v>0.0953838085552179</v>
      </c>
      <c r="X61" s="66" t="n">
        <f aca="false">(V61+W61)/2</f>
        <v>0.105556832950473</v>
      </c>
      <c r="Y61" s="93" t="n">
        <f aca="false">IF(W61&gt;V61,X61,V61)</f>
        <v>0.115729857345727</v>
      </c>
      <c r="Z61" s="65" t="n">
        <f aca="false">AVERAGE($C53:$C58)/AVERAGE($C47:$C52)-1</f>
        <v>0.10756818895548</v>
      </c>
      <c r="AA61" s="60" t="n">
        <f aca="false">(((SUM($F53:$F58)-SUM($G53:$G58))/AVERAGE($I53:$I58))/((SUM($F41:$F46)-SUM($G41:$G46))/AVERAGE($I41:$I46))-1)</f>
        <v>0.265019919501971</v>
      </c>
      <c r="AB61" s="60" t="n">
        <f aca="false">SQRT(1+AA61)-1</f>
        <v>0.12473104318409</v>
      </c>
      <c r="AC61" s="60" t="n">
        <f aca="false">0.7*Z61+0.3*AB61</f>
        <v>0.112717045224063</v>
      </c>
      <c r="AD61" s="60" t="n">
        <f aca="false">((SUM($H47:$H58)-SUM(G47:G58))/AVERAGE($I47:$I58))/((SUM($H35:$H46)-SUM(G35:G46))/AVERAGE($I35:$I46))-1</f>
        <v>0.276129485892702</v>
      </c>
      <c r="AE61" s="66" t="n">
        <f aca="false">(1+AD61*1.03)/(1+AF55)-1</f>
        <v>0.1406003293408</v>
      </c>
      <c r="AF61" s="92" t="n">
        <f aca="false">IF(AC61&gt;AE61,AE61,AC61)</f>
        <v>0.112717045224063</v>
      </c>
      <c r="AG61" s="65" t="n">
        <f aca="false">AVERAGE($C53:$C58)/AVERAGE($C47:$C52)-1</f>
        <v>0.10756818895548</v>
      </c>
      <c r="AH61" s="60" t="n">
        <f aca="false">(((SUM($F53:$F58))/AVERAGE($I53:$I58))/((SUM($F41:$F46))/AVERAGE($I41:$I46))-1)</f>
        <v>0.264216590126783</v>
      </c>
      <c r="AI61" s="60" t="n">
        <f aca="false">SQRT(1+AH61)-1</f>
        <v>0.124373865814562</v>
      </c>
      <c r="AJ61" s="60" t="n">
        <f aca="false">0.7*AG61+0.3*AI61</f>
        <v>0.112609892013204</v>
      </c>
      <c r="AK61" s="60" t="n">
        <f aca="false">(SUM($H47:$H58)/AVERAGE($I47:$I58))/(SUM($H35:$H46)/AVERAGE($I35:$I46))-1</f>
        <v>0.275994079790944</v>
      </c>
      <c r="AL61" s="66" t="n">
        <f aca="false">(1+AK61*1.03)/(1+AM55)-1</f>
        <v>0.140542357181872</v>
      </c>
      <c r="AM61" s="92" t="n">
        <f aca="false">IF(AJ61&gt;AL61,AL61,AJ61)</f>
        <v>0.112609892013204</v>
      </c>
      <c r="AN61" s="36" t="n">
        <f aca="false">C58/C52-1</f>
        <v>0.0993514196280634</v>
      </c>
      <c r="AO61" s="60" t="n">
        <f aca="false">(((SUM($F53:$F58)-SUM($G53:$G58))/AVERAGE($I53:$I58))/((SUM($F41:$F46)-SUM($G41:$G46))/AVERAGE($I41:$I46))-1)</f>
        <v>0.265019919501971</v>
      </c>
      <c r="AP61" s="39" t="n">
        <f aca="false">SQRT(1+AO61)-1</f>
        <v>0.12473104318409</v>
      </c>
      <c r="AQ61" s="60" t="n">
        <f aca="false">0.5*AN61+0.5*AP61</f>
        <v>0.112041231406077</v>
      </c>
      <c r="AR61" s="60" t="n">
        <f aca="false">(SUM($H47:$H58)/AVERAGE($I47:$I58))/(SUM($H35:$H46)/AVERAGE($I35:$I46))-1</f>
        <v>0.275994079790944</v>
      </c>
      <c r="AS61" s="66" t="n">
        <f aca="false">(1+AR61*1.03)/(1+AT55)-1</f>
        <v>0.136105738989541</v>
      </c>
      <c r="AT61" s="92" t="n">
        <f aca="false">IF(AQ61&gt;AS61,AS61,AQ61)</f>
        <v>0.112041231406077</v>
      </c>
      <c r="AU61" s="65" t="n">
        <f aca="false">$C58/$C52-1</f>
        <v>0.0993514196280634</v>
      </c>
      <c r="AV61" s="60" t="n">
        <f aca="false">(((SUM($F53:$F58)-SUM(G53:G58))/AVERAGE($I53:$I58))/((SUM($F41:$F46)-SUM(G41:G46))/AVERAGE($I41:$I46))-1)/2</f>
        <v>0.132509959750986</v>
      </c>
      <c r="AW61" s="60" t="n">
        <f aca="false">AU61*0.5+AV61*0.5</f>
        <v>0.115930689689524</v>
      </c>
      <c r="AX61" s="60" t="n">
        <f aca="false">((SUM($H53:$H58)/AVERAGE($I53:$I58))/(SUM($H41:$H46)/AVERAGE($I41:$I46))-1)/2</f>
        <v>0.131033968119649</v>
      </c>
      <c r="AY61" s="60" t="n">
        <f aca="false">IF(AW61&gt;AX61,AX61,AW61)</f>
        <v>0.115930689689524</v>
      </c>
      <c r="AZ61" s="60" t="n">
        <f aca="false">$D58/$D52-1</f>
        <v>0.0953838085552179</v>
      </c>
      <c r="BA61" s="66" t="n">
        <f aca="false">(AY61+AZ61)/2</f>
        <v>0.105657249122371</v>
      </c>
      <c r="BB61" s="95" t="n">
        <f aca="false">IF(AZ61&gt;AY61,BA61,AY61)</f>
        <v>0.115930689689524</v>
      </c>
      <c r="BC61" s="65" t="n">
        <f aca="false">$C58/$C52-1</f>
        <v>0.0993514196280634</v>
      </c>
      <c r="BD61" s="60" t="n">
        <f aca="false">(((SUM($H53:$H58))/AVERAGE($I53:$I58))/((SUM($H41:$H46))/AVERAGE($I41:$I46))-1)</f>
        <v>0.262067936239297</v>
      </c>
      <c r="BE61" s="66" t="n">
        <f aca="false">(SQRT(1+BD61)-1)*1.03</f>
        <v>0.127120509521921</v>
      </c>
      <c r="BF61" s="95" t="n">
        <f aca="false">MIN(BC61,BE61)</f>
        <v>0.0993514196280634</v>
      </c>
    </row>
    <row r="62" customFormat="false" ht="15" hidden="false" customHeight="false" outlineLevel="0" collapsed="false">
      <c r="B62" s="32" t="n">
        <v>45200</v>
      </c>
      <c r="C62" s="67" t="n">
        <v>126864.811597124</v>
      </c>
      <c r="D62" s="34" t="n">
        <v>698.94273380073</v>
      </c>
      <c r="E62" s="35" t="n">
        <v>1004746773.78783</v>
      </c>
      <c r="F62" s="35" t="n">
        <v>175656714.104922</v>
      </c>
      <c r="G62" s="35" t="n">
        <v>7528933.98180624</v>
      </c>
      <c r="H62" s="35" t="n">
        <v>424884314.852611</v>
      </c>
      <c r="I62" s="35" t="n">
        <v>8472484.02264625</v>
      </c>
      <c r="J62" s="35"/>
      <c r="K62" s="29"/>
      <c r="L62" s="30"/>
      <c r="M62" s="90"/>
      <c r="N62" s="29"/>
      <c r="P62" s="30"/>
      <c r="Q62" s="90"/>
      <c r="R62" s="29"/>
      <c r="X62" s="30"/>
      <c r="Z62" s="29"/>
      <c r="AE62" s="30"/>
      <c r="AF62" s="90"/>
      <c r="AG62" s="29"/>
      <c r="AL62" s="30"/>
      <c r="AM62" s="90"/>
      <c r="AN62" s="98"/>
      <c r="AP62" s="2"/>
      <c r="AS62" s="30"/>
      <c r="AT62" s="90"/>
      <c r="AU62" s="29"/>
      <c r="BA62" s="30"/>
      <c r="BB62" s="31"/>
      <c r="BC62" s="29"/>
      <c r="BE62" s="30"/>
      <c r="BF62" s="31"/>
    </row>
    <row r="63" customFormat="false" ht="15" hidden="false" customHeight="false" outlineLevel="0" collapsed="false">
      <c r="B63" s="32" t="n">
        <v>45231</v>
      </c>
      <c r="C63" s="67" t="n">
        <v>128883.484479257</v>
      </c>
      <c r="D63" s="34" t="n">
        <v>709.636557627882</v>
      </c>
      <c r="E63" s="35" t="n">
        <v>940523163.791887</v>
      </c>
      <c r="F63" s="35" t="n">
        <v>162795615.063074</v>
      </c>
      <c r="G63" s="35" t="n">
        <v>7219345.31800256</v>
      </c>
      <c r="H63" s="35" t="n">
        <v>418223884.865353</v>
      </c>
      <c r="I63" s="35" t="n">
        <v>8478335.49068325</v>
      </c>
      <c r="J63" s="35" t="n">
        <f aca="false">AVERAGE(I62:I64)</f>
        <v>8478336.8377765</v>
      </c>
      <c r="K63" s="29"/>
      <c r="L63" s="30"/>
      <c r="M63" s="90"/>
      <c r="N63" s="29"/>
      <c r="P63" s="30"/>
      <c r="Q63" s="90"/>
      <c r="R63" s="29"/>
      <c r="X63" s="30"/>
      <c r="Z63" s="29"/>
      <c r="AE63" s="30"/>
      <c r="AF63" s="90"/>
      <c r="AG63" s="29"/>
      <c r="AL63" s="30"/>
      <c r="AM63" s="90"/>
      <c r="AN63" s="98"/>
      <c r="AP63" s="2"/>
      <c r="AS63" s="30"/>
      <c r="AT63" s="90"/>
      <c r="AU63" s="29"/>
      <c r="BA63" s="30"/>
      <c r="BB63" s="31"/>
      <c r="BC63" s="29"/>
      <c r="BE63" s="30"/>
      <c r="BF63" s="31"/>
    </row>
    <row r="64" customFormat="false" ht="15" hidden="false" customHeight="false" outlineLevel="0" collapsed="false">
      <c r="B64" s="42" t="n">
        <v>45261</v>
      </c>
      <c r="C64" s="74" t="n">
        <v>130934.278484291</v>
      </c>
      <c r="D64" s="44" t="n">
        <v>720.493996959588</v>
      </c>
      <c r="E64" s="45" t="n">
        <v>913277636.16441</v>
      </c>
      <c r="F64" s="45" t="n">
        <v>158995493.505841</v>
      </c>
      <c r="G64" s="45" t="n">
        <v>8317871.36161244</v>
      </c>
      <c r="H64" s="45" t="n">
        <v>419824796.344997</v>
      </c>
      <c r="I64" s="45" t="n">
        <v>8484191</v>
      </c>
      <c r="J64" s="45"/>
      <c r="K64" s="76" t="n">
        <f aca="false">D58/D55-1</f>
        <v>0.0466058515770003</v>
      </c>
      <c r="L64" s="78" t="n">
        <f aca="false">C58/C55-1</f>
        <v>0.0484996040190302</v>
      </c>
      <c r="M64" s="96" t="n">
        <f aca="false">K64*0.7+L64*0.3</f>
        <v>0.0471739773096092</v>
      </c>
      <c r="N64" s="52"/>
      <c r="O64" s="53"/>
      <c r="P64" s="54"/>
      <c r="Q64" s="97"/>
      <c r="R64" s="52"/>
      <c r="S64" s="53"/>
      <c r="T64" s="53"/>
      <c r="U64" s="53"/>
      <c r="V64" s="53"/>
      <c r="W64" s="53"/>
      <c r="X64" s="54"/>
      <c r="Y64" s="53"/>
      <c r="Z64" s="52"/>
      <c r="AA64" s="53"/>
      <c r="AB64" s="53"/>
      <c r="AC64" s="53"/>
      <c r="AD64" s="53"/>
      <c r="AE64" s="54"/>
      <c r="AF64" s="97"/>
      <c r="AG64" s="52"/>
      <c r="AH64" s="53"/>
      <c r="AI64" s="53"/>
      <c r="AJ64" s="53"/>
      <c r="AK64" s="53"/>
      <c r="AL64" s="54"/>
      <c r="AM64" s="97"/>
      <c r="AN64" s="100"/>
      <c r="AO64" s="53"/>
      <c r="AP64" s="101"/>
      <c r="AQ64" s="53"/>
      <c r="AR64" s="53"/>
      <c r="AS64" s="54"/>
      <c r="AT64" s="97"/>
      <c r="AU64" s="52"/>
      <c r="AV64" s="53"/>
      <c r="AW64" s="53"/>
      <c r="AX64" s="53"/>
      <c r="AY64" s="53"/>
      <c r="AZ64" s="53"/>
      <c r="BA64" s="54"/>
      <c r="BB64" s="55"/>
      <c r="BC64" s="52"/>
      <c r="BD64" s="53"/>
      <c r="BE64" s="54"/>
      <c r="BF64" s="55"/>
    </row>
    <row r="65" customFormat="false" ht="15" hidden="false" customHeight="false" outlineLevel="0" collapsed="false">
      <c r="B65" s="20" t="n">
        <v>45292</v>
      </c>
      <c r="C65" s="84" t="n">
        <v>132670.467016993</v>
      </c>
      <c r="D65" s="22" t="n">
        <v>729.860418920063</v>
      </c>
      <c r="E65" s="23" t="n">
        <v>1105670809.67628</v>
      </c>
      <c r="F65" s="23" t="n">
        <v>165461834.906022</v>
      </c>
      <c r="G65" s="23" t="n">
        <v>8361253.83040992</v>
      </c>
      <c r="H65" s="23" t="n">
        <v>555655308.400608</v>
      </c>
      <c r="I65" s="23" t="n">
        <v>8490829.0272956</v>
      </c>
      <c r="J65" s="23"/>
      <c r="K65" s="85"/>
      <c r="L65" s="86"/>
      <c r="M65" s="87"/>
      <c r="N65" s="85"/>
      <c r="O65" s="88"/>
      <c r="P65" s="86"/>
      <c r="Q65" s="87"/>
      <c r="R65" s="85"/>
      <c r="S65" s="88"/>
      <c r="T65" s="88"/>
      <c r="U65" s="88"/>
      <c r="V65" s="88"/>
      <c r="W65" s="88"/>
      <c r="X65" s="86"/>
      <c r="Y65" s="88"/>
      <c r="Z65" s="85"/>
      <c r="AA65" s="88"/>
      <c r="AB65" s="88"/>
      <c r="AC65" s="88"/>
      <c r="AD65" s="88"/>
      <c r="AE65" s="86"/>
      <c r="AF65" s="87"/>
      <c r="AG65" s="85"/>
      <c r="AH65" s="88"/>
      <c r="AI65" s="88"/>
      <c r="AJ65" s="88"/>
      <c r="AK65" s="88"/>
      <c r="AL65" s="86"/>
      <c r="AM65" s="87"/>
      <c r="AN65" s="102"/>
      <c r="AO65" s="88"/>
      <c r="AP65" s="99"/>
      <c r="AQ65" s="88"/>
      <c r="AR65" s="88"/>
      <c r="AS65" s="86"/>
      <c r="AT65" s="87"/>
      <c r="AU65" s="85"/>
      <c r="AV65" s="88"/>
      <c r="AW65" s="88"/>
      <c r="AX65" s="88"/>
      <c r="AY65" s="88"/>
      <c r="AZ65" s="88"/>
      <c r="BA65" s="86"/>
      <c r="BB65" s="89"/>
      <c r="BC65" s="29"/>
      <c r="BE65" s="30"/>
      <c r="BF65" s="89"/>
    </row>
    <row r="66" customFormat="false" ht="15" hidden="false" customHeight="false" outlineLevel="0" collapsed="false">
      <c r="B66" s="32" t="n">
        <v>45323</v>
      </c>
      <c r="C66" s="67" t="n">
        <v>134429.677409638</v>
      </c>
      <c r="D66" s="34" t="n">
        <v>739.348604366024</v>
      </c>
      <c r="E66" s="35" t="n">
        <v>952489830.625368</v>
      </c>
      <c r="F66" s="35" t="n">
        <v>166609155.919813</v>
      </c>
      <c r="G66" s="35" t="n">
        <v>8419906.64273693</v>
      </c>
      <c r="H66" s="35" t="n">
        <v>438658122.85841</v>
      </c>
      <c r="I66" s="35" t="n">
        <v>8497472.24818082</v>
      </c>
      <c r="J66" s="35" t="n">
        <f aca="false">AVERAGE(I65:I67)</f>
        <v>8497473.98073185</v>
      </c>
      <c r="K66" s="29"/>
      <c r="L66" s="30"/>
      <c r="M66" s="90"/>
      <c r="N66" s="29"/>
      <c r="P66" s="30"/>
      <c r="Q66" s="90"/>
      <c r="R66" s="29"/>
      <c r="X66" s="30"/>
      <c r="Z66" s="29"/>
      <c r="AE66" s="30"/>
      <c r="AF66" s="90"/>
      <c r="AG66" s="29"/>
      <c r="AL66" s="30"/>
      <c r="AM66" s="90"/>
      <c r="AN66" s="98"/>
      <c r="AP66" s="2"/>
      <c r="AS66" s="30"/>
      <c r="AT66" s="90"/>
      <c r="AU66" s="29"/>
      <c r="BA66" s="30"/>
      <c r="BB66" s="31"/>
      <c r="BC66" s="29"/>
      <c r="BE66" s="30"/>
      <c r="BF66" s="31"/>
    </row>
    <row r="67" customFormat="false" ht="15" hidden="false" customHeight="false" outlineLevel="0" collapsed="false">
      <c r="B67" s="32" t="n">
        <v>45352</v>
      </c>
      <c r="C67" s="67" t="n">
        <v>136212.21493209</v>
      </c>
      <c r="D67" s="34" t="n">
        <v>748.960136222782</v>
      </c>
      <c r="E67" s="35" t="n">
        <v>937328185.627931</v>
      </c>
      <c r="F67" s="35" t="n">
        <v>167865024.329637</v>
      </c>
      <c r="G67" s="35" t="n">
        <v>8162125.6492986</v>
      </c>
      <c r="H67" s="35" t="n">
        <v>443914853.91484</v>
      </c>
      <c r="I67" s="35" t="n">
        <v>8504120.66671914</v>
      </c>
      <c r="J67" s="35"/>
      <c r="K67" s="65" t="n">
        <f aca="false">D61/D58-1</f>
        <v>0.0466058515770003</v>
      </c>
      <c r="L67" s="66" t="n">
        <f aca="false">C61/C58-1</f>
        <v>0.0484996040190304</v>
      </c>
      <c r="M67" s="92" t="n">
        <f aca="false">K67*0.7+L67*0.3</f>
        <v>0.0471739773096093</v>
      </c>
      <c r="N67" s="65" t="n">
        <f aca="false">C64/C58-1</f>
        <v>0.0993514196280634</v>
      </c>
      <c r="O67" s="60" t="n">
        <f aca="false">(SUM($E59:$E64)/AVERAGE($I59:$I64))/(SUM($E47:$E52)/AVERAGE($I47:$I52))-1</f>
        <v>0.24222583587484</v>
      </c>
      <c r="P67" s="66" t="n">
        <f aca="false">(SQRT(1+O67)-1)*1.03</f>
        <v>0.117988409906484</v>
      </c>
      <c r="Q67" s="92" t="n">
        <f aca="false">IF(N67&gt;P67,P67,N67)</f>
        <v>0.0993514196280634</v>
      </c>
      <c r="R67" s="65" t="n">
        <f aca="false">$C64/$C58-1</f>
        <v>0.0993514196280634</v>
      </c>
      <c r="S67" s="60" t="n">
        <f aca="false">((SUM($F59:$F64)/AVERAGE($I59:$I64))/(SUM($F47:$F52)/AVERAGE($I47:$I52))-1)/2</f>
        <v>0.12180856618659</v>
      </c>
      <c r="T67" s="60" t="n">
        <f aca="false">R67*0.5+S67*0.5</f>
        <v>0.110579992907327</v>
      </c>
      <c r="U67" s="60" t="n">
        <f aca="false">((SUM($H59:$H64)/AVERAGE($I59:$I64))/(SUM($H47:$H52)/AVERAGE($I47:$I52))-1)/2</f>
        <v>0.119257500955521</v>
      </c>
      <c r="V67" s="60" t="n">
        <f aca="false">IF(T67&gt;U67,U67,T67)</f>
        <v>0.110579992907327</v>
      </c>
      <c r="W67" s="60" t="n">
        <f aca="false">$D64/$D58-1</f>
        <v>0.0953838085552181</v>
      </c>
      <c r="X67" s="66" t="n">
        <f aca="false">(V67+W67)/2</f>
        <v>0.102981900731272</v>
      </c>
      <c r="Y67" s="93" t="n">
        <f aca="false">IF(W67&gt;V67,X67,V67)</f>
        <v>0.110579992907327</v>
      </c>
      <c r="Z67" s="65" t="n">
        <f aca="false">AVERAGE($C59:$C64)/AVERAGE($C53:$C58)-1</f>
        <v>0.0993514196280636</v>
      </c>
      <c r="AA67" s="60" t="n">
        <f aca="false">(((SUM($F59:$F64)-SUM($G59:$G64))/AVERAGE($I59:$I64))/((SUM($F47:$F52)-SUM($G47:$G52))/AVERAGE($I47:$I52))-1)</f>
        <v>0.244199678407674</v>
      </c>
      <c r="AB67" s="60" t="n">
        <f aca="false">SQRT(1+AA67)-1</f>
        <v>0.115436989886777</v>
      </c>
      <c r="AC67" s="60" t="n">
        <f aca="false">0.7*Z67+0.3*AB67</f>
        <v>0.104177090705678</v>
      </c>
      <c r="AD67" s="60"/>
      <c r="AE67" s="66"/>
      <c r="AF67" s="92" t="n">
        <f aca="false">AC67</f>
        <v>0.104177090705678</v>
      </c>
      <c r="AG67" s="65" t="n">
        <f aca="false">AVERAGE($C59:$C64)/AVERAGE($C53:$C58)-1</f>
        <v>0.0993514196280636</v>
      </c>
      <c r="AH67" s="60" t="n">
        <f aca="false">(((SUM($F59:$F64))/AVERAGE($I59:$I64))/((SUM($F47:$F52))/AVERAGE($I47:$I52))-1)</f>
        <v>0.24361713237318</v>
      </c>
      <c r="AI67" s="60" t="n">
        <f aca="false">SQRT(1+AH67)-1</f>
        <v>0.115175830249732</v>
      </c>
      <c r="AJ67" s="60" t="n">
        <f aca="false">0.7*AG67+0.3*AI67</f>
        <v>0.104098742814564</v>
      </c>
      <c r="AK67" s="60"/>
      <c r="AL67" s="66"/>
      <c r="AM67" s="92" t="n">
        <f aca="false">AJ67</f>
        <v>0.104098742814564</v>
      </c>
      <c r="AN67" s="36" t="n">
        <f aca="false">C64/C58-1</f>
        <v>0.0993514196280634</v>
      </c>
      <c r="AO67" s="60" t="n">
        <f aca="false">(((SUM($F59:$F64)-SUM($G59:$G64))/AVERAGE($I59:$I64))/((SUM($F47:$F52)-SUM($G47:$G52))/AVERAGE($I47:$I52))-1)</f>
        <v>0.244199678407674</v>
      </c>
      <c r="AP67" s="39" t="n">
        <f aca="false">SQRT(1+AO67)-1</f>
        <v>0.115436989886777</v>
      </c>
      <c r="AQ67" s="60" t="n">
        <f aca="false">0.5*AN67+0.5*AP67</f>
        <v>0.10739420475742</v>
      </c>
      <c r="AR67" s="60"/>
      <c r="AS67" s="66"/>
      <c r="AT67" s="92" t="n">
        <f aca="false">AQ67</f>
        <v>0.10739420475742</v>
      </c>
      <c r="AU67" s="65" t="n">
        <f aca="false">$C64/$C58-1</f>
        <v>0.0993514196280634</v>
      </c>
      <c r="AV67" s="60" t="n">
        <f aca="false">(((SUM($F59:$F64)-SUM(G59:G64))/AVERAGE($I59:$I64))/((SUM($F47:$F52)-SUM(G47:G52))/AVERAGE($I47:$I52))-1)/2</f>
        <v>0.122099839203837</v>
      </c>
      <c r="AW67" s="60" t="n">
        <f aca="false">AU67*0.5+AV67*0.5</f>
        <v>0.11072562941595</v>
      </c>
      <c r="AX67" s="60" t="n">
        <f aca="false">((SUM($H59:$H64)/AVERAGE($I59:$I64))/(SUM($H47:$H52)/AVERAGE($I47:$I52))-1)/2</f>
        <v>0.119257500955521</v>
      </c>
      <c r="AY67" s="60" t="n">
        <f aca="false">IF(AW67&gt;AX67,AX67,AW67)</f>
        <v>0.11072562941595</v>
      </c>
      <c r="AZ67" s="60" t="n">
        <f aca="false">$D64/$D58-1</f>
        <v>0.0953838085552181</v>
      </c>
      <c r="BA67" s="66" t="n">
        <f aca="false">(AY67+AZ67)/2</f>
        <v>0.103054718985584</v>
      </c>
      <c r="BB67" s="95" t="n">
        <f aca="false">IF(AZ67&gt;AY67,BA67,AY67)</f>
        <v>0.11072562941595</v>
      </c>
      <c r="BC67" s="65" t="n">
        <f aca="false">$C64/$C58-1</f>
        <v>0.0993514196280634</v>
      </c>
      <c r="BD67" s="60" t="n">
        <f aca="false">(((SUM($H59:$H64))/AVERAGE($I59:$I64))/((SUM($H47:$H52))/AVERAGE($I47:$I52))-1)</f>
        <v>0.238515001911042</v>
      </c>
      <c r="BE67" s="66" t="n">
        <f aca="false">(SQRT(1+BD67)-1)*1.03</f>
        <v>0.116272465658765</v>
      </c>
      <c r="BF67" s="95" t="n">
        <f aca="false">MIN(BC67,BE67)</f>
        <v>0.0993514196280634</v>
      </c>
    </row>
    <row r="68" customFormat="false" ht="15" hidden="false" customHeight="false" outlineLevel="0" collapsed="false">
      <c r="B68" s="32" t="n">
        <v>45383</v>
      </c>
      <c r="C68" s="67" t="n">
        <v>138018.388902089</v>
      </c>
      <c r="D68" s="34" t="n">
        <v>758.696617993678</v>
      </c>
      <c r="E68" s="35" t="n">
        <v>954570263.469361</v>
      </c>
      <c r="F68" s="35" t="n">
        <v>150601299.234633</v>
      </c>
      <c r="G68" s="35" t="n">
        <v>7330477.14440682</v>
      </c>
      <c r="H68" s="35" t="n">
        <v>429737370.197141</v>
      </c>
      <c r="I68" s="35" t="n">
        <v>8510774.28697718</v>
      </c>
      <c r="J68" s="35"/>
      <c r="K68" s="29"/>
      <c r="L68" s="30"/>
      <c r="M68" s="90"/>
      <c r="N68" s="29"/>
      <c r="P68" s="30"/>
      <c r="Q68" s="90"/>
      <c r="R68" s="29"/>
      <c r="X68" s="30"/>
      <c r="Z68" s="29"/>
      <c r="AE68" s="30"/>
      <c r="AF68" s="90"/>
      <c r="AG68" s="29"/>
      <c r="AL68" s="30"/>
      <c r="AM68" s="90"/>
      <c r="AN68" s="98"/>
      <c r="AP68" s="2"/>
      <c r="AS68" s="30"/>
      <c r="AT68" s="90"/>
      <c r="AU68" s="29"/>
      <c r="BA68" s="30"/>
      <c r="BB68" s="31"/>
      <c r="BC68" s="29"/>
      <c r="BE68" s="30"/>
      <c r="BF68" s="31"/>
    </row>
    <row r="69" customFormat="false" ht="15" hidden="false" customHeight="false" outlineLevel="0" collapsed="false">
      <c r="B69" s="32" t="n">
        <v>45413</v>
      </c>
      <c r="C69" s="67" t="n">
        <v>139848.512738931</v>
      </c>
      <c r="D69" s="34" t="n">
        <v>768.559674027596</v>
      </c>
      <c r="E69" s="35" t="n">
        <v>1135579223.96671</v>
      </c>
      <c r="F69" s="35" t="n">
        <v>175379481.81686</v>
      </c>
      <c r="G69" s="35" t="n">
        <v>7279842.79412719</v>
      </c>
      <c r="H69" s="35" t="n">
        <v>453863799.53867</v>
      </c>
      <c r="I69" s="35" t="n">
        <v>8517433.11302479</v>
      </c>
      <c r="J69" s="35" t="n">
        <f aca="false">AVERAGE(I68:I70)</f>
        <v>8517434.84964564</v>
      </c>
      <c r="K69" s="29"/>
      <c r="L69" s="30"/>
      <c r="M69" s="90"/>
      <c r="N69" s="29"/>
      <c r="P69" s="30"/>
      <c r="Q69" s="90"/>
      <c r="R69" s="29"/>
      <c r="X69" s="30"/>
      <c r="Z69" s="29"/>
      <c r="AE69" s="30"/>
      <c r="AF69" s="90"/>
      <c r="AG69" s="29"/>
      <c r="AL69" s="30"/>
      <c r="AM69" s="90"/>
      <c r="AN69" s="98"/>
      <c r="AP69" s="2"/>
      <c r="AS69" s="30"/>
      <c r="AT69" s="90"/>
      <c r="AU69" s="29"/>
      <c r="BA69" s="30"/>
      <c r="BB69" s="31"/>
      <c r="BC69" s="29"/>
      <c r="BE69" s="30"/>
      <c r="BF69" s="31"/>
    </row>
    <row r="70" customFormat="false" ht="15" hidden="false" customHeight="false" outlineLevel="0" collapsed="false">
      <c r="B70" s="32" t="n">
        <v>45444</v>
      </c>
      <c r="C70" s="67" t="n">
        <v>141702.904017849</v>
      </c>
      <c r="D70" s="34" t="n">
        <v>778.550949789954</v>
      </c>
      <c r="E70" s="35" t="n">
        <v>1193685509.1345</v>
      </c>
      <c r="F70" s="35" t="n">
        <v>189266674.467519</v>
      </c>
      <c r="G70" s="35" t="n">
        <v>7247323.71044756</v>
      </c>
      <c r="H70" s="35" t="n">
        <v>472143462.646445</v>
      </c>
      <c r="I70" s="35" t="n">
        <v>8524097.14893495</v>
      </c>
      <c r="J70" s="35"/>
      <c r="K70" s="65" t="n">
        <f aca="false">D64/D61-1</f>
        <v>0.0466058515770005</v>
      </c>
      <c r="L70" s="66" t="n">
        <f aca="false">C64/C61-1</f>
        <v>0.0484996040190302</v>
      </c>
      <c r="M70" s="92" t="n">
        <f aca="false">K70*0.7+L70*0.3</f>
        <v>0.0471739773096094</v>
      </c>
      <c r="N70" s="29"/>
      <c r="P70" s="30"/>
      <c r="Q70" s="90"/>
      <c r="R70" s="29"/>
      <c r="X70" s="30"/>
      <c r="Z70" s="29"/>
      <c r="AE70" s="30"/>
      <c r="AF70" s="90"/>
      <c r="AG70" s="29"/>
      <c r="AL70" s="30"/>
      <c r="AM70" s="90"/>
      <c r="AN70" s="98"/>
      <c r="AP70" s="2"/>
      <c r="AS70" s="30"/>
      <c r="AT70" s="90"/>
      <c r="AU70" s="29"/>
      <c r="BA70" s="30"/>
      <c r="BB70" s="31"/>
      <c r="BC70" s="29"/>
      <c r="BE70" s="30"/>
      <c r="BF70" s="31"/>
    </row>
    <row r="71" customFormat="false" ht="15" hidden="false" customHeight="false" outlineLevel="0" collapsed="false">
      <c r="B71" s="32" t="n">
        <v>45474</v>
      </c>
      <c r="C71" s="67" t="n">
        <v>143581.884525126</v>
      </c>
      <c r="D71" s="34" t="n">
        <v>788.672112137224</v>
      </c>
      <c r="E71" s="35" t="n">
        <v>1282160579.53889</v>
      </c>
      <c r="F71" s="35" t="n">
        <v>196566961.687048</v>
      </c>
      <c r="G71" s="35" t="n">
        <v>8210984.07665095</v>
      </c>
      <c r="H71" s="35" t="n">
        <v>603830289.208397</v>
      </c>
      <c r="I71" s="35" t="n">
        <v>8530766.39878387</v>
      </c>
      <c r="J71" s="35"/>
      <c r="K71" s="29"/>
      <c r="L71" s="30"/>
      <c r="M71" s="90"/>
      <c r="N71" s="29"/>
      <c r="P71" s="30"/>
      <c r="Q71" s="90"/>
      <c r="R71" s="29"/>
      <c r="X71" s="30"/>
      <c r="Z71" s="29"/>
      <c r="AE71" s="30"/>
      <c r="AF71" s="90"/>
      <c r="AG71" s="29"/>
      <c r="AL71" s="30"/>
      <c r="AM71" s="90"/>
      <c r="AN71" s="98"/>
      <c r="AP71" s="2"/>
      <c r="AS71" s="30"/>
      <c r="AT71" s="90"/>
      <c r="AU71" s="29"/>
      <c r="BA71" s="30"/>
      <c r="BB71" s="31"/>
      <c r="BC71" s="29"/>
      <c r="BE71" s="30"/>
      <c r="BF71" s="31"/>
    </row>
    <row r="72" customFormat="false" ht="15" hidden="false" customHeight="false" outlineLevel="0" collapsed="false">
      <c r="B72" s="32" t="n">
        <v>45505</v>
      </c>
      <c r="C72" s="67" t="n">
        <v>145485.780313929</v>
      </c>
      <c r="D72" s="34" t="n">
        <v>798.924849595008</v>
      </c>
      <c r="E72" s="35" t="n">
        <v>1182629093.51947</v>
      </c>
      <c r="F72" s="35" t="n">
        <v>195840275.396378</v>
      </c>
      <c r="G72" s="35" t="n">
        <v>7243124.16212925</v>
      </c>
      <c r="H72" s="35" t="n">
        <v>482648973.037355</v>
      </c>
      <c r="I72" s="35" t="n">
        <v>8537440.86665093</v>
      </c>
      <c r="J72" s="35" t="n">
        <f aca="false">AVERAGE(I71:I73)</f>
        <v>8537442.60735117</v>
      </c>
      <c r="K72" s="29"/>
      <c r="L72" s="30"/>
      <c r="M72" s="90"/>
      <c r="N72" s="29"/>
      <c r="P72" s="30"/>
      <c r="Q72" s="90"/>
      <c r="R72" s="29"/>
      <c r="X72" s="30"/>
      <c r="Z72" s="29"/>
      <c r="AE72" s="30"/>
      <c r="AF72" s="90"/>
      <c r="AG72" s="29"/>
      <c r="AL72" s="30"/>
      <c r="AM72" s="90"/>
      <c r="AN72" s="98"/>
      <c r="AP72" s="2"/>
      <c r="AS72" s="30"/>
      <c r="AT72" s="90"/>
      <c r="AU72" s="29"/>
      <c r="BA72" s="30"/>
      <c r="BB72" s="31"/>
      <c r="BC72" s="29"/>
      <c r="BE72" s="30"/>
      <c r="BF72" s="31"/>
    </row>
    <row r="73" customFormat="false" ht="15" hidden="false" customHeight="false" outlineLevel="0" collapsed="false">
      <c r="B73" s="32" t="n">
        <v>45536</v>
      </c>
      <c r="C73" s="67" t="n">
        <v>147414.921760892</v>
      </c>
      <c r="D73" s="34" t="n">
        <v>809.310872639743</v>
      </c>
      <c r="E73" s="35" t="n">
        <v>1195093809.23822</v>
      </c>
      <c r="F73" s="35" t="n">
        <v>197305532.251316</v>
      </c>
      <c r="G73" s="35" t="n">
        <v>8558295.49338565</v>
      </c>
      <c r="H73" s="35" t="n">
        <v>492325127.77768</v>
      </c>
      <c r="I73" s="35" t="n">
        <v>8544120.5566187</v>
      </c>
      <c r="J73" s="35"/>
      <c r="K73" s="65" t="n">
        <f aca="false">D67/D64-1</f>
        <v>0.0395091969999997</v>
      </c>
      <c r="L73" s="66" t="n">
        <f aca="false">C67/C64-1</f>
        <v>0.0403098142739762</v>
      </c>
      <c r="M73" s="92" t="n">
        <f aca="false">K73*0.7+L73*0.3</f>
        <v>0.0397493821821926</v>
      </c>
      <c r="N73" s="65" t="n">
        <f aca="false">C70/C64-1</f>
        <v>0.0822445096747546</v>
      </c>
      <c r="O73" s="60" t="n">
        <f aca="false">(SUM($E65:$E70)/AVERAGE($I65:$I70))/(SUM($E53:$E58)/AVERAGE($I53:$I58))-1</f>
        <v>0.216643237984481</v>
      </c>
      <c r="P73" s="66" t="n">
        <f aca="false">(SQRT(1+O73)-1)*1.03</f>
        <v>0.106105985891165</v>
      </c>
      <c r="Q73" s="92" t="n">
        <f aca="false">IF(N73&gt;P73,P73,N73)</f>
        <v>0.0822445096747546</v>
      </c>
      <c r="R73" s="65" t="n">
        <f aca="false">$C70/$C64-1</f>
        <v>0.0822445096747546</v>
      </c>
      <c r="S73" s="60" t="n">
        <f aca="false">((SUM($F65:$F70)/AVERAGE($I65:$I70))/(SUM($F53:$F58)/AVERAGE($I53:$I58))-1)/2</f>
        <v>0.107696503858165</v>
      </c>
      <c r="T73" s="60" t="n">
        <f aca="false">R73*0.5+S73*0.5</f>
        <v>0.09497050676646</v>
      </c>
      <c r="U73" s="60" t="n">
        <f aca="false">((SUM($H65:$H70)/AVERAGE($I65:$I70))/(SUM($H53:$H58)/AVERAGE($I53:$I58))-1)/2</f>
        <v>0.109545002770891</v>
      </c>
      <c r="V73" s="60" t="n">
        <f aca="false">IF(T73&gt;U73,U73,T73)</f>
        <v>0.09497050676646</v>
      </c>
      <c r="W73" s="60" t="n">
        <f aca="false">$D70/$D64-1</f>
        <v>0.0805793706475841</v>
      </c>
      <c r="X73" s="66" t="n">
        <f aca="false">(V73+W73)/2</f>
        <v>0.0877749387070221</v>
      </c>
      <c r="Y73" s="93" t="n">
        <f aca="false">IF(W73&gt;V73,X73,V73)</f>
        <v>0.09497050676646</v>
      </c>
      <c r="Z73" s="65" t="n">
        <f aca="false">AVERAGE($C65:$C70)/AVERAGE($C59:$C64)-1</f>
        <v>0.0892195671448584</v>
      </c>
      <c r="AA73" s="60" t="n">
        <f aca="false">(((SUM($F65:$F70)-SUM($G65:$G70))/AVERAGE($I65:$I70))/((SUM($F53:$F58)-SUM($G53:$G58))/AVERAGE($I53:$I58))-1)</f>
        <v>0.216602835774919</v>
      </c>
      <c r="AB73" s="60" t="n">
        <f aca="false">SQRT(1+AA73)-1</f>
        <v>0.102997205696787</v>
      </c>
      <c r="AC73" s="60" t="n">
        <f aca="false">0.7*Z73+0.3*AB73</f>
        <v>0.0933528587104369</v>
      </c>
      <c r="AD73" s="60" t="n">
        <f aca="false">((SUM($H59:$H70)-SUM(G59:G70))/AVERAGE($I59:$I70))/((SUM($H47:$H58)-SUM(G47:G58))/AVERAGE($I47:$I58))-1</f>
        <v>0.228642693567574</v>
      </c>
      <c r="AE73" s="66" t="n">
        <f aca="false">(1+AD73*1.03)/(1+AF67)-1</f>
        <v>0.118934620881325</v>
      </c>
      <c r="AF73" s="92" t="n">
        <f aca="false">IF(AC73&gt;AE73,AE73,AC73)</f>
        <v>0.0933528587104369</v>
      </c>
      <c r="AG73" s="65" t="n">
        <f aca="false">AVERAGE($C65:$C70)/AVERAGE($C59:$C64)-1</f>
        <v>0.0892195671448584</v>
      </c>
      <c r="AH73" s="60" t="n">
        <f aca="false">(((SUM($F65:$F70))/AVERAGE($I65:$I70))/((SUM($F53:$F58))/AVERAGE($I53:$I58))-1)</f>
        <v>0.215393007716331</v>
      </c>
      <c r="AI73" s="60" t="n">
        <f aca="false">SQRT(1+AH73)-1</f>
        <v>0.10244864175903</v>
      </c>
      <c r="AJ73" s="60" t="n">
        <f aca="false">0.7*AG73+0.3*AI73</f>
        <v>0.09318828952911</v>
      </c>
      <c r="AK73" s="60" t="n">
        <f aca="false">(SUM($H59:$H70)/AVERAGE($I59:$I70))/(SUM($H47:$H58)/AVERAGE($I47:$I58))-1</f>
        <v>0.228322558541141</v>
      </c>
      <c r="AL73" s="66" t="n">
        <f aca="false">(1+AK73*1.03)/(1+AM67)-1</f>
        <v>0.118715371551533</v>
      </c>
      <c r="AM73" s="92" t="n">
        <f aca="false">IF(AJ73&gt;AL73,AL73,AJ73)</f>
        <v>0.09318828952911</v>
      </c>
      <c r="AN73" s="36" t="n">
        <f aca="false">C70/C64-1</f>
        <v>0.0822445096747546</v>
      </c>
      <c r="AO73" s="60" t="n">
        <f aca="false">(((SUM($F65:$F70)-SUM($G65:$G70))/AVERAGE($I65:$I70))/((SUM($F53:$F58)-SUM($G53:$G58))/AVERAGE($I53:$I58))-1)</f>
        <v>0.216602835774919</v>
      </c>
      <c r="AP73" s="39" t="n">
        <f aca="false">SQRT(1+AO73)-1</f>
        <v>0.102997205696787</v>
      </c>
      <c r="AQ73" s="60" t="n">
        <f aca="false">0.5*AN73+0.5*AP73</f>
        <v>0.0926208576857708</v>
      </c>
      <c r="AR73" s="60" t="n">
        <f aca="false">(SUM($H59:$H70)/AVERAGE($I59:$I70))/(SUM($H47:$H58)/AVERAGE($I47:$I58))-1</f>
        <v>0.228322558541141</v>
      </c>
      <c r="AS73" s="66" t="n">
        <f aca="false">(1+AR73*1.03)/(1+AT67)-1</f>
        <v>0.115386219280374</v>
      </c>
      <c r="AT73" s="92" t="n">
        <f aca="false">IF(AQ73&gt;AS73,AS73,AQ73)</f>
        <v>0.0926208576857708</v>
      </c>
      <c r="AU73" s="65" t="n">
        <f aca="false">$C70/$C64-1</f>
        <v>0.0822445096747546</v>
      </c>
      <c r="AV73" s="60" t="n">
        <f aca="false">(((SUM($F65:$F70)-SUM(G65:G70))/AVERAGE($I65:$I70))/((SUM($F53:$F58)-SUM(G53:G58))/AVERAGE($I53:$I58))-1)/2</f>
        <v>0.10830141788746</v>
      </c>
      <c r="AW73" s="60" t="n">
        <f aca="false">AU73*0.5+AV73*0.5</f>
        <v>0.0952729637811072</v>
      </c>
      <c r="AX73" s="60" t="n">
        <f aca="false">((SUM($H65:$H70)/AVERAGE($I65:$I70))/(SUM($H53:$H58)/AVERAGE($I53:$I58))-1)/2</f>
        <v>0.109545002770891</v>
      </c>
      <c r="AY73" s="60" t="n">
        <f aca="false">IF(AW73&gt;AX73,AX73,AW73)</f>
        <v>0.0952729637811072</v>
      </c>
      <c r="AZ73" s="60" t="n">
        <f aca="false">$D70/$D64-1</f>
        <v>0.0805793706475841</v>
      </c>
      <c r="BA73" s="66" t="n">
        <f aca="false">(AY73+AZ73)/2</f>
        <v>0.0879261672143457</v>
      </c>
      <c r="BB73" s="95" t="n">
        <f aca="false">IF(AZ73&gt;AY73,BA73,AY73)</f>
        <v>0.0952729637811072</v>
      </c>
      <c r="BC73" s="65" t="n">
        <f aca="false">$C70/$C64-1</f>
        <v>0.0822445096747546</v>
      </c>
      <c r="BD73" s="60" t="n">
        <f aca="false">(((SUM($H65:$H70))/AVERAGE($I65:$I70))/((SUM($H53:$H58))/AVERAGE($I53:$I58))-1)</f>
        <v>0.219090005541782</v>
      </c>
      <c r="BE73" s="66" t="n">
        <f aca="false">(SQRT(1+BD73)-1)*1.03</f>
        <v>0.10724781243108</v>
      </c>
      <c r="BF73" s="95" t="n">
        <f aca="false">MIN(BC73,BE73)</f>
        <v>0.0822445096747546</v>
      </c>
    </row>
    <row r="74" customFormat="false" ht="15" hidden="false" customHeight="false" outlineLevel="0" collapsed="false">
      <c r="B74" s="32" t="n">
        <v>45566</v>
      </c>
      <c r="C74" s="67" t="n">
        <v>149369.643623441</v>
      </c>
      <c r="D74" s="34" t="n">
        <v>819.831913984059</v>
      </c>
      <c r="E74" s="35" t="n">
        <v>1213066874.52549</v>
      </c>
      <c r="F74" s="35" t="n">
        <v>211792108.356853</v>
      </c>
      <c r="G74" s="35" t="n">
        <v>8900396.09942451</v>
      </c>
      <c r="H74" s="35" t="n">
        <v>512976256.602912</v>
      </c>
      <c r="I74" s="35" t="n">
        <v>8550805.47277296</v>
      </c>
      <c r="J74" s="35"/>
      <c r="K74" s="29"/>
      <c r="L74" s="30"/>
      <c r="M74" s="90"/>
      <c r="N74" s="29"/>
      <c r="P74" s="30"/>
      <c r="Q74" s="90"/>
      <c r="R74" s="29"/>
      <c r="X74" s="30"/>
      <c r="Z74" s="29"/>
      <c r="AE74" s="30"/>
      <c r="AF74" s="90"/>
      <c r="AG74" s="29"/>
      <c r="AL74" s="30"/>
      <c r="AM74" s="90"/>
      <c r="AN74" s="98"/>
      <c r="AP74" s="2"/>
      <c r="AS74" s="30"/>
      <c r="AT74" s="90"/>
      <c r="AU74" s="29"/>
      <c r="BA74" s="30"/>
      <c r="BB74" s="31"/>
      <c r="BC74" s="29"/>
      <c r="BE74" s="30"/>
      <c r="BF74" s="31"/>
    </row>
    <row r="75" customFormat="false" ht="15" hidden="false" customHeight="false" outlineLevel="0" collapsed="false">
      <c r="B75" s="32" t="n">
        <v>45597</v>
      </c>
      <c r="C75" s="67" t="n">
        <v>151350.285097888</v>
      </c>
      <c r="D75" s="34" t="n">
        <v>830.489728865852</v>
      </c>
      <c r="E75" s="35" t="n">
        <v>1135218114.32028</v>
      </c>
      <c r="F75" s="35" t="n">
        <v>196215005.995776</v>
      </c>
      <c r="G75" s="35" t="n">
        <v>8589664.29673446</v>
      </c>
      <c r="H75" s="35" t="n">
        <v>504030718.009521</v>
      </c>
      <c r="I75" s="35" t="n">
        <v>8557495.61920267</v>
      </c>
      <c r="J75" s="35" t="n">
        <f aca="false">AVERAGE(I74:I76)</f>
        <v>8557497.36399188</v>
      </c>
      <c r="K75" s="29"/>
      <c r="L75" s="30"/>
      <c r="M75" s="90"/>
      <c r="N75" s="29"/>
      <c r="P75" s="30"/>
      <c r="Q75" s="90"/>
      <c r="R75" s="29"/>
      <c r="X75" s="30"/>
      <c r="Z75" s="29"/>
      <c r="AE75" s="30"/>
      <c r="AF75" s="90"/>
      <c r="AG75" s="29"/>
      <c r="AL75" s="30"/>
      <c r="AM75" s="90"/>
      <c r="AN75" s="98"/>
      <c r="AP75" s="2"/>
      <c r="AS75" s="30"/>
      <c r="AT75" s="90"/>
      <c r="AU75" s="29"/>
      <c r="BA75" s="30"/>
      <c r="BB75" s="31"/>
      <c r="BC75" s="29"/>
      <c r="BE75" s="30"/>
      <c r="BF75" s="31"/>
    </row>
    <row r="76" customFormat="false" ht="15" hidden="false" customHeight="false" outlineLevel="0" collapsed="false">
      <c r="B76" s="42" t="n">
        <v>45627</v>
      </c>
      <c r="C76" s="74" t="n">
        <v>153357.189878286</v>
      </c>
      <c r="D76" s="44" t="n">
        <v>841.286095341108</v>
      </c>
      <c r="E76" s="45" t="n">
        <v>1095545482.87313</v>
      </c>
      <c r="F76" s="45" t="n">
        <v>191040106.052077</v>
      </c>
      <c r="G76" s="45" t="n">
        <v>9758146.84105921</v>
      </c>
      <c r="H76" s="45" t="n">
        <v>504500422.40438</v>
      </c>
      <c r="I76" s="45" t="n">
        <v>8564191</v>
      </c>
      <c r="J76" s="45"/>
      <c r="K76" s="76" t="n">
        <f aca="false">D70/D67-1</f>
        <v>0.0395091969999997</v>
      </c>
      <c r="L76" s="78" t="n">
        <f aca="false">C70/C67-1</f>
        <v>0.040309814273976</v>
      </c>
      <c r="M76" s="96" t="n">
        <f aca="false">K76*0.7+L76*0.3</f>
        <v>0.0397493821821925</v>
      </c>
      <c r="N76" s="52"/>
      <c r="O76" s="53"/>
      <c r="P76" s="54"/>
      <c r="Q76" s="97"/>
      <c r="R76" s="52"/>
      <c r="S76" s="53"/>
      <c r="T76" s="53"/>
      <c r="U76" s="53"/>
      <c r="V76" s="53"/>
      <c r="W76" s="53"/>
      <c r="X76" s="54"/>
      <c r="Y76" s="53"/>
      <c r="Z76" s="52"/>
      <c r="AA76" s="53"/>
      <c r="AB76" s="53"/>
      <c r="AC76" s="53"/>
      <c r="AD76" s="53"/>
      <c r="AE76" s="54"/>
      <c r="AF76" s="97"/>
      <c r="AG76" s="52"/>
      <c r="AH76" s="53"/>
      <c r="AI76" s="53"/>
      <c r="AJ76" s="53"/>
      <c r="AK76" s="53"/>
      <c r="AL76" s="54"/>
      <c r="AM76" s="97"/>
      <c r="AN76" s="100"/>
      <c r="AO76" s="53"/>
      <c r="AP76" s="101"/>
      <c r="AQ76" s="53"/>
      <c r="AR76" s="53"/>
      <c r="AS76" s="54"/>
      <c r="AT76" s="97"/>
      <c r="AU76" s="52"/>
      <c r="AV76" s="53"/>
      <c r="AW76" s="53"/>
      <c r="AX76" s="53"/>
      <c r="AY76" s="53"/>
      <c r="AZ76" s="53"/>
      <c r="BA76" s="54"/>
      <c r="BB76" s="55"/>
      <c r="BC76" s="52"/>
      <c r="BD76" s="53"/>
      <c r="BE76" s="54"/>
      <c r="BF76" s="55"/>
    </row>
    <row r="77" customFormat="false" ht="15" hidden="false" customHeight="false" outlineLevel="0" collapsed="false">
      <c r="B77" s="20" t="n">
        <v>45658</v>
      </c>
      <c r="C77" s="84" t="n">
        <v>155173.705792395</v>
      </c>
      <c r="D77" s="22" t="n">
        <v>850.960885437531</v>
      </c>
      <c r="E77" s="23" t="n">
        <v>1329647021.49043</v>
      </c>
      <c r="F77" s="23" t="n">
        <v>197476349.44915</v>
      </c>
      <c r="G77" s="23" t="n">
        <v>9744835.20943038</v>
      </c>
      <c r="H77" s="23" t="n">
        <v>670879112.468107</v>
      </c>
      <c r="I77" s="23" t="n">
        <v>8571655.11644227</v>
      </c>
      <c r="J77" s="23"/>
      <c r="K77" s="85"/>
      <c r="L77" s="86"/>
      <c r="M77" s="87"/>
      <c r="N77" s="85"/>
      <c r="O77" s="88"/>
      <c r="P77" s="86"/>
      <c r="Q77" s="87"/>
      <c r="R77" s="85"/>
      <c r="S77" s="88"/>
      <c r="T77" s="88"/>
      <c r="U77" s="88"/>
      <c r="V77" s="88"/>
      <c r="W77" s="88"/>
      <c r="X77" s="86"/>
      <c r="Y77" s="88"/>
      <c r="Z77" s="85"/>
      <c r="AA77" s="88"/>
      <c r="AB77" s="88"/>
      <c r="AC77" s="88"/>
      <c r="AD77" s="88"/>
      <c r="AE77" s="86"/>
      <c r="AF77" s="87"/>
      <c r="AG77" s="85"/>
      <c r="AH77" s="88"/>
      <c r="AI77" s="88"/>
      <c r="AJ77" s="88"/>
      <c r="AK77" s="88"/>
      <c r="AL77" s="86"/>
      <c r="AM77" s="87"/>
      <c r="AN77" s="102"/>
      <c r="AO77" s="88"/>
      <c r="AP77" s="99"/>
      <c r="AQ77" s="88"/>
      <c r="AR77" s="88"/>
      <c r="AS77" s="86"/>
      <c r="AT77" s="87"/>
      <c r="AU77" s="85"/>
      <c r="AV77" s="88"/>
      <c r="AW77" s="88"/>
      <c r="AX77" s="88"/>
      <c r="AY77" s="88"/>
      <c r="AZ77" s="88"/>
      <c r="BA77" s="86"/>
      <c r="BB77" s="89"/>
      <c r="BC77" s="29"/>
      <c r="BE77" s="30"/>
      <c r="BF77" s="89"/>
    </row>
    <row r="78" customFormat="false" ht="15" hidden="false" customHeight="false" outlineLevel="0" collapsed="false">
      <c r="B78" s="32" t="n">
        <v>45689</v>
      </c>
      <c r="C78" s="67" t="n">
        <v>157011.738337506</v>
      </c>
      <c r="D78" s="34" t="n">
        <v>860.746935620062</v>
      </c>
      <c r="E78" s="35" t="n">
        <v>1141850553.40674</v>
      </c>
      <c r="F78" s="35" t="n">
        <v>198567525.82376</v>
      </c>
      <c r="G78" s="35" t="n">
        <v>9806027.55879434</v>
      </c>
      <c r="H78" s="35" t="n">
        <v>528224706.008188</v>
      </c>
      <c r="I78" s="35" t="n">
        <v>8579125.73823155</v>
      </c>
      <c r="J78" s="35" t="n">
        <f aca="false">AVERAGE(I77:I79)</f>
        <v>8579127.90857046</v>
      </c>
      <c r="K78" s="29"/>
      <c r="L78" s="30"/>
      <c r="M78" s="90"/>
      <c r="N78" s="29"/>
      <c r="P78" s="30"/>
      <c r="Q78" s="90"/>
      <c r="R78" s="29"/>
      <c r="X78" s="30"/>
      <c r="Z78" s="29"/>
      <c r="AE78" s="30"/>
      <c r="AF78" s="90"/>
      <c r="AG78" s="29"/>
      <c r="AL78" s="30"/>
      <c r="AM78" s="90"/>
      <c r="AN78" s="98"/>
      <c r="AP78" s="2"/>
      <c r="AS78" s="30"/>
      <c r="AT78" s="90"/>
      <c r="AU78" s="29"/>
      <c r="BA78" s="30"/>
      <c r="BB78" s="31"/>
      <c r="BC78" s="29"/>
      <c r="BE78" s="30"/>
      <c r="BF78" s="31"/>
    </row>
    <row r="79" customFormat="false" ht="15" hidden="false" customHeight="false" outlineLevel="0" collapsed="false">
      <c r="B79" s="32" t="n">
        <v>45717</v>
      </c>
      <c r="C79" s="67" t="n">
        <v>158871.542378113</v>
      </c>
      <c r="D79" s="34" t="n">
        <v>870.645525379693</v>
      </c>
      <c r="E79" s="35" t="n">
        <v>1121292391.86409</v>
      </c>
      <c r="F79" s="35" t="n">
        <v>199667675.306043</v>
      </c>
      <c r="G79" s="35" t="n">
        <v>9498867.96850699</v>
      </c>
      <c r="H79" s="35" t="n">
        <v>533496751.236861</v>
      </c>
      <c r="I79" s="35" t="n">
        <v>8586602.87103756</v>
      </c>
      <c r="J79" s="35"/>
      <c r="K79" s="65" t="n">
        <f aca="false">D73/D70-1</f>
        <v>0.0395091969999997</v>
      </c>
      <c r="L79" s="66" t="n">
        <f aca="false">C73/C70-1</f>
        <v>0.0403098142739762</v>
      </c>
      <c r="M79" s="92" t="n">
        <f aca="false">K79*0.7+L79*0.3</f>
        <v>0.0397493821821926</v>
      </c>
      <c r="N79" s="65" t="n">
        <f aca="false">C76/C70-1</f>
        <v>0.0822445096747546</v>
      </c>
      <c r="O79" s="60" t="n">
        <f aca="false">(SUM($E71:$E76)/AVERAGE($I71:$I76))/(SUM($E59:$E64)/AVERAGE($I59:$I64))-1</f>
        <v>0.198704181425593</v>
      </c>
      <c r="P79" s="66" t="n">
        <f aca="false">(SQRT(1+O79)-1)*1.03</f>
        <v>0.0976991026308442</v>
      </c>
      <c r="Q79" s="92" t="n">
        <f aca="false">IF(N79&gt;P79,P79,N79)</f>
        <v>0.0822445096747546</v>
      </c>
      <c r="R79" s="65" t="n">
        <f aca="false">$C76/$C70-1</f>
        <v>0.0822445096747546</v>
      </c>
      <c r="S79" s="60" t="n">
        <f aca="false">((SUM($F71:$F76)/AVERAGE($I71:$I76))/(SUM($F59:$F64)/AVERAGE($I59:$I64))-1)/2</f>
        <v>0.0989767854411162</v>
      </c>
      <c r="T79" s="60" t="n">
        <f aca="false">R79*0.5+S79*0.5</f>
        <v>0.0906106475579354</v>
      </c>
      <c r="U79" s="60" t="n">
        <f aca="false">((SUM($H71:$H76)/AVERAGE($I71:$I76))/(SUM($H59:$H64)/AVERAGE($I59:$I64))-1)/2</f>
        <v>0.0994666322840597</v>
      </c>
      <c r="V79" s="60" t="n">
        <f aca="false">IF(T79&gt;U79,U79,T79)</f>
        <v>0.0906106475579354</v>
      </c>
      <c r="W79" s="60" t="n">
        <f aca="false">$D76/$D70-1</f>
        <v>0.0805793706475841</v>
      </c>
      <c r="X79" s="66" t="n">
        <f aca="false">(V79+W79)/2</f>
        <v>0.0855950091027598</v>
      </c>
      <c r="Y79" s="93" t="n">
        <f aca="false">IF(W79&gt;V79,X79,V79)</f>
        <v>0.0906106475579354</v>
      </c>
      <c r="Z79" s="65" t="n">
        <f aca="false">AVERAGE($C71:$C76)/AVERAGE($C65:$C70)-1</f>
        <v>0.0822445096747546</v>
      </c>
      <c r="AA79" s="60" t="n">
        <f aca="false">(((SUM($F71:$F76)-SUM($G71:$G76))/AVERAGE($I71:$I76))/((SUM($F59:$F64)-SUM($G59:$G64))/AVERAGE($I59:$I64))-1)</f>
        <v>0.199076439904703</v>
      </c>
      <c r="AB79" s="60" t="n">
        <f aca="false">SQRT(1+AA79)-1</f>
        <v>0.0950234882890426</v>
      </c>
      <c r="AC79" s="60" t="n">
        <f aca="false">0.7*Z79+0.3*AB79</f>
        <v>0.086078203259041</v>
      </c>
      <c r="AD79" s="60"/>
      <c r="AE79" s="66"/>
      <c r="AF79" s="92" t="n">
        <f aca="false">AC79</f>
        <v>0.086078203259041</v>
      </c>
      <c r="AG79" s="65" t="n">
        <f aca="false">AVERAGE($C71:$C76)/AVERAGE($C65:$C70)-1</f>
        <v>0.0822445096747546</v>
      </c>
      <c r="AH79" s="60" t="n">
        <f aca="false">(((SUM($F71:$F76))/AVERAGE($I71:$I76))/((SUM($F59:$F64))/AVERAGE($I59:$I64))-1)</f>
        <v>0.197953570882232</v>
      </c>
      <c r="AI79" s="60" t="n">
        <f aca="false">SQRT(1+AH79)-1</f>
        <v>0.0945106536175116</v>
      </c>
      <c r="AJ79" s="60" t="n">
        <f aca="false">0.7*AG79+0.3*AI79</f>
        <v>0.0859243528575817</v>
      </c>
      <c r="AK79" s="60"/>
      <c r="AL79" s="66"/>
      <c r="AM79" s="92" t="n">
        <f aca="false">AJ79</f>
        <v>0.0859243528575817</v>
      </c>
      <c r="AN79" s="36" t="n">
        <f aca="false">C76/C70-1</f>
        <v>0.0822445096747546</v>
      </c>
      <c r="AO79" s="60" t="n">
        <f aca="false">(((SUM($F71:$F76)-SUM($G71:$G76))/AVERAGE($I71:$I76))/((SUM($F59:$F64)-SUM($G59:$G64))/AVERAGE($I59:$I64))-1)</f>
        <v>0.199076439904703</v>
      </c>
      <c r="AP79" s="39" t="n">
        <f aca="false">SQRT(1+AO79)-1</f>
        <v>0.0950234882890426</v>
      </c>
      <c r="AQ79" s="60" t="n">
        <f aca="false">0.5*AN79+0.5*AP79</f>
        <v>0.0886339989818986</v>
      </c>
      <c r="AR79" s="60"/>
      <c r="AS79" s="66"/>
      <c r="AT79" s="92" t="n">
        <f aca="false">AQ79</f>
        <v>0.0886339989818986</v>
      </c>
      <c r="AU79" s="65" t="n">
        <f aca="false">$C76/$C70-1</f>
        <v>0.0822445096747546</v>
      </c>
      <c r="AV79" s="60" t="n">
        <f aca="false">(((SUM($F71:$F76)-SUM(G71:G76))/AVERAGE($I71:$I76))/((SUM($F59:$F64)-SUM(G59:G64))/AVERAGE($I59:$I64))-1)/2</f>
        <v>0.0995382199523515</v>
      </c>
      <c r="AW79" s="60" t="n">
        <f aca="false">AU79*0.5+AV79*0.5</f>
        <v>0.090891364813553</v>
      </c>
      <c r="AX79" s="60" t="n">
        <f aca="false">((SUM($H71:$H76)/AVERAGE($I71:$I76))/(SUM($H59:$H64)/AVERAGE($I59:$I64))-1)/2</f>
        <v>0.0994666322840597</v>
      </c>
      <c r="AY79" s="60" t="n">
        <f aca="false">IF(AW79&gt;AX79,AX79,AW79)</f>
        <v>0.090891364813553</v>
      </c>
      <c r="AZ79" s="60" t="n">
        <f aca="false">$D76/$D70-1</f>
        <v>0.0805793706475841</v>
      </c>
      <c r="BA79" s="66" t="n">
        <f aca="false">(AY79+AZ79)/2</f>
        <v>0.0857353677305686</v>
      </c>
      <c r="BB79" s="95" t="n">
        <f aca="false">IF(AZ79&gt;AY79,BA79,AY79)</f>
        <v>0.090891364813553</v>
      </c>
      <c r="BC79" s="65" t="n">
        <f aca="false">$C76/$C70-1</f>
        <v>0.0822445096747546</v>
      </c>
      <c r="BD79" s="60" t="n">
        <f aca="false">(((SUM($H71:$H76))/AVERAGE($I71:$I76))/((SUM($H59:$H64))/AVERAGE($I59:$I64))-1)</f>
        <v>0.198933264568119</v>
      </c>
      <c r="BE79" s="66" t="n">
        <f aca="false">(SQRT(1+BD79)-1)*1.03</f>
        <v>0.0978068541999193</v>
      </c>
      <c r="BF79" s="95" t="n">
        <f aca="false">MIN(BC79,BE79)</f>
        <v>0.0822445096747546</v>
      </c>
    </row>
    <row r="80" customFormat="false" ht="15" hidden="false" customHeight="false" outlineLevel="0" collapsed="false">
      <c r="B80" s="32" t="n">
        <v>45748</v>
      </c>
      <c r="C80" s="67" t="n">
        <v>160753.375797582</v>
      </c>
      <c r="D80" s="34" t="n">
        <v>880.65794892156</v>
      </c>
      <c r="E80" s="35" t="n">
        <v>1142158786.29682</v>
      </c>
      <c r="F80" s="35" t="n">
        <v>179016911.726626</v>
      </c>
      <c r="G80" s="35" t="n">
        <v>8524787.47749406</v>
      </c>
      <c r="H80" s="35" t="n">
        <v>515897829.4933</v>
      </c>
      <c r="I80" s="35" t="n">
        <v>8594086.52053498</v>
      </c>
      <c r="J80" s="35"/>
      <c r="K80" s="29"/>
      <c r="L80" s="30"/>
      <c r="M80" s="90"/>
      <c r="N80" s="29"/>
      <c r="P80" s="30"/>
      <c r="Q80" s="90"/>
      <c r="R80" s="29"/>
      <c r="X80" s="30"/>
      <c r="Z80" s="29"/>
      <c r="AE80" s="30"/>
      <c r="AF80" s="90"/>
      <c r="AG80" s="29"/>
      <c r="AL80" s="30"/>
      <c r="AM80" s="90"/>
      <c r="AN80" s="98"/>
      <c r="AP80" s="2"/>
      <c r="AS80" s="30"/>
      <c r="AT80" s="90"/>
      <c r="AU80" s="29"/>
      <c r="BA80" s="30"/>
      <c r="BB80" s="31"/>
      <c r="BC80" s="29"/>
      <c r="BE80" s="30"/>
      <c r="BF80" s="31"/>
    </row>
    <row r="81" customFormat="false" ht="15" hidden="false" customHeight="false" outlineLevel="0" collapsed="false">
      <c r="B81" s="32" t="n">
        <v>45778</v>
      </c>
      <c r="C81" s="67" t="n">
        <v>162657.499533904</v>
      </c>
      <c r="D81" s="34" t="n">
        <v>890.785515334158</v>
      </c>
      <c r="E81" s="35" t="n">
        <v>1355919422.1534</v>
      </c>
      <c r="F81" s="35" t="n">
        <v>208292343.86559</v>
      </c>
      <c r="G81" s="35" t="n">
        <v>8459721.37595502</v>
      </c>
      <c r="H81" s="35" t="n">
        <v>543764252.760456</v>
      </c>
      <c r="I81" s="35" t="n">
        <v>8601576.69240343</v>
      </c>
      <c r="J81" s="35" t="n">
        <f aca="false">AVERAGE(I80:I82)</f>
        <v>8601578.86842196</v>
      </c>
      <c r="K81" s="29"/>
      <c r="L81" s="30"/>
      <c r="M81" s="90"/>
      <c r="N81" s="29"/>
      <c r="P81" s="30"/>
      <c r="Q81" s="90"/>
      <c r="R81" s="29"/>
      <c r="X81" s="30"/>
      <c r="Z81" s="29"/>
      <c r="AE81" s="30"/>
      <c r="AF81" s="90"/>
      <c r="AG81" s="29"/>
      <c r="AL81" s="30"/>
      <c r="AM81" s="90"/>
      <c r="AN81" s="98"/>
      <c r="AP81" s="2"/>
      <c r="AS81" s="30"/>
      <c r="AT81" s="90"/>
      <c r="AU81" s="29"/>
      <c r="BA81" s="30"/>
      <c r="BB81" s="31"/>
      <c r="BC81" s="29"/>
      <c r="BE81" s="30"/>
      <c r="BF81" s="31"/>
    </row>
    <row r="82" customFormat="false" ht="15" hidden="false" customHeight="false" outlineLevel="0" collapsed="false">
      <c r="B82" s="32" t="n">
        <v>45809</v>
      </c>
      <c r="C82" s="67" t="n">
        <v>164584.177615884</v>
      </c>
      <c r="D82" s="34" t="n">
        <v>901.0295487605</v>
      </c>
      <c r="E82" s="35" t="n">
        <v>1425059446.38506</v>
      </c>
      <c r="F82" s="35" t="n">
        <v>225010597.542686</v>
      </c>
      <c r="G82" s="35" t="n">
        <v>8415781.67812001</v>
      </c>
      <c r="H82" s="35" t="n">
        <v>565296089.988014</v>
      </c>
      <c r="I82" s="35" t="n">
        <v>8609073.39232748</v>
      </c>
      <c r="J82" s="35"/>
      <c r="K82" s="65" t="n">
        <f aca="false">D76/D73-1</f>
        <v>0.0395091969999997</v>
      </c>
      <c r="L82" s="66" t="n">
        <f aca="false">C76/C73-1</f>
        <v>0.0403098142739762</v>
      </c>
      <c r="M82" s="92" t="n">
        <f aca="false">K82*0.7+L82*0.3</f>
        <v>0.0397493821821926</v>
      </c>
      <c r="N82" s="29"/>
      <c r="P82" s="30"/>
      <c r="Q82" s="90"/>
      <c r="R82" s="29"/>
      <c r="X82" s="30"/>
      <c r="Z82" s="29"/>
      <c r="AE82" s="30"/>
      <c r="AF82" s="90"/>
      <c r="AG82" s="29"/>
      <c r="AL82" s="30"/>
      <c r="AM82" s="90"/>
      <c r="AN82" s="98"/>
      <c r="AP82" s="2"/>
      <c r="AS82" s="30"/>
      <c r="AT82" s="90"/>
      <c r="AU82" s="29"/>
      <c r="BA82" s="30"/>
      <c r="BB82" s="31"/>
      <c r="BC82" s="29"/>
      <c r="BE82" s="30"/>
      <c r="BF82" s="31"/>
    </row>
    <row r="83" customFormat="false" ht="15" hidden="false" customHeight="false" outlineLevel="0" collapsed="false">
      <c r="B83" s="32" t="n">
        <v>45839</v>
      </c>
      <c r="C83" s="67" t="n">
        <v>166533.677199744</v>
      </c>
      <c r="D83" s="34" t="n">
        <v>911.391388571246</v>
      </c>
      <c r="E83" s="35" t="n">
        <v>1528414716.69231</v>
      </c>
      <c r="F83" s="35" t="n">
        <v>232648668.972695</v>
      </c>
      <c r="G83" s="35" t="n">
        <v>9527846.50948234</v>
      </c>
      <c r="H83" s="35" t="n">
        <v>721932811.560074</v>
      </c>
      <c r="I83" s="35" t="n">
        <v>8616576.62599665</v>
      </c>
      <c r="J83" s="35"/>
      <c r="K83" s="29"/>
      <c r="L83" s="30"/>
      <c r="M83" s="90"/>
      <c r="N83" s="29"/>
      <c r="P83" s="30"/>
      <c r="Q83" s="90"/>
      <c r="R83" s="29"/>
      <c r="X83" s="30"/>
      <c r="Z83" s="29"/>
      <c r="AE83" s="30"/>
      <c r="AF83" s="90"/>
      <c r="AG83" s="29"/>
      <c r="AL83" s="30"/>
      <c r="AM83" s="90"/>
      <c r="AN83" s="98"/>
      <c r="AP83" s="2"/>
      <c r="AS83" s="30"/>
      <c r="AT83" s="90"/>
      <c r="AU83" s="29"/>
      <c r="BA83" s="30"/>
      <c r="BB83" s="31"/>
      <c r="BC83" s="29"/>
      <c r="BE83" s="30"/>
      <c r="BF83" s="31"/>
    </row>
    <row r="84" customFormat="false" ht="15" hidden="false" customHeight="false" outlineLevel="0" collapsed="false">
      <c r="B84" s="32" t="n">
        <v>45870</v>
      </c>
      <c r="C84" s="67" t="n">
        <v>168506.268606175</v>
      </c>
      <c r="D84" s="34" t="n">
        <v>921.872389539816</v>
      </c>
      <c r="E84" s="35" t="n">
        <v>1406207479.10893</v>
      </c>
      <c r="F84" s="35" t="n">
        <v>231589694.136331</v>
      </c>
      <c r="G84" s="35" t="n">
        <v>8398625.4578794</v>
      </c>
      <c r="H84" s="35" t="n">
        <v>575716919.874281</v>
      </c>
      <c r="I84" s="35" t="n">
        <v>8624086.39910542</v>
      </c>
      <c r="J84" s="35" t="n">
        <f aca="false">AVERAGE(I83:I85)</f>
        <v>8624088.58081844</v>
      </c>
      <c r="K84" s="29"/>
      <c r="L84" s="30"/>
      <c r="M84" s="90"/>
      <c r="N84" s="29"/>
      <c r="P84" s="30"/>
      <c r="Q84" s="90"/>
      <c r="R84" s="29"/>
      <c r="X84" s="30"/>
      <c r="Z84" s="29"/>
      <c r="AE84" s="30"/>
      <c r="AF84" s="90"/>
      <c r="AG84" s="29"/>
      <c r="AL84" s="30"/>
      <c r="AM84" s="90"/>
      <c r="AN84" s="98"/>
      <c r="AP84" s="2"/>
      <c r="AS84" s="30"/>
      <c r="AT84" s="90"/>
      <c r="AU84" s="29"/>
      <c r="BA84" s="30"/>
      <c r="BB84" s="31"/>
      <c r="BC84" s="29"/>
      <c r="BE84" s="30"/>
      <c r="BF84" s="31"/>
    </row>
    <row r="85" customFormat="false" ht="15" hidden="false" customHeight="false" outlineLevel="0" collapsed="false">
      <c r="B85" s="32" t="n">
        <v>45901</v>
      </c>
      <c r="C85" s="67" t="n">
        <v>170502.225357815</v>
      </c>
      <c r="D85" s="34" t="n">
        <v>932.473922019523</v>
      </c>
      <c r="E85" s="35" t="n">
        <v>1420879462.16468</v>
      </c>
      <c r="F85" s="35" t="n">
        <v>233341386.254819</v>
      </c>
      <c r="G85" s="35" t="n">
        <v>9916360.41967542</v>
      </c>
      <c r="H85" s="35" t="n">
        <v>586809706.628482</v>
      </c>
      <c r="I85" s="35" t="n">
        <v>8631602.71735325</v>
      </c>
      <c r="J85" s="35"/>
      <c r="K85" s="65" t="n">
        <f aca="false">D79/D76-1</f>
        <v>0.0348982708750003</v>
      </c>
      <c r="L85" s="66" t="n">
        <f aca="false">C79/C76-1</f>
        <v>0.0359575739761764</v>
      </c>
      <c r="M85" s="92" t="n">
        <f aca="false">K85*0.7+L85*0.3</f>
        <v>0.0352160618053531</v>
      </c>
      <c r="N85" s="65" t="n">
        <f aca="false">C82/C76-1</f>
        <v>0.0732080950786049</v>
      </c>
      <c r="O85" s="60" t="n">
        <f aca="false">(SUM($E77:$E82)/AVERAGE($I77:$I82))/(SUM($E65:$E70)/AVERAGE($I65:$I70))-1</f>
        <v>0.185381949615119</v>
      </c>
      <c r="P85" s="66" t="n">
        <f aca="false">(SQRT(1+O85)-1)*1.03</f>
        <v>0.0914150482077007</v>
      </c>
      <c r="Q85" s="92" t="n">
        <f aca="false">IF(N85&gt;P85,P85,N85)</f>
        <v>0.0732080950786049</v>
      </c>
      <c r="R85" s="65" t="n">
        <f aca="false">$C82/$C76-1</f>
        <v>0.0732080950786049</v>
      </c>
      <c r="S85" s="60" t="n">
        <f aca="false">((SUM($F77:$F82)/AVERAGE($I77:$I82))/(SUM($F65:$F70)/AVERAGE($I65:$I70))-1)/2</f>
        <v>0.0892400955589874</v>
      </c>
      <c r="T85" s="60" t="n">
        <f aca="false">R85*0.5+S85*0.5</f>
        <v>0.0812240953187962</v>
      </c>
      <c r="U85" s="60" t="n">
        <f aca="false">((SUM($H77:$H82)/AVERAGE($I77:$I82))/(SUM($H65:$H70)/AVERAGE($I65:$I70))-1)/2</f>
        <v>0.0950590059106641</v>
      </c>
      <c r="V85" s="60" t="n">
        <f aca="false">IF(T85&gt;U85,U85,T85)</f>
        <v>0.0812240953187962</v>
      </c>
      <c r="W85" s="60" t="n">
        <f aca="false">$D82/$D76-1</f>
        <v>0.0710144310600653</v>
      </c>
      <c r="X85" s="66" t="n">
        <f aca="false">(V85+W85)/2</f>
        <v>0.0761192631894307</v>
      </c>
      <c r="Y85" s="93" t="n">
        <f aca="false">IF(W85&gt;V85,X85,V85)</f>
        <v>0.0812240953187962</v>
      </c>
      <c r="Z85" s="65" t="n">
        <f aca="false">AVERAGE($C77:$C82)/AVERAGE($C71:$C76)-1</f>
        <v>0.0769093120381768</v>
      </c>
      <c r="AA85" s="60" t="n">
        <f aca="false">(((SUM($F77:$F82)-SUM($G77:$G82))/AVERAGE($I77:$I82))/((SUM($F65:$F70)-SUM($G65:$G70))/AVERAGE($I65:$I70))-1)</f>
        <v>0.179749734014061</v>
      </c>
      <c r="AB85" s="60" t="n">
        <f aca="false">SQRT(1+AA85)-1</f>
        <v>0.0861628487543022</v>
      </c>
      <c r="AC85" s="60" t="n">
        <f aca="false">0.7*Z85+0.3*AB85</f>
        <v>0.0796853730530144</v>
      </c>
      <c r="AD85" s="60" t="n">
        <f aca="false">((SUM($H71:$H82)-SUM(G71:G82))/AVERAGE($I71:$I82))/((SUM($H59:$H70)-SUM(G59:G70))/AVERAGE($I59:$I70))-1</f>
        <v>0.194892176818933</v>
      </c>
      <c r="AE85" s="66" t="n">
        <f aca="false">(1+AD85*1.03)/(1+AF79)-1</f>
        <v>0.105573188487157</v>
      </c>
      <c r="AF85" s="92" t="n">
        <f aca="false">IF(AC85&gt;AE85,AE85,AC85)</f>
        <v>0.0796853730530144</v>
      </c>
      <c r="AG85" s="65" t="n">
        <f aca="false">AVERAGE($C77:$C82)/AVERAGE($C71:$C76)-1</f>
        <v>0.0769093120381768</v>
      </c>
      <c r="AH85" s="60" t="n">
        <f aca="false">(((SUM($F77:$F82))/AVERAGE($I77:$I82))/((SUM($F65:$F70))/AVERAGE($I65:$I70))-1)</f>
        <v>0.178480191117975</v>
      </c>
      <c r="AI85" s="60" t="n">
        <f aca="false">SQRT(1+AH85)-1</f>
        <v>0.0855782749843397</v>
      </c>
      <c r="AJ85" s="60" t="n">
        <f aca="false">0.7*AG85+0.3*AI85</f>
        <v>0.0795100009220256</v>
      </c>
      <c r="AK85" s="60" t="n">
        <f aca="false">(SUM($H71:$H82)/AVERAGE($I71:$I82))/(SUM($H59:$H70)/AVERAGE($I59:$I70))-1</f>
        <v>0.194347077838179</v>
      </c>
      <c r="AL85" s="66" t="n">
        <f aca="false">(1+AK85*1.03)/(1+AM79)-1</f>
        <v>0.105212795914456</v>
      </c>
      <c r="AM85" s="92" t="n">
        <f aca="false">IF(AJ85&gt;AL85,AL85,AJ85)</f>
        <v>0.0795100009220256</v>
      </c>
      <c r="AN85" s="36" t="n">
        <f aca="false">C82/C76-1</f>
        <v>0.0732080950786049</v>
      </c>
      <c r="AO85" s="60" t="n">
        <f aca="false">(((SUM($F77:$F82)-SUM($G77:$G82))/AVERAGE($I77:$I82))/((SUM($F65:$F70)-SUM($G65:$G70))/AVERAGE($I65:$I70))-1)</f>
        <v>0.179749734014061</v>
      </c>
      <c r="AP85" s="39" t="n">
        <f aca="false">SQRT(1+AO85)-1</f>
        <v>0.0861628487543022</v>
      </c>
      <c r="AQ85" s="60" t="n">
        <f aca="false">0.5*AN85+0.5*AP85</f>
        <v>0.0796854719164536</v>
      </c>
      <c r="AR85" s="60" t="n">
        <f aca="false">(SUM($H71:$H82)/AVERAGE($I71:$I82))/(SUM($H59:$H70)/AVERAGE($I59:$I70))-1</f>
        <v>0.194347077838179</v>
      </c>
      <c r="AS85" s="66" t="n">
        <f aca="false">(1+AR85*1.03)/(1+AT79)-1</f>
        <v>0.102461884614795</v>
      </c>
      <c r="AT85" s="92" t="n">
        <f aca="false">IF(AQ85&gt;AS85,AS85,AQ85)</f>
        <v>0.0796854719164536</v>
      </c>
      <c r="AU85" s="65" t="n">
        <f aca="false">$C82/$C76-1</f>
        <v>0.0732080950786049</v>
      </c>
      <c r="AV85" s="60" t="n">
        <f aca="false">(((SUM($F77:$F82)-SUM(G77:G82))/AVERAGE($I77:$I82))/((SUM($F65:$F70)-SUM(G65:G70))/AVERAGE($I65:$I70))-1)/2</f>
        <v>0.0898748670070306</v>
      </c>
      <c r="AW85" s="60" t="n">
        <f aca="false">AU85*0.5+AV85*0.5</f>
        <v>0.0815414810428178</v>
      </c>
      <c r="AX85" s="60" t="n">
        <f aca="false">((SUM($H77:$H82)/AVERAGE($I77:$I82))/(SUM($H65:$H70)/AVERAGE($I65:$I70))-1)/2</f>
        <v>0.0950590059106641</v>
      </c>
      <c r="AY85" s="60" t="n">
        <f aca="false">IF(AW85&gt;AX85,AX85,AW85)</f>
        <v>0.0815414810428178</v>
      </c>
      <c r="AZ85" s="60" t="n">
        <f aca="false">$D82/$D76-1</f>
        <v>0.0710144310600653</v>
      </c>
      <c r="BA85" s="66" t="n">
        <f aca="false">(AY85+AZ85)/2</f>
        <v>0.0762779560514416</v>
      </c>
      <c r="BB85" s="95" t="n">
        <f aca="false">IF(AZ85&gt;AY85,BA85,AY85)</f>
        <v>0.0815414810428178</v>
      </c>
      <c r="BC85" s="65" t="n">
        <f aca="false">$C82/$C76-1</f>
        <v>0.0732080950786049</v>
      </c>
      <c r="BD85" s="60" t="n">
        <f aca="false">(((SUM($H77:$H82))/AVERAGE($I77:$I82))/((SUM($H65:$H70))/AVERAGE($I65:$I70))-1)</f>
        <v>0.190118011821328</v>
      </c>
      <c r="BE85" s="66" t="n">
        <f aca="false">(SQRT(1+BD85)-1)*1.03</f>
        <v>0.0936530597747897</v>
      </c>
      <c r="BF85" s="95" t="n">
        <f aca="false">MIN(BC85,BE85)</f>
        <v>0.0732080950786049</v>
      </c>
    </row>
    <row r="86" customFormat="false" ht="15" hidden="false" customHeight="false" outlineLevel="0" collapsed="false">
      <c r="B86" s="32" t="n">
        <v>45931</v>
      </c>
      <c r="C86" s="67" t="n">
        <v>172521.824217178</v>
      </c>
      <c r="D86" s="34" t="n">
        <v>943.197372122748</v>
      </c>
      <c r="E86" s="35" t="n">
        <v>1438914100.04862</v>
      </c>
      <c r="F86" s="35" t="n">
        <v>249448177.117796</v>
      </c>
      <c r="G86" s="35" t="n">
        <v>10305216.0779812</v>
      </c>
      <c r="H86" s="35" t="n">
        <v>609811614.513247</v>
      </c>
      <c r="I86" s="35" t="n">
        <v>8639125.58644453</v>
      </c>
      <c r="J86" s="35"/>
      <c r="K86" s="29"/>
      <c r="L86" s="30"/>
      <c r="M86" s="90"/>
      <c r="N86" s="29"/>
      <c r="P86" s="30"/>
      <c r="Q86" s="90"/>
      <c r="X86" s="30"/>
      <c r="Z86" s="29"/>
      <c r="AE86" s="30"/>
      <c r="AF86" s="90"/>
      <c r="AG86" s="29"/>
      <c r="AL86" s="30"/>
      <c r="AM86" s="90"/>
      <c r="AN86" s="98"/>
      <c r="AP86" s="2"/>
      <c r="AS86" s="30"/>
      <c r="AT86" s="90"/>
      <c r="AU86" s="29"/>
      <c r="BA86" s="30"/>
      <c r="BB86" s="31"/>
      <c r="BC86" s="29"/>
      <c r="BE86" s="30"/>
      <c r="BF86" s="31"/>
    </row>
    <row r="87" customFormat="false" ht="15" hidden="false" customHeight="false" outlineLevel="0" collapsed="false">
      <c r="B87" s="32" t="n">
        <v>45962</v>
      </c>
      <c r="C87" s="67" t="n">
        <v>174565.345225031</v>
      </c>
      <c r="D87" s="34" t="n">
        <v>954.04414190216</v>
      </c>
      <c r="E87" s="35" t="n">
        <v>1343350332.86763</v>
      </c>
      <c r="F87" s="35" t="n">
        <v>230777296.145489</v>
      </c>
      <c r="G87" s="35" t="n">
        <v>9938176.38561575</v>
      </c>
      <c r="H87" s="35" t="n">
        <v>598556875.977413</v>
      </c>
      <c r="I87" s="35" t="n">
        <v>8646655.01208866</v>
      </c>
      <c r="J87" s="35" t="n">
        <f aca="false">AVERAGE(I86:I88)</f>
        <v>8646657.19951107</v>
      </c>
      <c r="K87" s="29"/>
      <c r="L87" s="30"/>
      <c r="M87" s="90"/>
      <c r="N87" s="29"/>
      <c r="P87" s="30"/>
      <c r="Q87" s="90"/>
      <c r="X87" s="30"/>
      <c r="Z87" s="29"/>
      <c r="AE87" s="30"/>
      <c r="AF87" s="90"/>
      <c r="AG87" s="29"/>
      <c r="AL87" s="30"/>
      <c r="AM87" s="90"/>
      <c r="AN87" s="29"/>
      <c r="AP87" s="2"/>
      <c r="AS87" s="30"/>
      <c r="AT87" s="90"/>
      <c r="AU87" s="29"/>
      <c r="BA87" s="30"/>
      <c r="BB87" s="31"/>
      <c r="BC87" s="29"/>
      <c r="BE87" s="30"/>
      <c r="BF87" s="31"/>
    </row>
    <row r="88" customFormat="false" ht="15" hidden="false" customHeight="false" outlineLevel="0" collapsed="false">
      <c r="B88" s="42" t="n">
        <v>45992</v>
      </c>
      <c r="C88" s="74" t="n">
        <v>176633.071739221</v>
      </c>
      <c r="D88" s="44" t="n">
        <v>965.015649534035</v>
      </c>
      <c r="E88" s="45" t="n">
        <v>1294461846.37105</v>
      </c>
      <c r="F88" s="45" t="n">
        <v>224352577.310014</v>
      </c>
      <c r="G88" s="45" t="n">
        <v>11281857.2536785</v>
      </c>
      <c r="H88" s="45" t="n">
        <v>598351477.571792</v>
      </c>
      <c r="I88" s="45" t="n">
        <v>8654191</v>
      </c>
      <c r="J88" s="45"/>
      <c r="K88" s="103" t="n">
        <f aca="false">D82/D79-1</f>
        <v>0.0348982708750001</v>
      </c>
      <c r="L88" s="104" t="n">
        <f aca="false">C82/C79-1</f>
        <v>0.0359575739761764</v>
      </c>
      <c r="M88" s="105" t="n">
        <f aca="false">K88*0.7+L88*0.3</f>
        <v>0.035216061805353</v>
      </c>
      <c r="N88" s="106"/>
      <c r="O88" s="107"/>
      <c r="P88" s="108"/>
      <c r="Q88" s="109"/>
      <c r="R88" s="107"/>
      <c r="S88" s="107"/>
      <c r="T88" s="107"/>
      <c r="U88" s="107"/>
      <c r="V88" s="107"/>
      <c r="W88" s="107"/>
      <c r="X88" s="108"/>
      <c r="Y88" s="107"/>
      <c r="Z88" s="106"/>
      <c r="AA88" s="107"/>
      <c r="AB88" s="107"/>
      <c r="AC88" s="107"/>
      <c r="AD88" s="107"/>
      <c r="AE88" s="108"/>
      <c r="AF88" s="109"/>
      <c r="AG88" s="106"/>
      <c r="AH88" s="107"/>
      <c r="AI88" s="107"/>
      <c r="AJ88" s="107"/>
      <c r="AK88" s="107"/>
      <c r="AL88" s="108"/>
      <c r="AM88" s="109"/>
      <c r="AN88" s="106"/>
      <c r="AO88" s="107"/>
      <c r="AP88" s="110"/>
      <c r="AQ88" s="107"/>
      <c r="AR88" s="107"/>
      <c r="AS88" s="108"/>
      <c r="AT88" s="109"/>
      <c r="AU88" s="106"/>
      <c r="AV88" s="107"/>
      <c r="AW88" s="107"/>
      <c r="AX88" s="107"/>
      <c r="AY88" s="107"/>
      <c r="AZ88" s="107"/>
      <c r="BA88" s="108"/>
      <c r="BB88" s="111"/>
      <c r="BC88" s="106"/>
      <c r="BD88" s="107"/>
      <c r="BE88" s="108"/>
      <c r="BF88" s="111"/>
    </row>
  </sheetData>
  <mergeCells count="25">
    <mergeCell ref="K2:M2"/>
    <mergeCell ref="N2:Q2"/>
    <mergeCell ref="R2:Y2"/>
    <mergeCell ref="Z2:AF2"/>
    <mergeCell ref="AG2:AM2"/>
    <mergeCell ref="AN2:AT2"/>
    <mergeCell ref="AU2:BB2"/>
    <mergeCell ref="BC2:BF2"/>
    <mergeCell ref="B3:B4"/>
    <mergeCell ref="C3:C4"/>
    <mergeCell ref="D3:D4"/>
    <mergeCell ref="E3:E4"/>
    <mergeCell ref="F3:F4"/>
    <mergeCell ref="G3:G4"/>
    <mergeCell ref="H3:H4"/>
    <mergeCell ref="I3:I4"/>
    <mergeCell ref="K3:M3"/>
    <mergeCell ref="N3:Q3"/>
    <mergeCell ref="R3:Y3"/>
    <mergeCell ref="Z3:AF3"/>
    <mergeCell ref="AG3:AM3"/>
    <mergeCell ref="AN3:AT3"/>
    <mergeCell ref="AU3:BB3"/>
    <mergeCell ref="BC3:BF3"/>
    <mergeCell ref="A1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true"/>
  </sheetPr>
  <dimension ref="B1:Z58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0" ySplit="5" topLeftCell="S6" activePane="bottomRight" state="frozen"/>
      <selection pane="topLeft" activeCell="A1" activeCellId="0" sqref="A1"/>
      <selection pane="topRight" activeCell="S1" activeCellId="0" sqref="S1"/>
      <selection pane="bottomLeft" activeCell="A6" activeCellId="0" sqref="A6"/>
      <selection pane="bottomRight" activeCell="S1" activeCellId="0" sqref="S1"/>
    </sheetView>
  </sheetViews>
  <sheetFormatPr defaultColWidth="10.8203125" defaultRowHeight="15" zeroHeight="false" outlineLevelRow="0" outlineLevelCol="0"/>
  <cols>
    <col collapsed="false" customWidth="true" hidden="false" outlineLevel="0" max="1" min="1" style="112" width="1.5"/>
    <col collapsed="false" customWidth="true" hidden="false" outlineLevel="0" max="2" min="2" style="112" width="12"/>
    <col collapsed="false" customWidth="true" hidden="false" outlineLevel="0" max="3" min="3" style="112" width="28.5"/>
    <col collapsed="false" customWidth="true" hidden="true" outlineLevel="0" max="10" min="4" style="112" width="13.16"/>
    <col collapsed="false" customWidth="true" hidden="false" outlineLevel="0" max="12" min="11" style="112" width="11.67"/>
    <col collapsed="false" customWidth="true" hidden="false" outlineLevel="0" max="26" min="13" style="112" width="11.83"/>
    <col collapsed="false" customWidth="false" hidden="false" outlineLevel="0" max="1025" min="27" style="112" width="10.83"/>
  </cols>
  <sheetData>
    <row r="1" customFormat="false" ht="15" hidden="false" customHeight="false" outlineLevel="0" collapsed="false">
      <c r="K1" s="113"/>
      <c r="L1" s="113"/>
      <c r="M1" s="113"/>
      <c r="N1" s="113"/>
      <c r="O1" s="113"/>
      <c r="P1" s="113"/>
      <c r="Q1" s="113"/>
      <c r="R1" s="113"/>
      <c r="S1" s="113"/>
      <c r="T1" s="114" t="n">
        <f aca="false">T2-T3</f>
        <v>0.0466405346391292</v>
      </c>
      <c r="U1" s="114" t="n">
        <f aca="false">U2-U3</f>
        <v>0.0488149943359254</v>
      </c>
      <c r="V1" s="114" t="n">
        <f aca="false">V2-V3</f>
        <v>0.0506576592606282</v>
      </c>
      <c r="W1" s="114" t="n">
        <f aca="false">W2-W3</f>
        <v>0.0511180229130161</v>
      </c>
      <c r="X1" s="114" t="n">
        <f aca="false">X2-X3</f>
        <v>0.0513145758491602</v>
      </c>
      <c r="Y1" s="114" t="n">
        <f aca="false">Y2-Y3</f>
        <v>0.0517143013181883</v>
      </c>
      <c r="Z1" s="114" t="n">
        <f aca="false">Z2-Z3</f>
        <v>0.0526932458776498</v>
      </c>
    </row>
    <row r="2" customFormat="false" ht="15" hidden="false" customHeight="false" outlineLevel="0" collapsed="false">
      <c r="K2" s="113"/>
      <c r="L2" s="113"/>
      <c r="M2" s="113"/>
      <c r="N2" s="113"/>
      <c r="O2" s="113"/>
      <c r="P2" s="113"/>
      <c r="Q2" s="113"/>
      <c r="R2" s="113"/>
      <c r="S2" s="113"/>
      <c r="T2" s="114" t="n">
        <f aca="false">SUM(movilidad!$H$5:$H$16)/T$8/1000</f>
        <v>0.0727323461141717</v>
      </c>
      <c r="U2" s="114" t="n">
        <f aca="false">SUM(movilidad!$H$17:$H$28)/U$8/1000</f>
        <v>0.0755692368541753</v>
      </c>
      <c r="V2" s="114" t="n">
        <f aca="false">SUM(movilidad!$H$29:$H$40)/V$8/1000</f>
        <v>0.0787062116080062</v>
      </c>
      <c r="W2" s="114" t="n">
        <f aca="false">SUM(movilidad!$H$41:$H$52)/W$8/1000</f>
        <v>0.0794353063090573</v>
      </c>
      <c r="X2" s="114" t="n">
        <f aca="false">SUM(movilidad!$H$53:$H$64)/X$8/1000</f>
        <v>0.0798877594585084</v>
      </c>
      <c r="Y2" s="114" t="n">
        <f aca="false">SUM(movilidad!$H$65:$H$76)/Y$8/1000</f>
        <v>0.0804610366357497</v>
      </c>
      <c r="Z2" s="114" t="n">
        <f aca="false">SUM(movilidad!$H$77:$H$88)/Z$8/1000</f>
        <v>0.0815885205353349</v>
      </c>
    </row>
    <row r="3" customFormat="false" ht="15" hidden="false" customHeight="false" outlineLevel="0" collapsed="false">
      <c r="K3" s="113" t="n">
        <v>0</v>
      </c>
      <c r="L3" s="113" t="n">
        <v>0</v>
      </c>
      <c r="M3" s="113" t="n">
        <v>0</v>
      </c>
      <c r="N3" s="113" t="n">
        <v>0</v>
      </c>
      <c r="O3" s="113" t="n">
        <v>0</v>
      </c>
      <c r="P3" s="113" t="n">
        <v>0</v>
      </c>
      <c r="Q3" s="113" t="n">
        <v>0</v>
      </c>
      <c r="R3" s="113" t="n">
        <v>0</v>
      </c>
      <c r="S3" s="113" t="n">
        <v>0</v>
      </c>
      <c r="T3" s="2" t="n">
        <f aca="false">T4-T5</f>
        <v>0.0260918114750425</v>
      </c>
      <c r="U3" s="2" t="n">
        <f aca="false">U4-U5</f>
        <v>0.0267542425182499</v>
      </c>
      <c r="V3" s="2" t="n">
        <f aca="false">V4-V5</f>
        <v>0.028048552347378</v>
      </c>
      <c r="W3" s="2" t="n">
        <f aca="false">W4-W5</f>
        <v>0.0283172833960412</v>
      </c>
      <c r="X3" s="2" t="n">
        <f aca="false">X4-X5</f>
        <v>0.0285731836093482</v>
      </c>
      <c r="Y3" s="2" t="n">
        <f aca="false">Y4-Y5</f>
        <v>0.0287467353175614</v>
      </c>
      <c r="Z3" s="2" t="n">
        <f aca="false">Z4-Z5</f>
        <v>0.028895274657685</v>
      </c>
    </row>
    <row r="4" customFormat="false" ht="24.45" hidden="false" customHeight="false" outlineLevel="0" collapsed="false">
      <c r="B4" s="115" t="s">
        <v>42</v>
      </c>
      <c r="S4" s="112" t="s">
        <v>43</v>
      </c>
      <c r="T4" s="114" t="n">
        <f aca="false">SUM(movilidad!$F$5:$F$16)/T$8/1000</f>
        <v>0.0260918114750425</v>
      </c>
      <c r="U4" s="114" t="n">
        <f aca="false">SUM(movilidad!$F$17:$F$28)/U$8/1000</f>
        <v>0.0288759443926519</v>
      </c>
      <c r="V4" s="114" t="n">
        <f aca="false">SUM(movilidad!$F$29:$F$40)/V$8/1000</f>
        <v>0.0294076593509794</v>
      </c>
      <c r="W4" s="114" t="n">
        <f aca="false">SUM(movilidad!$F$41:$F$52)/W$8/1000</f>
        <v>0.029679903874636</v>
      </c>
      <c r="X4" s="114" t="n">
        <f aca="false">SUM(movilidad!$F$53:$F$64)/X$8/1000</f>
        <v>0.029932209569845</v>
      </c>
      <c r="Y4" s="114" t="n">
        <f aca="false">SUM(movilidad!$F$65:$F$76)/Y$8/1000</f>
        <v>0.0300853427343276</v>
      </c>
      <c r="Z4" s="114" t="n">
        <f aca="false">SUM(movilidad!$F$77:$F$88)/Z$8/1000</f>
        <v>0.0302127091359169</v>
      </c>
    </row>
    <row r="5" customFormat="false" ht="15" hidden="false" customHeight="false" outlineLevel="0" collapsed="false">
      <c r="S5" s="112" t="s">
        <v>44</v>
      </c>
      <c r="T5" s="114" t="n">
        <f aca="false">SUM(movilidad!$G$5:$G$16)/T$8/1000</f>
        <v>0</v>
      </c>
      <c r="U5" s="114" t="n">
        <f aca="false">SUM(movilidad!$G$17:$G$28)/U$8/1000</f>
        <v>0.00212170187440205</v>
      </c>
      <c r="V5" s="114" t="n">
        <f aca="false">SUM(movilidad!$G$29:$G$40)/V$8/1000</f>
        <v>0.00135910700360137</v>
      </c>
      <c r="W5" s="114" t="n">
        <f aca="false">SUM(movilidad!$G$41:$G$52)/W$8/1000</f>
        <v>0.00136262047859479</v>
      </c>
      <c r="X5" s="114" t="n">
        <f aca="false">SUM(movilidad!$G$53:$G$64)/X$8/1000</f>
        <v>0.00135902596049685</v>
      </c>
      <c r="Y5" s="114" t="n">
        <f aca="false">SUM(movilidad!$G$65:$G$76)/Y$8/1000</f>
        <v>0.00133860741676623</v>
      </c>
      <c r="Z5" s="114" t="n">
        <f aca="false">SUM(movilidad!$G$77:$G$88)/Z$8/1000</f>
        <v>0.0013174344782319</v>
      </c>
    </row>
    <row r="6" customFormat="false" ht="25.5" hidden="false" customHeight="true" outlineLevel="0" collapsed="false">
      <c r="B6" s="116" t="s">
        <v>45</v>
      </c>
      <c r="C6" s="116"/>
      <c r="D6" s="116" t="n">
        <v>2003</v>
      </c>
      <c r="E6" s="116" t="n">
        <v>2004</v>
      </c>
      <c r="F6" s="116" t="n">
        <v>2005</v>
      </c>
      <c r="G6" s="116" t="n">
        <v>2006</v>
      </c>
      <c r="H6" s="116" t="n">
        <v>2007</v>
      </c>
      <c r="I6" s="116" t="n">
        <v>2008</v>
      </c>
      <c r="J6" s="116" t="n">
        <v>2009</v>
      </c>
      <c r="K6" s="116" t="n">
        <v>2010</v>
      </c>
      <c r="L6" s="116" t="n">
        <v>2011</v>
      </c>
      <c r="M6" s="116" t="n">
        <v>2012</v>
      </c>
      <c r="N6" s="116" t="n">
        <v>2013</v>
      </c>
      <c r="O6" s="116" t="n">
        <v>2014</v>
      </c>
      <c r="P6" s="116" t="n">
        <v>2015</v>
      </c>
      <c r="Q6" s="116" t="n">
        <f aca="false">+P6+1</f>
        <v>2016</v>
      </c>
      <c r="R6" s="116" t="n">
        <f aca="false">+Q6+1</f>
        <v>2017</v>
      </c>
      <c r="S6" s="116" t="n">
        <f aca="false">+R6+1</f>
        <v>2018</v>
      </c>
      <c r="T6" s="117" t="n">
        <f aca="false">+S6+1</f>
        <v>2019</v>
      </c>
      <c r="U6" s="118" t="n">
        <f aca="false">+T6+1</f>
        <v>2020</v>
      </c>
      <c r="V6" s="118" t="n">
        <f aca="false">+U6+1</f>
        <v>2021</v>
      </c>
      <c r="W6" s="118" t="n">
        <f aca="false">+V6+1</f>
        <v>2022</v>
      </c>
      <c r="X6" s="118" t="n">
        <f aca="false">+W6+1</f>
        <v>2023</v>
      </c>
      <c r="Y6" s="118" t="n">
        <f aca="false">+X6+1</f>
        <v>2024</v>
      </c>
      <c r="Z6" s="118" t="n">
        <f aca="false">+Y6+1</f>
        <v>2025</v>
      </c>
    </row>
    <row r="7" customFormat="false" ht="8" hidden="false" customHeight="true" outlineLevel="0" collapsed="false"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20"/>
      <c r="U7" s="119"/>
      <c r="V7" s="119"/>
      <c r="W7" s="119"/>
      <c r="X7" s="119"/>
      <c r="Y7" s="119"/>
      <c r="Z7" s="119"/>
    </row>
    <row r="8" customFormat="false" ht="15" hidden="false" customHeight="true" outlineLevel="0" collapsed="false">
      <c r="B8" s="121" t="s">
        <v>46</v>
      </c>
      <c r="C8" s="122" t="s">
        <v>47</v>
      </c>
      <c r="D8" s="123" t="n">
        <v>375909.361396649</v>
      </c>
      <c r="E8" s="123" t="n">
        <v>485115.194724755</v>
      </c>
      <c r="F8" s="123" t="n">
        <v>582538.172937275</v>
      </c>
      <c r="G8" s="123" t="n">
        <v>715904.271733849</v>
      </c>
      <c r="H8" s="123" t="n">
        <v>896980.174071903</v>
      </c>
      <c r="I8" s="123" t="n">
        <v>1149646.09058364</v>
      </c>
      <c r="J8" s="123" t="n">
        <v>1247929.26892502</v>
      </c>
      <c r="K8" s="124" t="n">
        <v>1661720.92594458</v>
      </c>
      <c r="L8" s="124" t="n">
        <v>2179024.10363078</v>
      </c>
      <c r="M8" s="124" t="n">
        <v>2637913.84821555</v>
      </c>
      <c r="N8" s="124" t="n">
        <v>3348308.48822721</v>
      </c>
      <c r="O8" s="124" t="n">
        <v>4579086.42541011</v>
      </c>
      <c r="P8" s="124" t="n">
        <v>5954510.89569234</v>
      </c>
      <c r="Q8" s="124" t="n">
        <v>8228159.55653643</v>
      </c>
      <c r="R8" s="124" t="n">
        <v>10660228.4948085</v>
      </c>
      <c r="S8" s="124" t="n">
        <v>14542722.1480953</v>
      </c>
      <c r="T8" s="125" t="n">
        <v>21447249.8597987</v>
      </c>
      <c r="U8" s="124" t="n">
        <v>26808471.6408324</v>
      </c>
      <c r="V8" s="124" t="n">
        <v>36930570.9939396</v>
      </c>
      <c r="W8" s="124" t="n">
        <v>48331674.4474294</v>
      </c>
      <c r="X8" s="124" t="n">
        <v>60516598.9276823</v>
      </c>
      <c r="Y8" s="124" t="n">
        <v>73256385.3394037</v>
      </c>
      <c r="Z8" s="126" t="n">
        <v>86393748.7998389</v>
      </c>
    </row>
    <row r="9" customFormat="false" ht="13.8" hidden="false" customHeight="false" outlineLevel="0" collapsed="false">
      <c r="B9" s="121"/>
      <c r="C9" s="127" t="s">
        <v>48</v>
      </c>
      <c r="D9" s="128"/>
      <c r="E9" s="128"/>
      <c r="F9" s="128"/>
      <c r="G9" s="128"/>
      <c r="H9" s="128"/>
      <c r="I9" s="128"/>
      <c r="J9" s="128"/>
      <c r="K9" s="129" t="n">
        <f aca="false">+K8/J8-1</f>
        <v>0.331582620364379</v>
      </c>
      <c r="L9" s="129" t="n">
        <f aca="false">+L8/K8-1</f>
        <v>0.311305688945418</v>
      </c>
      <c r="M9" s="129" t="n">
        <f aca="false">+M8/L8-1</f>
        <v>0.210594157182635</v>
      </c>
      <c r="N9" s="129" t="n">
        <f aca="false">+N8/M8-1</f>
        <v>0.269301683408733</v>
      </c>
      <c r="O9" s="129" t="n">
        <f aca="false">+O8/N8-1</f>
        <v>0.367582001930336</v>
      </c>
      <c r="P9" s="129" t="n">
        <f aca="false">+P8/O8-1</f>
        <v>0.300370934833153</v>
      </c>
      <c r="Q9" s="129" t="n">
        <f aca="false">+Q8/P8-1</f>
        <v>0.381836342341553</v>
      </c>
      <c r="R9" s="129" t="n">
        <f aca="false">+R8/Q8-1</f>
        <v>0.295578728336642</v>
      </c>
      <c r="S9" s="129" t="n">
        <f aca="false">+S8/R8-1</f>
        <v>0.364203605502228</v>
      </c>
      <c r="T9" s="130" t="n">
        <f aca="false">+T8/S8-1</f>
        <v>0.474775467851992</v>
      </c>
      <c r="U9" s="129" t="n">
        <f aca="false">+U8/T8-1</f>
        <v>0.249972458757188</v>
      </c>
      <c r="V9" s="129" t="n">
        <f aca="false">+V8/U8-1</f>
        <v>0.377570921935367</v>
      </c>
      <c r="W9" s="129" t="n">
        <f aca="false">+W8/V8-1</f>
        <v>0.30871722658609</v>
      </c>
      <c r="X9" s="129" t="n">
        <f aca="false">+X8/W8-1</f>
        <v>0.252110538680107</v>
      </c>
      <c r="Y9" s="129" t="n">
        <f aca="false">+Y8/X8-1</f>
        <v>0.21051722399247</v>
      </c>
      <c r="Z9" s="131" t="n">
        <f aca="false">+Z8/Y8-1</f>
        <v>0.179334038931467</v>
      </c>
    </row>
    <row r="10" customFormat="false" ht="15" hidden="false" customHeight="true" outlineLevel="0" collapsed="false">
      <c r="B10" s="121"/>
      <c r="C10" s="132" t="s">
        <v>49</v>
      </c>
      <c r="D10" s="133"/>
      <c r="E10" s="133"/>
      <c r="F10" s="133"/>
      <c r="G10" s="133"/>
      <c r="H10" s="133"/>
      <c r="I10" s="133"/>
      <c r="J10" s="133" t="n">
        <v>608872.876412875</v>
      </c>
      <c r="K10" s="134" t="n">
        <v>670523.679441799</v>
      </c>
      <c r="L10" s="134" t="n">
        <v>710781.597220602</v>
      </c>
      <c r="M10" s="134" t="n">
        <v>703485.98945895</v>
      </c>
      <c r="N10" s="134" t="n">
        <v>720407.105302816</v>
      </c>
      <c r="O10" s="134" t="n">
        <v>702306.045963366</v>
      </c>
      <c r="P10" s="134" t="n">
        <v>721487.14663804</v>
      </c>
      <c r="Q10" s="134" t="n">
        <v>706477.848597662</v>
      </c>
      <c r="R10" s="134" t="n">
        <v>726389.947762824</v>
      </c>
      <c r="S10" s="134" t="n">
        <v>707755.489603643</v>
      </c>
      <c r="T10" s="135" t="n">
        <v>692977.449783545</v>
      </c>
      <c r="U10" s="134" t="n">
        <v>615491.229293968</v>
      </c>
      <c r="V10" s="134" t="n">
        <v>650572.349334066</v>
      </c>
      <c r="W10" s="134" t="n">
        <v>680173.492550486</v>
      </c>
      <c r="X10" s="134" t="n">
        <v>704134.189994833</v>
      </c>
      <c r="Y10" s="134" t="n">
        <v>725168.734003683</v>
      </c>
      <c r="Z10" s="136" t="n">
        <v>743091.347413238</v>
      </c>
    </row>
    <row r="11" customFormat="false" ht="13.8" hidden="false" customHeight="false" outlineLevel="0" collapsed="false">
      <c r="B11" s="121"/>
      <c r="C11" s="127" t="s">
        <v>50</v>
      </c>
      <c r="D11" s="128"/>
      <c r="E11" s="128"/>
      <c r="F11" s="128"/>
      <c r="G11" s="128"/>
      <c r="H11" s="128"/>
      <c r="I11" s="128"/>
      <c r="J11" s="128"/>
      <c r="K11" s="129" t="n">
        <f aca="false">+K10/J10-1</f>
        <v>0.101253981606365</v>
      </c>
      <c r="L11" s="129" t="n">
        <f aca="false">+L10/K10-1</f>
        <v>0.0600395168927024</v>
      </c>
      <c r="M11" s="129" t="n">
        <f aca="false">+M10/L10-1</f>
        <v>-0.0102642046307625</v>
      </c>
      <c r="N11" s="129" t="n">
        <f aca="false">+N10/M10-1</f>
        <v>0.0240532378717031</v>
      </c>
      <c r="O11" s="129" t="n">
        <f aca="false">+O10/N10-1</f>
        <v>-0.025126153262802</v>
      </c>
      <c r="P11" s="129" t="n">
        <f aca="false">+P10/O10-1</f>
        <v>0.0273115983906453</v>
      </c>
      <c r="Q11" s="129" t="n">
        <f aca="false">+Q10/P10-1</f>
        <v>-0.0208032784926491</v>
      </c>
      <c r="R11" s="129" t="n">
        <f aca="false">+R10/Q10-1</f>
        <v>0.0281850297283734</v>
      </c>
      <c r="S11" s="129" t="n">
        <f aca="false">+S10/R10-1</f>
        <v>-0.0256535187698731</v>
      </c>
      <c r="T11" s="130" t="n">
        <f aca="false">+T10/S10-1</f>
        <v>-0.0208801486349114</v>
      </c>
      <c r="U11" s="129" t="n">
        <f aca="false">+U10/T10-1</f>
        <v>-0.111816366483181</v>
      </c>
      <c r="V11" s="129" t="n">
        <f aca="false">+V10/U10-1</f>
        <v>0.0569969454809944</v>
      </c>
      <c r="W11" s="129" t="n">
        <f aca="false">+W10/V10-1</f>
        <v>0.0455001557424313</v>
      </c>
      <c r="X11" s="129" t="n">
        <f aca="false">+X10/W10-1</f>
        <v>0.0352273320068683</v>
      </c>
      <c r="Y11" s="129" t="n">
        <f aca="false">+Y10/X10-1</f>
        <v>0.0298729195481968</v>
      </c>
      <c r="Z11" s="131" t="n">
        <f aca="false">+Z10/Y10-1</f>
        <v>0.0247150939762715</v>
      </c>
    </row>
    <row r="12" customFormat="false" ht="15" hidden="false" customHeight="true" outlineLevel="0" collapsed="false">
      <c r="B12" s="121"/>
      <c r="C12" s="132" t="s">
        <v>51</v>
      </c>
      <c r="D12" s="133"/>
      <c r="E12" s="133"/>
      <c r="F12" s="133"/>
      <c r="G12" s="133"/>
      <c r="H12" s="133"/>
      <c r="I12" s="133"/>
      <c r="J12" s="133" t="n">
        <v>15349.9019817637</v>
      </c>
      <c r="K12" s="134" t="n">
        <v>16714.1629454385</v>
      </c>
      <c r="L12" s="134" t="n">
        <v>17518.2367351344</v>
      </c>
      <c r="M12" s="134" t="n">
        <v>17142.9473356716</v>
      </c>
      <c r="N12" s="134" t="n">
        <v>17357.0500172351</v>
      </c>
      <c r="O12" s="134" t="n">
        <v>16729.5491177609</v>
      </c>
      <c r="P12" s="134" t="n">
        <v>16991.7569633036</v>
      </c>
      <c r="Q12" s="134" t="n">
        <v>16449.4734460917</v>
      </c>
      <c r="R12" s="134" t="n">
        <v>16720.8705337052</v>
      </c>
      <c r="S12" s="134" t="n">
        <v>16106.4452068068</v>
      </c>
      <c r="T12" s="135" t="n">
        <v>15590.3073385409</v>
      </c>
      <c r="U12" s="134" t="n">
        <v>13688.8899038663</v>
      </c>
      <c r="V12" s="134" t="n">
        <v>14303.5670005577</v>
      </c>
      <c r="W12" s="134" t="n">
        <v>14782.9935958474</v>
      </c>
      <c r="X12" s="134" t="n">
        <v>15128.0700323523</v>
      </c>
      <c r="Y12" s="134" t="n">
        <v>15400.8248577787</v>
      </c>
      <c r="Z12" s="136" t="n">
        <v>15599.6650676538</v>
      </c>
    </row>
    <row r="13" customFormat="false" ht="13.8" hidden="false" customHeight="false" outlineLevel="0" collapsed="false">
      <c r="B13" s="121"/>
      <c r="C13" s="127" t="s">
        <v>52</v>
      </c>
      <c r="D13" s="128"/>
      <c r="E13" s="128"/>
      <c r="F13" s="128"/>
      <c r="G13" s="128"/>
      <c r="H13" s="128"/>
      <c r="I13" s="128"/>
      <c r="J13" s="128"/>
      <c r="K13" s="129" t="n">
        <f aca="false">+K12/J12-1</f>
        <v>0.088877503276281</v>
      </c>
      <c r="L13" s="129" t="n">
        <f aca="false">+L12/K12-1</f>
        <v>0.0481073322260104</v>
      </c>
      <c r="M13" s="129" t="n">
        <f aca="false">+M12/L12-1</f>
        <v>-0.0214227838758495</v>
      </c>
      <c r="N13" s="129" t="n">
        <f aca="false">+N12/M12-1</f>
        <v>0.0124892573821256</v>
      </c>
      <c r="O13" s="129" t="n">
        <f aca="false">+O12/N12-1</f>
        <v>-0.0361525085686246</v>
      </c>
      <c r="P13" s="129" t="n">
        <f aca="false">+P12/O12-1</f>
        <v>0.015673336065247</v>
      </c>
      <c r="Q13" s="129" t="n">
        <f aca="false">+Q12/P12-1</f>
        <v>-0.0319145052735356</v>
      </c>
      <c r="R13" s="129" t="n">
        <f aca="false">+R12/Q12-1</f>
        <v>0.0164988313153605</v>
      </c>
      <c r="S13" s="129" t="n">
        <f aca="false">+S12/R12-1</f>
        <v>-0.0367460130535623</v>
      </c>
      <c r="T13" s="130" t="n">
        <f aca="false">+T12/S12-1</f>
        <v>-0.0320454241540347</v>
      </c>
      <c r="U13" s="129" t="n">
        <f aca="false">+U12/T12-1</f>
        <v>-0.121961510660801</v>
      </c>
      <c r="V13" s="129" t="n">
        <f aca="false">+V12/U12-1</f>
        <v>0.0449033560068142</v>
      </c>
      <c r="W13" s="129" t="n">
        <f aca="false">+W12/V12-1</f>
        <v>0.0335179745913068</v>
      </c>
      <c r="X13" s="129" t="n">
        <f aca="false">+X12/W12-1</f>
        <v>0.0233427982138736</v>
      </c>
      <c r="Y13" s="129" t="n">
        <f aca="false">+Y12/X12-1</f>
        <v>0.018029717263542</v>
      </c>
      <c r="Z13" s="131" t="n">
        <f aca="false">+Z12/Y12-1</f>
        <v>0.0129110103979073</v>
      </c>
    </row>
    <row r="14" customFormat="false" ht="15" hidden="false" customHeight="true" outlineLevel="0" collapsed="false">
      <c r="B14" s="121"/>
      <c r="C14" s="132" t="s">
        <v>47</v>
      </c>
      <c r="D14" s="133"/>
      <c r="E14" s="133"/>
      <c r="F14" s="133"/>
      <c r="G14" s="133"/>
      <c r="H14" s="133"/>
      <c r="I14" s="133"/>
      <c r="J14" s="133" t="n">
        <f aca="false">J8/J19</f>
        <v>334632.773057591</v>
      </c>
      <c r="K14" s="134" t="n">
        <f aca="false">K8/K19</f>
        <v>424728.240552235</v>
      </c>
      <c r="L14" s="134" t="n">
        <f aca="false">L8/L19</f>
        <v>527643.875471316</v>
      </c>
      <c r="M14" s="134" t="n">
        <f aca="false">M8/M19</f>
        <v>579665.736024953</v>
      </c>
      <c r="N14" s="134" t="n">
        <f aca="false">N8/N19</f>
        <v>611470.124162632</v>
      </c>
      <c r="O14" s="134" t="n">
        <f aca="false">O8/O19</f>
        <v>563613.973614006</v>
      </c>
      <c r="P14" s="134" t="n">
        <f aca="false">P8/P19</f>
        <v>642463.922483571</v>
      </c>
      <c r="Q14" s="134" t="n">
        <f aca="false">Q8/Q19</f>
        <v>556805.245742913</v>
      </c>
      <c r="R14" s="134" t="n">
        <f aca="false">R8/R19</f>
        <v>643861.262436803</v>
      </c>
      <c r="S14" s="134" t="n">
        <f aca="false">S8/S19</f>
        <v>517305.760105542</v>
      </c>
      <c r="T14" s="135" t="n">
        <f aca="false">T8/T19</f>
        <v>444457.834932312</v>
      </c>
      <c r="U14" s="134" t="n">
        <f aca="false">U8/U19</f>
        <v>379420.291443739</v>
      </c>
      <c r="V14" s="134" t="n">
        <f aca="false">V8/V19</f>
        <v>408447.888210319</v>
      </c>
      <c r="W14" s="134" t="n">
        <f aca="false">W8/W19</f>
        <v>427528.910706018</v>
      </c>
      <c r="X14" s="134" t="n">
        <f aca="false">X8/X19</f>
        <v>444864.600823374</v>
      </c>
      <c r="Y14" s="134" t="n">
        <f aca="false">Y8/Y19</f>
        <v>465614.127959192</v>
      </c>
      <c r="Z14" s="136" t="n">
        <f aca="false">Z8/Z19</f>
        <v>484917.637566069</v>
      </c>
    </row>
    <row r="15" customFormat="false" ht="16" hidden="false" customHeight="false" outlineLevel="0" collapsed="false">
      <c r="B15" s="121"/>
      <c r="C15" s="127" t="s">
        <v>53</v>
      </c>
      <c r="D15" s="128"/>
      <c r="E15" s="128"/>
      <c r="F15" s="128"/>
      <c r="G15" s="128"/>
      <c r="H15" s="128"/>
      <c r="I15" s="128"/>
      <c r="J15" s="128"/>
      <c r="K15" s="129" t="n">
        <f aca="false">+K14/J14-1</f>
        <v>0.269236831382139</v>
      </c>
      <c r="L15" s="129" t="n">
        <f aca="false">+L14/K14-1</f>
        <v>0.24230937595595</v>
      </c>
      <c r="M15" s="129" t="n">
        <f aca="false">+M14/L14-1</f>
        <v>0.0985927497162136</v>
      </c>
      <c r="N15" s="129" t="n">
        <f aca="false">+N14/M14-1</f>
        <v>0.0548667726261982</v>
      </c>
      <c r="O15" s="129" t="n">
        <f aca="false">+O14/N14-1</f>
        <v>-0.078264086269401</v>
      </c>
      <c r="P15" s="129" t="n">
        <f aca="false">+P14/O14-1</f>
        <v>0.13990062802021</v>
      </c>
      <c r="Q15" s="129" t="n">
        <f aca="false">+Q14/P14-1</f>
        <v>-0.133328384276472</v>
      </c>
      <c r="R15" s="129" t="n">
        <f aca="false">+R14/Q14-1</f>
        <v>0.156349131692782</v>
      </c>
      <c r="S15" s="129" t="n">
        <f aca="false">+S14/R14-1</f>
        <v>-0.196557099665059</v>
      </c>
      <c r="T15" s="130" t="n">
        <f aca="false">+T14/S14-1</f>
        <v>-0.140821793978029</v>
      </c>
      <c r="U15" s="129" t="n">
        <f aca="false">+U14/T14-1</f>
        <v>-0.146330064129654</v>
      </c>
      <c r="V15" s="129" t="n">
        <f aca="false">+V14/U14-1</f>
        <v>0.0765051248475033</v>
      </c>
      <c r="W15" s="129" t="n">
        <f aca="false">+W14/V14-1</f>
        <v>0.0467159288772578</v>
      </c>
      <c r="X15" s="129" t="n">
        <f aca="false">+X14/W14-1</f>
        <v>0.0405485797176337</v>
      </c>
      <c r="Y15" s="129" t="n">
        <f aca="false">+Y14/X14-1</f>
        <v>0.0466423426305767</v>
      </c>
      <c r="Z15" s="131" t="n">
        <f aca="false">+Z14/Y14-1</f>
        <v>0.0414581698615646</v>
      </c>
    </row>
    <row r="16" customFormat="false" ht="15" hidden="false" customHeight="true" outlineLevel="0" collapsed="false">
      <c r="B16" s="121"/>
      <c r="C16" s="132" t="s">
        <v>54</v>
      </c>
      <c r="D16" s="133"/>
      <c r="E16" s="133"/>
      <c r="F16" s="133"/>
      <c r="G16" s="133"/>
      <c r="H16" s="133"/>
      <c r="I16" s="133"/>
      <c r="J16" s="133" t="n">
        <v>8436.21134280368</v>
      </c>
      <c r="K16" s="134" t="n">
        <v>10587.2130064508</v>
      </c>
      <c r="L16" s="134" t="n">
        <v>13004.5436720577</v>
      </c>
      <c r="M16" s="134" t="n">
        <v>14125.624865126</v>
      </c>
      <c r="N16" s="134" t="n">
        <v>14732.3887438263</v>
      </c>
      <c r="O16" s="134" t="n">
        <v>13425.7816933613</v>
      </c>
      <c r="P16" s="134" t="n">
        <v>15130.6795684446</v>
      </c>
      <c r="Q16" s="134" t="n">
        <v>12964.5297763734</v>
      </c>
      <c r="R16" s="134" t="n">
        <v>14821.1313276447</v>
      </c>
      <c r="S16" s="134" t="n">
        <v>11772.3663082733</v>
      </c>
      <c r="T16" s="135" t="n">
        <v>9999.22038990101</v>
      </c>
      <c r="U16" s="134" t="n">
        <v>8438.53226442249</v>
      </c>
      <c r="V16" s="134" t="n">
        <v>8980.18758595073</v>
      </c>
      <c r="W16" s="134" t="n">
        <v>9291.97802946957</v>
      </c>
      <c r="X16" s="134" t="n">
        <v>9557.75608086838</v>
      </c>
      <c r="Y16" s="134" t="n">
        <v>9888.51463081756</v>
      </c>
      <c r="Z16" s="136" t="n">
        <v>10179.8423003598</v>
      </c>
    </row>
    <row r="17" customFormat="false" ht="17" hidden="false" customHeight="false" outlineLevel="0" collapsed="false">
      <c r="B17" s="121"/>
      <c r="C17" s="137" t="s">
        <v>55</v>
      </c>
      <c r="D17" s="138"/>
      <c r="E17" s="138"/>
      <c r="F17" s="138"/>
      <c r="G17" s="138"/>
      <c r="H17" s="138"/>
      <c r="I17" s="138"/>
      <c r="J17" s="138"/>
      <c r="K17" s="129" t="n">
        <f aca="false">+K16/J16-1</f>
        <v>0.254972472386195</v>
      </c>
      <c r="L17" s="129" t="n">
        <f aca="false">+L16/K16-1</f>
        <v>0.228325496439344</v>
      </c>
      <c r="M17" s="129" t="n">
        <f aca="false">+M16/L16-1</f>
        <v>0.0862068844043369</v>
      </c>
      <c r="N17" s="129" t="n">
        <f aca="false">+N16/M16-1</f>
        <v>0.0429548345290101</v>
      </c>
      <c r="O17" s="129" t="n">
        <f aca="false">+O16/N16-1</f>
        <v>-0.0886894225495223</v>
      </c>
      <c r="P17" s="129" t="n">
        <f aca="false">+P16/O16-1</f>
        <v>0.126986861102199</v>
      </c>
      <c r="Q17" s="129" t="n">
        <f aca="false">+Q16/P16-1</f>
        <v>-0.143162756323834</v>
      </c>
      <c r="R17" s="129" t="n">
        <f aca="false">+R16/Q16-1</f>
        <v>0.143206239122904</v>
      </c>
      <c r="S17" s="129" t="n">
        <f aca="false">+S16/R16-1</f>
        <v>-0.205703933928764</v>
      </c>
      <c r="T17" s="130" t="n">
        <f aca="false">+T16/S16-1</f>
        <v>-0.150619329363392</v>
      </c>
      <c r="U17" s="129" t="n">
        <f aca="false">+U16/T16-1</f>
        <v>-0.156080980778739</v>
      </c>
      <c r="V17" s="129" t="n">
        <f aca="false">+V16/U16-1</f>
        <v>0.0641883332972375</v>
      </c>
      <c r="W17" s="129" t="n">
        <f aca="false">+W16/V16-1</f>
        <v>0.0347198140945983</v>
      </c>
      <c r="X17" s="129" t="n">
        <f aca="false">+X16/W16-1</f>
        <v>0.028602957363427</v>
      </c>
      <c r="Y17" s="129" t="n">
        <f aca="false">+Y16/X16-1</f>
        <v>0.0346062974562875</v>
      </c>
      <c r="Z17" s="131" t="n">
        <f aca="false">+Z16/Y16-1</f>
        <v>0.0294612164130574</v>
      </c>
    </row>
    <row r="18" customFormat="false" ht="8" hidden="false" customHeight="true" outlineLevel="0" collapsed="false">
      <c r="B18" s="139"/>
      <c r="C18" s="139"/>
      <c r="D18" s="140"/>
      <c r="E18" s="140"/>
      <c r="F18" s="140"/>
      <c r="G18" s="140"/>
      <c r="H18" s="140"/>
      <c r="I18" s="140"/>
      <c r="J18" s="140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1"/>
      <c r="V18" s="141"/>
      <c r="W18" s="141"/>
      <c r="X18" s="141"/>
      <c r="Y18" s="141"/>
      <c r="Z18" s="141"/>
    </row>
    <row r="19" customFormat="false" ht="15" hidden="false" customHeight="true" outlineLevel="0" collapsed="false">
      <c r="B19" s="121" t="s">
        <v>56</v>
      </c>
      <c r="C19" s="122" t="s">
        <v>57</v>
      </c>
      <c r="D19" s="143"/>
      <c r="E19" s="143"/>
      <c r="F19" s="143"/>
      <c r="G19" s="143"/>
      <c r="H19" s="143"/>
      <c r="I19" s="143"/>
      <c r="J19" s="143" t="n">
        <v>3.72925</v>
      </c>
      <c r="K19" s="144" t="n">
        <v>3.91243333333333</v>
      </c>
      <c r="L19" s="144" t="n">
        <v>4.129725</v>
      </c>
      <c r="M19" s="144" t="n">
        <v>4.55075</v>
      </c>
      <c r="N19" s="144" t="n">
        <v>5.47583333333333</v>
      </c>
      <c r="O19" s="144" t="n">
        <v>8.12450833333333</v>
      </c>
      <c r="P19" s="144" t="n">
        <v>9.26824166666667</v>
      </c>
      <c r="Q19" s="144" t="n">
        <v>14.7774461886724</v>
      </c>
      <c r="R19" s="144" t="n">
        <v>16.5567166666667</v>
      </c>
      <c r="S19" s="144" t="n">
        <v>28.1124303451178</v>
      </c>
      <c r="T19" s="145" t="n">
        <v>48.2548583333333</v>
      </c>
      <c r="U19" s="144" t="n">
        <v>70.6563993686869</v>
      </c>
      <c r="V19" s="144" t="n">
        <v>90.4168489051492</v>
      </c>
      <c r="W19" s="144" t="n">
        <v>113.048903213621</v>
      </c>
      <c r="X19" s="144" t="n">
        <v>136.033747831758</v>
      </c>
      <c r="Y19" s="144" t="n">
        <v>157.332823341271</v>
      </c>
      <c r="Z19" s="146" t="n">
        <v>178.161696145911</v>
      </c>
    </row>
    <row r="20" customFormat="false" ht="16" hidden="false" customHeight="false" outlineLevel="0" collapsed="false">
      <c r="B20" s="121"/>
      <c r="C20" s="127" t="s">
        <v>58</v>
      </c>
      <c r="D20" s="128"/>
      <c r="E20" s="128"/>
      <c r="F20" s="128"/>
      <c r="G20" s="128"/>
      <c r="H20" s="128"/>
      <c r="I20" s="128"/>
      <c r="J20" s="128"/>
      <c r="K20" s="129" t="n">
        <f aca="false">+K19/J19-1</f>
        <v>0.0491206900404462</v>
      </c>
      <c r="L20" s="129" t="n">
        <f aca="false">+L19/K19-1</f>
        <v>0.0555387525240048</v>
      </c>
      <c r="M20" s="129" t="n">
        <f aca="false">+M19/L19-1</f>
        <v>0.101949887704387</v>
      </c>
      <c r="N20" s="129" t="n">
        <f aca="false">+N19/M19-1</f>
        <v>0.203281510373748</v>
      </c>
      <c r="O20" s="129" t="n">
        <f aca="false">+O19/N19-1</f>
        <v>0.483702632780399</v>
      </c>
      <c r="P20" s="129" t="n">
        <f aca="false">+P19/O19-1</f>
        <v>0.140775698221739</v>
      </c>
      <c r="Q20" s="129" t="n">
        <f aca="false">+Q19/P19-1</f>
        <v>0.594417444014185</v>
      </c>
      <c r="R20" s="129" t="n">
        <f aca="false">+R19/Q19-1</f>
        <v>0.120404463347538</v>
      </c>
      <c r="S20" s="129" t="n">
        <f aca="false">+S19/R19-1</f>
        <v>0.697947178241933</v>
      </c>
      <c r="T20" s="130" t="n">
        <f aca="false">+T19/S19-1</f>
        <v>0.716495434259512</v>
      </c>
      <c r="U20" s="129" t="n">
        <f aca="false">+U19/T19-1</f>
        <v>0.464233899115585</v>
      </c>
      <c r="V20" s="129" t="n">
        <f aca="false">+V19/U19-1</f>
        <v>0.279669636622039</v>
      </c>
      <c r="W20" s="129" t="n">
        <f aca="false">+W19/V19-1</f>
        <v>0.250307930242223</v>
      </c>
      <c r="X20" s="129" t="n">
        <f aca="false">+X19/W19-1</f>
        <v>0.203317714411645</v>
      </c>
      <c r="Y20" s="129" t="n">
        <f aca="false">+Y19/X19-1</f>
        <v>0.15657199664789</v>
      </c>
      <c r="Z20" s="131" t="n">
        <f aca="false">+Z19/Y19-1</f>
        <v>0.132387332549544</v>
      </c>
    </row>
    <row r="21" customFormat="false" ht="15" hidden="false" customHeight="true" outlineLevel="0" collapsed="false">
      <c r="B21" s="121"/>
      <c r="C21" s="132" t="s">
        <v>59</v>
      </c>
      <c r="D21" s="147"/>
      <c r="E21" s="147"/>
      <c r="F21" s="147"/>
      <c r="G21" s="147"/>
      <c r="H21" s="147"/>
      <c r="I21" s="147"/>
      <c r="J21" s="147" t="n">
        <v>3.807</v>
      </c>
      <c r="K21" s="148" t="n">
        <v>3.9776</v>
      </c>
      <c r="L21" s="148" t="n">
        <v>4.2888</v>
      </c>
      <c r="M21" s="148" t="n">
        <v>4.88</v>
      </c>
      <c r="N21" s="148" t="n">
        <v>6.3192</v>
      </c>
      <c r="O21" s="148" t="n">
        <v>8.5495</v>
      </c>
      <c r="P21" s="148" t="n">
        <v>11.4278</v>
      </c>
      <c r="Q21" s="148" t="n">
        <v>15.8296</v>
      </c>
      <c r="R21" s="148" t="n">
        <v>17.7001</v>
      </c>
      <c r="S21" s="148" t="n">
        <v>37.8852</v>
      </c>
      <c r="T21" s="149" t="n">
        <v>59.8832</v>
      </c>
      <c r="U21" s="148" t="n">
        <v>81.4</v>
      </c>
      <c r="V21" s="148" t="n">
        <v>102.4</v>
      </c>
      <c r="W21" s="148" t="n">
        <v>124.8</v>
      </c>
      <c r="X21" s="148" t="n">
        <v>146.6</v>
      </c>
      <c r="Y21" s="148" t="n">
        <v>166.8132157387</v>
      </c>
      <c r="Z21" s="150" t="n">
        <v>188.156766242959</v>
      </c>
    </row>
    <row r="22" customFormat="false" ht="16" hidden="false" customHeight="false" outlineLevel="0" collapsed="false">
      <c r="B22" s="121"/>
      <c r="C22" s="127" t="s">
        <v>58</v>
      </c>
      <c r="D22" s="128"/>
      <c r="E22" s="128"/>
      <c r="F22" s="128"/>
      <c r="G22" s="128"/>
      <c r="H22" s="128"/>
      <c r="I22" s="128"/>
      <c r="J22" s="128"/>
      <c r="K22" s="129" t="n">
        <f aca="false">+K21/J21-1</f>
        <v>0.0448121880745993</v>
      </c>
      <c r="L22" s="129" t="n">
        <f aca="false">+L21/K21-1</f>
        <v>0.0782381335478681</v>
      </c>
      <c r="M22" s="129" t="n">
        <f aca="false">+M21/L21-1</f>
        <v>0.137847416526767</v>
      </c>
      <c r="N22" s="129" t="n">
        <f aca="false">+N21/M21-1</f>
        <v>0.294918032786885</v>
      </c>
      <c r="O22" s="129" t="n">
        <f aca="false">+O21/N21-1</f>
        <v>0.352940245600709</v>
      </c>
      <c r="P22" s="129" t="n">
        <f aca="false">+P21/O21-1</f>
        <v>0.336662962746359</v>
      </c>
      <c r="Q22" s="129" t="n">
        <f aca="false">+Q21/P21-1</f>
        <v>0.385183499886242</v>
      </c>
      <c r="R22" s="129" t="n">
        <f aca="false">+R21/Q21-1</f>
        <v>0.118164704098651</v>
      </c>
      <c r="S22" s="129" t="n">
        <f aca="false">+S21/R21-1</f>
        <v>1.14039468703567</v>
      </c>
      <c r="T22" s="130" t="n">
        <f aca="false">+T21/S21-1</f>
        <v>0.580648907752895</v>
      </c>
      <c r="U22" s="129" t="n">
        <f aca="false">+U21/T21-1</f>
        <v>0.359312795575387</v>
      </c>
      <c r="V22" s="129" t="n">
        <f aca="false">+V21/U21-1</f>
        <v>0.257985257985258</v>
      </c>
      <c r="W22" s="129" t="n">
        <f aca="false">+W21/V21-1</f>
        <v>0.21875</v>
      </c>
      <c r="X22" s="129" t="n">
        <f aca="false">+X21/W21-1</f>
        <v>0.174679487179487</v>
      </c>
      <c r="Y22" s="129" t="n">
        <f aca="false">+Y21/X21-1</f>
        <v>0.137880052787856</v>
      </c>
      <c r="Z22" s="131" t="n">
        <f aca="false">+Z21/Y21-1</f>
        <v>0.127948798359552</v>
      </c>
    </row>
    <row r="23" customFormat="false" ht="15" hidden="false" customHeight="true" outlineLevel="0" collapsed="false">
      <c r="B23" s="121"/>
      <c r="C23" s="132" t="s">
        <v>60</v>
      </c>
      <c r="D23" s="147"/>
      <c r="E23" s="147"/>
      <c r="F23" s="147"/>
      <c r="G23" s="147"/>
      <c r="H23" s="147"/>
      <c r="I23" s="147"/>
      <c r="J23" s="147" t="n">
        <v>15.9764615663015</v>
      </c>
      <c r="K23" s="148" t="n">
        <v>19.7622050563663</v>
      </c>
      <c r="L23" s="148" t="n">
        <v>24.6589905419079</v>
      </c>
      <c r="M23" s="148" t="n">
        <v>31.0371919033548</v>
      </c>
      <c r="N23" s="148" t="n">
        <v>37.5306040347735</v>
      </c>
      <c r="O23" s="148" t="n">
        <v>52.002966806338</v>
      </c>
      <c r="P23" s="148" t="n">
        <v>66.1083033380949</v>
      </c>
      <c r="Q23" s="148" t="n">
        <v>90.7075699755002</v>
      </c>
      <c r="R23" s="148" t="n">
        <v>112.887108333333</v>
      </c>
      <c r="S23" s="148" t="n">
        <v>151.581675</v>
      </c>
      <c r="T23" s="149" t="n">
        <v>232.751091666667</v>
      </c>
      <c r="U23" s="148" t="n">
        <v>329.13602041049</v>
      </c>
      <c r="V23" s="148" t="n">
        <v>431.999533210302</v>
      </c>
      <c r="W23" s="148" t="n">
        <v>545.108126118721</v>
      </c>
      <c r="X23" s="148" t="n">
        <v>663.678402157269</v>
      </c>
      <c r="Y23" s="148" t="n">
        <v>784.374331156924</v>
      </c>
      <c r="Z23" s="150" t="n">
        <v>906.901768595253</v>
      </c>
    </row>
    <row r="24" customFormat="false" ht="16" hidden="false" customHeight="false" outlineLevel="0" collapsed="false">
      <c r="B24" s="121"/>
      <c r="C24" s="127" t="s">
        <v>61</v>
      </c>
      <c r="D24" s="128"/>
      <c r="E24" s="128"/>
      <c r="F24" s="128"/>
      <c r="G24" s="128"/>
      <c r="H24" s="128"/>
      <c r="I24" s="128"/>
      <c r="J24" s="128"/>
      <c r="K24" s="129" t="n">
        <f aca="false">K23/J23-1</f>
        <v>0.236957568755388</v>
      </c>
      <c r="L24" s="129" t="n">
        <f aca="false">L23/K23-1</f>
        <v>0.247785379798202</v>
      </c>
      <c r="M24" s="129" t="n">
        <f aca="false">M23/L23-1</f>
        <v>0.258656223198073</v>
      </c>
      <c r="N24" s="129" t="n">
        <f aca="false">N23/M23-1</f>
        <v>0.209213905421538</v>
      </c>
      <c r="O24" s="129" t="n">
        <f aca="false">O23/N23-1</f>
        <v>0.385614970602534</v>
      </c>
      <c r="P24" s="129" t="n">
        <f aca="false">P23/O23-1</f>
        <v>0.271240996389418</v>
      </c>
      <c r="Q24" s="129" t="n">
        <f aca="false">Q23/P23-1</f>
        <v>0.372105550971386</v>
      </c>
      <c r="R24" s="129" t="n">
        <f aca="false">R23/Q23-1</f>
        <v>0.244516950060769</v>
      </c>
      <c r="S24" s="129" t="n">
        <f aca="false">S23/R23-1</f>
        <v>0.342772237131004</v>
      </c>
      <c r="T24" s="130" t="n">
        <f aca="false">T23/S23-1</f>
        <v>0.535483043492339</v>
      </c>
      <c r="U24" s="129" t="n">
        <f aca="false">U23/T23-1</f>
        <v>0.414111607613256</v>
      </c>
      <c r="V24" s="129" t="n">
        <f aca="false">V23/U23-1</f>
        <v>0.312525844699475</v>
      </c>
      <c r="W24" s="129" t="n">
        <f aca="false">W23/V23-1</f>
        <v>0.261825729458268</v>
      </c>
      <c r="X24" s="129" t="n">
        <f aca="false">X23/W23-1</f>
        <v>0.217516984901313</v>
      </c>
      <c r="Y24" s="129" t="n">
        <f aca="false">Y23/X23-1</f>
        <v>0.181859057952369</v>
      </c>
      <c r="Z24" s="131" t="n">
        <f aca="false">Z23/Y23-1</f>
        <v>0.156210412007753</v>
      </c>
    </row>
    <row r="25" customFormat="false" ht="15" hidden="false" customHeight="true" outlineLevel="0" collapsed="false">
      <c r="B25" s="121"/>
      <c r="C25" s="132" t="s">
        <v>60</v>
      </c>
      <c r="D25" s="147"/>
      <c r="E25" s="147"/>
      <c r="F25" s="147"/>
      <c r="G25" s="147"/>
      <c r="H25" s="147"/>
      <c r="I25" s="147"/>
      <c r="J25" s="147" t="n">
        <v>17.2779932399405</v>
      </c>
      <c r="K25" s="148" t="n">
        <v>21.7614736820307</v>
      </c>
      <c r="L25" s="148" t="n">
        <v>27.0596881032152</v>
      </c>
      <c r="M25" s="148" t="n">
        <v>33.9968018489994</v>
      </c>
      <c r="N25" s="148" t="n">
        <v>42.2574210730912</v>
      </c>
      <c r="O25" s="148" t="n">
        <v>58.1382112955302</v>
      </c>
      <c r="P25" s="148" t="n">
        <v>74.3813088176791</v>
      </c>
      <c r="Q25" s="148" t="n">
        <v>100</v>
      </c>
      <c r="R25" s="148" t="n">
        <v>124.7956</v>
      </c>
      <c r="S25" s="148" t="n">
        <v>184.2552</v>
      </c>
      <c r="T25" s="149" t="n">
        <v>283.4442</v>
      </c>
      <c r="U25" s="148" t="n">
        <v>375.324686020269</v>
      </c>
      <c r="V25" s="148" t="n">
        <v>484.186284579505</v>
      </c>
      <c r="W25" s="148" t="n">
        <v>600.478873709243</v>
      </c>
      <c r="X25" s="148" t="n">
        <v>720.493996959588</v>
      </c>
      <c r="Y25" s="148" t="n">
        <v>841.286095341108</v>
      </c>
      <c r="Z25" s="150" t="n">
        <v>965.015649534035</v>
      </c>
    </row>
    <row r="26" customFormat="false" ht="16" hidden="false" customHeight="false" outlineLevel="0" collapsed="false">
      <c r="B26" s="121"/>
      <c r="C26" s="151" t="s">
        <v>62</v>
      </c>
      <c r="D26" s="140"/>
      <c r="E26" s="140"/>
      <c r="F26" s="140"/>
      <c r="G26" s="140"/>
      <c r="H26" s="140"/>
      <c r="I26" s="140"/>
      <c r="J26" s="140"/>
      <c r="K26" s="141" t="n">
        <f aca="false">K25/J25-1</f>
        <v>0.259490808905172</v>
      </c>
      <c r="L26" s="141" t="n">
        <f aca="false">L25/K25-1</f>
        <v>0.243467629931674</v>
      </c>
      <c r="M26" s="141" t="n">
        <f aca="false">M25/L25-1</f>
        <v>0.256363403721565</v>
      </c>
      <c r="N26" s="141" t="n">
        <f aca="false">N25/M25-1</f>
        <v>0.242982244647076</v>
      </c>
      <c r="O26" s="141" t="n">
        <f aca="false">O25/N25-1</f>
        <v>0.375810681749142</v>
      </c>
      <c r="P26" s="141" t="n">
        <f aca="false">P25/O25-1</f>
        <v>0.279387637840825</v>
      </c>
      <c r="Q26" s="141" t="n">
        <f aca="false">Q25/P25-1</f>
        <v>0.344423775133032</v>
      </c>
      <c r="R26" s="141" t="n">
        <f aca="false">R25/Q25-1</f>
        <v>0.247956</v>
      </c>
      <c r="S26" s="141" t="n">
        <f aca="false">S25/R25-1</f>
        <v>0.476455900688806</v>
      </c>
      <c r="T26" s="142" t="n">
        <f aca="false">T25/S25-1</f>
        <v>0.538324020163339</v>
      </c>
      <c r="U26" s="141" t="n">
        <f aca="false">U25/T25-1</f>
        <v>0.324157227490522</v>
      </c>
      <c r="V26" s="141" t="n">
        <f aca="false">V25/U25-1</f>
        <v>0.290046465404509</v>
      </c>
      <c r="W26" s="141" t="n">
        <f aca="false">W25/V25-1</f>
        <v>0.240181502106639</v>
      </c>
      <c r="X26" s="141" t="n">
        <f aca="false">X25/W25-1</f>
        <v>0.199865688044935</v>
      </c>
      <c r="Y26" s="141" t="n">
        <f aca="false">Y25/X25-1</f>
        <v>0.167651776269129</v>
      </c>
      <c r="Z26" s="152" t="n">
        <f aca="false">Z25/Y25-1</f>
        <v>0.147071911538915</v>
      </c>
    </row>
    <row r="27" customFormat="false" ht="15" hidden="true" customHeight="false" outlineLevel="0" collapsed="false">
      <c r="B27" s="121"/>
      <c r="C27" s="151"/>
      <c r="D27" s="140"/>
      <c r="E27" s="140"/>
      <c r="F27" s="140"/>
      <c r="G27" s="140"/>
      <c r="H27" s="140"/>
      <c r="I27" s="140"/>
      <c r="J27" s="140"/>
      <c r="K27" s="141"/>
      <c r="L27" s="141"/>
      <c r="M27" s="141"/>
      <c r="N27" s="141"/>
      <c r="O27" s="141"/>
      <c r="P27" s="141"/>
      <c r="Q27" s="141"/>
      <c r="R27" s="141"/>
      <c r="S27" s="141"/>
      <c r="T27" s="142"/>
      <c r="U27" s="141"/>
      <c r="V27" s="141"/>
      <c r="W27" s="141"/>
      <c r="X27" s="141"/>
      <c r="Y27" s="141"/>
      <c r="Z27" s="152"/>
    </row>
    <row r="28" customFormat="false" ht="15" hidden="false" customHeight="true" outlineLevel="0" collapsed="false">
      <c r="B28" s="121"/>
      <c r="C28" s="153" t="s">
        <v>63</v>
      </c>
      <c r="D28" s="147"/>
      <c r="E28" s="147"/>
      <c r="F28" s="147"/>
      <c r="G28" s="147"/>
      <c r="H28" s="147"/>
      <c r="I28" s="147"/>
      <c r="J28" s="147" t="n">
        <v>66.3246381213388</v>
      </c>
      <c r="K28" s="148" t="n">
        <v>57.3401038369932</v>
      </c>
      <c r="L28" s="148" t="n">
        <v>49.9505528665098</v>
      </c>
      <c r="M28" s="148" t="n">
        <v>44.6260813582049</v>
      </c>
      <c r="N28" s="148" t="n">
        <v>44.9414371639363</v>
      </c>
      <c r="O28" s="148" t="n">
        <v>49.0425834332014</v>
      </c>
      <c r="P28" s="148" t="n">
        <v>43.9677543453985</v>
      </c>
      <c r="Q28" s="148" t="n">
        <v>51.9027726849522</v>
      </c>
      <c r="R28" s="148" t="n">
        <v>47.587182432228</v>
      </c>
      <c r="S28" s="148" t="n">
        <v>60.416354815098</v>
      </c>
      <c r="T28" s="149" t="n">
        <v>69.7119874593845</v>
      </c>
      <c r="U28" s="148" t="n">
        <v>73.9619394770436</v>
      </c>
      <c r="V28" s="148" t="n">
        <v>73.7839497009741</v>
      </c>
      <c r="W28" s="148" t="n">
        <v>74.6508878086574</v>
      </c>
      <c r="X28" s="148" t="n">
        <v>75.3320596608829</v>
      </c>
      <c r="Y28" s="148" t="n">
        <v>75.2781397187004</v>
      </c>
      <c r="Z28" s="150" t="n">
        <v>75.2803384283251</v>
      </c>
    </row>
    <row r="29" customFormat="false" ht="16" hidden="false" customHeight="false" outlineLevel="0" collapsed="false">
      <c r="B29" s="121"/>
      <c r="C29" s="153"/>
      <c r="D29" s="138"/>
      <c r="E29" s="138"/>
      <c r="F29" s="138"/>
      <c r="G29" s="138"/>
      <c r="H29" s="138"/>
      <c r="I29" s="138"/>
      <c r="J29" s="138"/>
      <c r="K29" s="129" t="n">
        <f aca="false">K28/J28-1</f>
        <v>-0.135462997444611</v>
      </c>
      <c r="L29" s="129" t="n">
        <f aca="false">L28/K28-1</f>
        <v>-0.128872298374109</v>
      </c>
      <c r="M29" s="129" t="n">
        <f aca="false">M28/L28-1</f>
        <v>-0.106594846358042</v>
      </c>
      <c r="N29" s="129" t="n">
        <f aca="false">N28/M28-1</f>
        <v>0.00706662552779536</v>
      </c>
      <c r="O29" s="129" t="n">
        <f aca="false">O28/N28-1</f>
        <v>0.0912553431325545</v>
      </c>
      <c r="P29" s="129" t="n">
        <f aca="false">P28/O28-1</f>
        <v>-0.103478013035653</v>
      </c>
      <c r="Q29" s="129" t="n">
        <f aca="false">Q28/P28-1</f>
        <v>0.180473587011481</v>
      </c>
      <c r="R29" s="129" t="n">
        <f aca="false">R28/Q28-1</f>
        <v>-0.0831475859472804</v>
      </c>
      <c r="S29" s="129" t="n">
        <f aca="false">S28/R28-1</f>
        <v>0.269593023313386</v>
      </c>
      <c r="T29" s="130" t="n">
        <f aca="false">T28/S28-1</f>
        <v>0.15385954138967</v>
      </c>
      <c r="U29" s="129" t="n">
        <f aca="false">U28/T28-1</f>
        <v>0.0609644362834334</v>
      </c>
      <c r="V29" s="129" t="n">
        <f aca="false">V28/U28-1</f>
        <v>-0.00240650498523998</v>
      </c>
      <c r="W29" s="129" t="n">
        <f aca="false">W28/V28-1</f>
        <v>0.011749684195502</v>
      </c>
      <c r="X29" s="129" t="n">
        <f aca="false">X28/W28-1</f>
        <v>0.00912476558847497</v>
      </c>
      <c r="Y29" s="129" t="n">
        <f aca="false">Y28/X28-1</f>
        <v>-0.000715763546426551</v>
      </c>
      <c r="Z29" s="131" t="n">
        <f aca="false">Z28/Y28-1</f>
        <v>2.92078103001359E-005</v>
      </c>
    </row>
    <row r="30" customFormat="false" ht="8" hidden="false" customHeight="true" outlineLevel="0" collapsed="false">
      <c r="K30" s="154"/>
      <c r="L30" s="154"/>
      <c r="M30" s="154"/>
      <c r="N30" s="154"/>
      <c r="O30" s="154"/>
      <c r="P30" s="154"/>
      <c r="Q30" s="154"/>
      <c r="R30" s="154"/>
      <c r="S30" s="154"/>
      <c r="T30" s="155"/>
      <c r="U30" s="154"/>
      <c r="V30" s="154"/>
      <c r="W30" s="154"/>
      <c r="X30" s="154"/>
      <c r="Y30" s="154"/>
      <c r="Z30" s="154"/>
    </row>
    <row r="31" customFormat="false" ht="15" hidden="false" customHeight="true" outlineLevel="0" collapsed="false">
      <c r="B31" s="121" t="s">
        <v>64</v>
      </c>
      <c r="C31" s="156" t="s">
        <v>65</v>
      </c>
      <c r="D31" s="123"/>
      <c r="E31" s="123"/>
      <c r="F31" s="123"/>
      <c r="G31" s="123"/>
      <c r="H31" s="123"/>
      <c r="I31" s="123"/>
      <c r="J31" s="123" t="n">
        <v>5591231.66666667</v>
      </c>
      <c r="K31" s="124" t="n">
        <v>5721839.08333333</v>
      </c>
      <c r="L31" s="124" t="n">
        <v>5985949.25</v>
      </c>
      <c r="M31" s="124" t="n">
        <v>6066269.75</v>
      </c>
      <c r="N31" s="124" t="n">
        <v>6111761.41666667</v>
      </c>
      <c r="O31" s="124" t="n">
        <v>6114564.66666667</v>
      </c>
      <c r="P31" s="124" t="n">
        <v>6229256.66666667</v>
      </c>
      <c r="Q31" s="124" t="n">
        <v>6184871.83333333</v>
      </c>
      <c r="R31" s="124" t="n">
        <v>6228469.66666667</v>
      </c>
      <c r="S31" s="124" t="n">
        <v>6236790</v>
      </c>
      <c r="T31" s="125" t="n">
        <v>6093393.58333333</v>
      </c>
      <c r="U31" s="124" t="n">
        <v>5806182.42301104</v>
      </c>
      <c r="V31" s="124" t="n">
        <v>5857509.3503082</v>
      </c>
      <c r="W31" s="124" t="n">
        <v>5948583.36743891</v>
      </c>
      <c r="X31" s="124" t="n">
        <v>6018767.1421203</v>
      </c>
      <c r="Y31" s="124" t="n">
        <v>6077302.61931037</v>
      </c>
      <c r="Z31" s="126" t="n">
        <v>6125964.0760036</v>
      </c>
    </row>
    <row r="32" customFormat="false" ht="15" hidden="false" customHeight="false" outlineLevel="0" collapsed="false">
      <c r="B32" s="121"/>
      <c r="C32" s="156"/>
      <c r="D32" s="128"/>
      <c r="E32" s="128"/>
      <c r="F32" s="128"/>
      <c r="G32" s="128"/>
      <c r="H32" s="128"/>
      <c r="I32" s="128"/>
      <c r="J32" s="128"/>
      <c r="K32" s="129" t="n">
        <f aca="false">K31/J31-1</f>
        <v>0.0233593284008085</v>
      </c>
      <c r="L32" s="129" t="n">
        <f aca="false">L31/K31-1</f>
        <v>0.0461582653444363</v>
      </c>
      <c r="M32" s="129" t="n">
        <f aca="false">M31/L31-1</f>
        <v>0.0134181725646938</v>
      </c>
      <c r="N32" s="129" t="n">
        <f aca="false">N31/M31-1</f>
        <v>0.00749911700953732</v>
      </c>
      <c r="O32" s="129" t="n">
        <f aca="false">O31/N31-1</f>
        <v>0.000458664828171473</v>
      </c>
      <c r="P32" s="129" t="n">
        <f aca="false">P31/O31-1</f>
        <v>0.018757181623287</v>
      </c>
      <c r="Q32" s="129" t="n">
        <f aca="false">Q31/P31-1</f>
        <v>-0.00712522146837225</v>
      </c>
      <c r="R32" s="129" t="n">
        <f aca="false">R31/Q31-1</f>
        <v>0.00704910861666752</v>
      </c>
      <c r="S32" s="129" t="n">
        <f aca="false">S31/R31-1</f>
        <v>0.0013358551584286</v>
      </c>
      <c r="T32" s="130" t="n">
        <f aca="false">T31/S31-1</f>
        <v>-0.022992022605646</v>
      </c>
      <c r="U32" s="129" t="n">
        <f aca="false">U31/T31-1</f>
        <v>-0.0471348447124563</v>
      </c>
      <c r="V32" s="129" t="n">
        <f aca="false">V31/U31-1</f>
        <v>0.00884004730780452</v>
      </c>
      <c r="W32" s="129" t="n">
        <f aca="false">W31/V31-1</f>
        <v>0.0155482495518193</v>
      </c>
      <c r="X32" s="129" t="n">
        <f aca="false">X31/W31-1</f>
        <v>0.0117984014590036</v>
      </c>
      <c r="Y32" s="129" t="n">
        <f aca="false">Y31/X31-1</f>
        <v>0.0097254929137276</v>
      </c>
      <c r="Z32" s="131" t="n">
        <f aca="false">Z31/Y31-1</f>
        <v>0.00800708138814876</v>
      </c>
    </row>
    <row r="33" customFormat="false" ht="15" hidden="false" customHeight="true" outlineLevel="0" collapsed="false">
      <c r="B33" s="121"/>
      <c r="C33" s="132" t="s">
        <v>66</v>
      </c>
      <c r="D33" s="147"/>
      <c r="E33" s="147"/>
      <c r="F33" s="147"/>
      <c r="G33" s="147"/>
      <c r="H33" s="147"/>
      <c r="I33" s="147"/>
      <c r="J33" s="147" t="n">
        <v>107.290302710186</v>
      </c>
      <c r="K33" s="148" t="n">
        <v>110.476929634037</v>
      </c>
      <c r="L33" s="148" t="n">
        <v>109.811133302484</v>
      </c>
      <c r="M33" s="148" t="n">
        <v>110.253876958519</v>
      </c>
      <c r="N33" s="148" t="n">
        <v>107.911479834419</v>
      </c>
      <c r="O33" s="148" t="n">
        <v>105.774952461293</v>
      </c>
      <c r="P33" s="148" t="n">
        <v>104.244313920581</v>
      </c>
      <c r="Q33" s="148" t="n">
        <v>104.663769775333</v>
      </c>
      <c r="R33" s="148" t="n">
        <v>105.767356975346</v>
      </c>
      <c r="S33" s="148" t="n">
        <v>105.592071837954</v>
      </c>
      <c r="T33" s="149" t="n">
        <v>105.305063377878</v>
      </c>
      <c r="U33" s="148" t="n">
        <v>66.8508120877055</v>
      </c>
      <c r="V33" s="148" t="n">
        <v>67.8848617499236</v>
      </c>
      <c r="W33" s="148" t="n">
        <v>69.9674416457912</v>
      </c>
      <c r="X33" s="148" t="n">
        <v>72.3695661437788</v>
      </c>
      <c r="Y33" s="148" t="n">
        <v>74.7915432008659</v>
      </c>
      <c r="Z33" s="150" t="n">
        <v>76.9820110659504</v>
      </c>
    </row>
    <row r="34" customFormat="false" ht="16" hidden="false" customHeight="false" outlineLevel="0" collapsed="false">
      <c r="B34" s="121"/>
      <c r="C34" s="127" t="s">
        <v>67</v>
      </c>
      <c r="D34" s="157"/>
      <c r="E34" s="157"/>
      <c r="F34" s="157"/>
      <c r="G34" s="157"/>
      <c r="H34" s="157"/>
      <c r="I34" s="157"/>
      <c r="J34" s="157"/>
      <c r="K34" s="129" t="n">
        <f aca="false">K33/J33-1</f>
        <v>0.0297009780320852</v>
      </c>
      <c r="L34" s="129" t="n">
        <f aca="false">L33/K33-1</f>
        <v>-0.00602656440361615</v>
      </c>
      <c r="M34" s="129" t="n">
        <f aca="false">M33/L33-1</f>
        <v>0.00403186491860641</v>
      </c>
      <c r="N34" s="129" t="n">
        <f aca="false">N33/M33-1</f>
        <v>-0.0212454853173191</v>
      </c>
      <c r="O34" s="129" t="n">
        <f aca="false">O33/N33-1</f>
        <v>-0.0197988886484005</v>
      </c>
      <c r="P34" s="129" t="n">
        <f aca="false">P33/O33-1</f>
        <v>-0.0144707088502073</v>
      </c>
      <c r="Q34" s="129" t="n">
        <f aca="false">Q33/P33-1</f>
        <v>0.00402377682749178</v>
      </c>
      <c r="R34" s="129" t="n">
        <f aca="false">R33/Q33-1</f>
        <v>0.0105441185845165</v>
      </c>
      <c r="S34" s="129" t="n">
        <f aca="false">S33/R33-1</f>
        <v>-0.00165727065897003</v>
      </c>
      <c r="T34" s="130" t="n">
        <f aca="false">T33/S33-1</f>
        <v>-0.00271808721128597</v>
      </c>
      <c r="U34" s="129" t="n">
        <f aca="false">U33/T33-1</f>
        <v>-0.365170012311592</v>
      </c>
      <c r="V34" s="129" t="n">
        <f aca="false">V33/U33-1</f>
        <v>0.0154680194589325</v>
      </c>
      <c r="W34" s="129" t="n">
        <f aca="false">W33/V33-1</f>
        <v>0.0306781194243204</v>
      </c>
      <c r="X34" s="129" t="n">
        <f aca="false">X33/W33-1</f>
        <v>0.0343320327495789</v>
      </c>
      <c r="Y34" s="129" t="n">
        <f aca="false">Y33/X33-1</f>
        <v>0.0334667897866801</v>
      </c>
      <c r="Z34" s="131" t="n">
        <f aca="false">Z33/Y33-1</f>
        <v>0.029287640973013</v>
      </c>
    </row>
    <row r="35" customFormat="false" ht="15" hidden="false" customHeight="true" outlineLevel="0" collapsed="false">
      <c r="B35" s="121"/>
      <c r="C35" s="158" t="s">
        <v>68</v>
      </c>
      <c r="D35" s="133"/>
      <c r="E35" s="133"/>
      <c r="F35" s="133"/>
      <c r="G35" s="133"/>
      <c r="H35" s="133"/>
      <c r="I35" s="133"/>
      <c r="J35" s="133" t="n">
        <v>3223.91166666667</v>
      </c>
      <c r="K35" s="134" t="n">
        <v>4073.03333333333</v>
      </c>
      <c r="L35" s="134" t="n">
        <v>5378.90583333333</v>
      </c>
      <c r="M35" s="134" t="n">
        <v>6973.25583333333</v>
      </c>
      <c r="N35" s="134" t="n">
        <v>8834.965</v>
      </c>
      <c r="O35" s="134" t="n">
        <v>11648.9316666667</v>
      </c>
      <c r="P35" s="134" t="n">
        <v>15277.0208333333</v>
      </c>
      <c r="Q35" s="134" t="n">
        <v>20294.7079223526</v>
      </c>
      <c r="R35" s="134" t="n">
        <v>26232.6911153568</v>
      </c>
      <c r="S35" s="134" t="n">
        <v>33439.2724783445</v>
      </c>
      <c r="T35" s="135" t="n">
        <v>48452.5768635017</v>
      </c>
      <c r="U35" s="134" t="n">
        <v>66757.2959115761</v>
      </c>
      <c r="V35" s="134" t="n">
        <v>85137.7056361776</v>
      </c>
      <c r="W35" s="134" t="n">
        <v>109175.19233752</v>
      </c>
      <c r="X35" s="134" t="n">
        <v>134012.152479685</v>
      </c>
      <c r="Y35" s="134" t="n">
        <v>159087.214299471</v>
      </c>
      <c r="Z35" s="136" t="n">
        <v>184561.154038726</v>
      </c>
    </row>
    <row r="36" customFormat="false" ht="15" hidden="false" customHeight="false" outlineLevel="0" collapsed="false">
      <c r="B36" s="121"/>
      <c r="C36" s="158"/>
      <c r="D36" s="157"/>
      <c r="E36" s="157"/>
      <c r="F36" s="157"/>
      <c r="G36" s="157"/>
      <c r="H36" s="157"/>
      <c r="I36" s="157"/>
      <c r="J36" s="157"/>
      <c r="K36" s="129" t="n">
        <f aca="false">K35/J35-1</f>
        <v>0.263382423112296</v>
      </c>
      <c r="L36" s="129" t="n">
        <f aca="false">L35/K35-1</f>
        <v>0.320614243274873</v>
      </c>
      <c r="M36" s="129" t="n">
        <f aca="false">M35/L35-1</f>
        <v>0.296407866097922</v>
      </c>
      <c r="N36" s="129" t="n">
        <f aca="false">N35/M35-1</f>
        <v>0.266978469048473</v>
      </c>
      <c r="O36" s="129" t="n">
        <f aca="false">O35/N35-1</f>
        <v>0.318503431158659</v>
      </c>
      <c r="P36" s="129" t="n">
        <f aca="false">P35/O35-1</f>
        <v>0.311452523757901</v>
      </c>
      <c r="Q36" s="129" t="n">
        <f aca="false">Q35/P35-1</f>
        <v>0.328446700685974</v>
      </c>
      <c r="R36" s="129" t="n">
        <f aca="false">R35/Q35-1</f>
        <v>0.292587763062319</v>
      </c>
      <c r="S36" s="129" t="n">
        <f aca="false">S35/R35-1</f>
        <v>0.274717577822922</v>
      </c>
      <c r="T36" s="130" t="n">
        <f aca="false">T35/S35-1</f>
        <v>0.448972219562488</v>
      </c>
      <c r="U36" s="129" t="n">
        <f aca="false">U35/T35-1</f>
        <v>0.377786285745783</v>
      </c>
      <c r="V36" s="129" t="n">
        <f aca="false">V35/U35-1</f>
        <v>0.275331849105264</v>
      </c>
      <c r="W36" s="129" t="n">
        <f aca="false">W35/V35-1</f>
        <v>0.282336557248362</v>
      </c>
      <c r="X36" s="129" t="n">
        <f aca="false">X35/W35-1</f>
        <v>0.227496371752479</v>
      </c>
      <c r="Y36" s="129" t="n">
        <f aca="false">Y35/X35-1</f>
        <v>0.187110357947475</v>
      </c>
      <c r="Z36" s="131" t="n">
        <f aca="false">Z35/Y35-1</f>
        <v>0.160125625754576</v>
      </c>
    </row>
    <row r="37" customFormat="false" ht="15" hidden="false" customHeight="true" outlineLevel="0" collapsed="false">
      <c r="B37" s="121"/>
      <c r="C37" s="158" t="s">
        <v>69</v>
      </c>
      <c r="D37" s="133"/>
      <c r="E37" s="133"/>
      <c r="F37" s="133"/>
      <c r="G37" s="133"/>
      <c r="H37" s="133"/>
      <c r="I37" s="133"/>
      <c r="J37" s="133" t="n">
        <f aca="false">J35*$R$23/J23</f>
        <v>22779.6414157022</v>
      </c>
      <c r="K37" s="134" t="n">
        <f aca="false">K35*$R$23/K23</f>
        <v>23266.2779195866</v>
      </c>
      <c r="L37" s="134" t="n">
        <f aca="false">L35*$R$23/L23</f>
        <v>24624.2490944772</v>
      </c>
      <c r="M37" s="134" t="n">
        <f aca="false">M35*$R$23/M23</f>
        <v>25362.8191991319</v>
      </c>
      <c r="N37" s="134" t="n">
        <f aca="false">N35*$R$23/N23</f>
        <v>26574.4097844022</v>
      </c>
      <c r="O37" s="134" t="n">
        <f aca="false">O35*$U$23/O23</f>
        <v>73728.1591082822</v>
      </c>
      <c r="P37" s="134" t="n">
        <f aca="false">P35*$U$23/P23</f>
        <v>76060.3069042005</v>
      </c>
      <c r="Q37" s="134" t="n">
        <f aca="false">Q35*$U$23/Q23</f>
        <v>73640.153768429</v>
      </c>
      <c r="R37" s="134" t="n">
        <f aca="false">R35*$U$23/R23</f>
        <v>76484.5843412988</v>
      </c>
      <c r="S37" s="134" t="n">
        <f aca="false">S35*$U$23/S23</f>
        <v>72608.1768719362</v>
      </c>
      <c r="T37" s="135" t="n">
        <f aca="false">T35*$U$23/T23</f>
        <v>68517.3513614512</v>
      </c>
      <c r="U37" s="134" t="n">
        <f aca="false">U35*$U$23/U23</f>
        <v>66757.2959115761</v>
      </c>
      <c r="V37" s="134" t="n">
        <f aca="false">V35*$U$23/V23</f>
        <v>64865.546061435</v>
      </c>
      <c r="W37" s="134" t="n">
        <f aca="false">W35*$U$23/W23</f>
        <v>65919.9278304196</v>
      </c>
      <c r="X37" s="134" t="n">
        <f aca="false">X35*$U$23/X23</f>
        <v>66460.2409999102</v>
      </c>
      <c r="Y37" s="134" t="n">
        <f aca="false">Y35*$U$23/Y23</f>
        <v>66755.5407320477</v>
      </c>
      <c r="Z37" s="136" t="n">
        <f aca="false">Z35*$U$23/Z23</f>
        <v>66981.591464714</v>
      </c>
    </row>
    <row r="38" customFormat="false" ht="15" hidden="false" customHeight="false" outlineLevel="0" collapsed="false">
      <c r="B38" s="121"/>
      <c r="C38" s="158"/>
      <c r="D38" s="157"/>
      <c r="E38" s="157"/>
      <c r="F38" s="157"/>
      <c r="G38" s="157"/>
      <c r="H38" s="157"/>
      <c r="I38" s="157"/>
      <c r="J38" s="157"/>
      <c r="K38" s="129" t="n">
        <f aca="false">K37/J37-1</f>
        <v>0.0213627815734181</v>
      </c>
      <c r="L38" s="129" t="n">
        <f aca="false">L37/K37-1</f>
        <v>0.0583664984826546</v>
      </c>
      <c r="M38" s="129" t="n">
        <f aca="false">M37/L37-1</f>
        <v>0.029993609219146</v>
      </c>
      <c r="N38" s="129" t="n">
        <f aca="false">N37/M37-1</f>
        <v>0.0477703434999766</v>
      </c>
      <c r="O38" s="129" t="n">
        <f aca="false">O37/N37-1</f>
        <v>1.77440438777146</v>
      </c>
      <c r="P38" s="129" t="n">
        <f aca="false">P37/O37-1</f>
        <v>0.031631710653363</v>
      </c>
      <c r="Q38" s="129" t="n">
        <f aca="false">Q37/P37-1</f>
        <v>-0.0318188715543805</v>
      </c>
      <c r="R38" s="129" t="n">
        <f aca="false">R37/Q37-1</f>
        <v>0.0386260813878048</v>
      </c>
      <c r="S38" s="129" t="n">
        <f aca="false">S37/R37-1</f>
        <v>-0.0506822061301248</v>
      </c>
      <c r="T38" s="130" t="n">
        <f aca="false">T37/S37-1</f>
        <v>-0.056341113173799</v>
      </c>
      <c r="U38" s="129" t="n">
        <f aca="false">U37/T37-1</f>
        <v>-0.0256877333245163</v>
      </c>
      <c r="V38" s="129" t="n">
        <f aca="false">V37/U37-1</f>
        <v>-0.0283377243537073</v>
      </c>
      <c r="W38" s="129" t="n">
        <f aca="false">W37/V37-1</f>
        <v>0.016254881566649</v>
      </c>
      <c r="X38" s="129" t="n">
        <f aca="false">X37/W37-1</f>
        <v>0.00819650729716503</v>
      </c>
      <c r="Y38" s="129" t="n">
        <f aca="false">Y37/X37-1</f>
        <v>0.00444325400712664</v>
      </c>
      <c r="Z38" s="131" t="n">
        <f aca="false">Z37/Y37-1</f>
        <v>0.00338624674727228</v>
      </c>
    </row>
    <row r="39" customFormat="false" ht="15" hidden="false" customHeight="true" outlineLevel="0" collapsed="false">
      <c r="B39" s="121"/>
      <c r="C39" s="153" t="s">
        <v>70</v>
      </c>
      <c r="D39" s="133"/>
      <c r="E39" s="133"/>
      <c r="F39" s="133"/>
      <c r="G39" s="133"/>
      <c r="H39" s="133"/>
      <c r="I39" s="133"/>
      <c r="J39" s="133" t="n">
        <f aca="false">J35/J19</f>
        <v>864.493307412125</v>
      </c>
      <c r="K39" s="134" t="n">
        <f aca="false">K35/K19</f>
        <v>1041.04862276674</v>
      </c>
      <c r="L39" s="134" t="n">
        <f aca="false">L35/L19</f>
        <v>1302.4852340854</v>
      </c>
      <c r="M39" s="134" t="n">
        <f aca="false">M35/M19</f>
        <v>1532.33111758135</v>
      </c>
      <c r="N39" s="134" t="n">
        <f aca="false">N35/N19</f>
        <v>1613.44665956475</v>
      </c>
      <c r="O39" s="134" t="n">
        <f aca="false">O35/O19</f>
        <v>1433.80143003525</v>
      </c>
      <c r="P39" s="134" t="n">
        <f aca="false">P35/P19</f>
        <v>1648.31921552902</v>
      </c>
      <c r="Q39" s="134" t="n">
        <f aca="false">Q35/Q19</f>
        <v>1373.35691588641</v>
      </c>
      <c r="R39" s="134" t="n">
        <f aca="false">R35/R19</f>
        <v>1584.41384505725</v>
      </c>
      <c r="S39" s="134" t="n">
        <f aca="false">S35/S19</f>
        <v>1189.48351557772</v>
      </c>
      <c r="T39" s="135" t="n">
        <f aca="false">T35/T19</f>
        <v>1004.09738080262</v>
      </c>
      <c r="U39" s="134" t="n">
        <f aca="false">U35/U19</f>
        <v>944.815989889816</v>
      </c>
      <c r="V39" s="134" t="n">
        <f aca="false">V35/V19</f>
        <v>941.613279682976</v>
      </c>
      <c r="W39" s="134" t="n">
        <f aca="false">W35/W19</f>
        <v>965.734202048997</v>
      </c>
      <c r="X39" s="134" t="n">
        <f aca="false">X35/X19</f>
        <v>985.139015984678</v>
      </c>
      <c r="Y39" s="134" t="n">
        <f aca="false">Y35/Y19</f>
        <v>1011.15082613368</v>
      </c>
      <c r="Z39" s="136" t="n">
        <f aca="false">Z35/Z19</f>
        <v>1035.91938127696</v>
      </c>
    </row>
    <row r="40" customFormat="false" ht="16" hidden="false" customHeight="false" outlineLevel="0" collapsed="false">
      <c r="B40" s="121"/>
      <c r="C40" s="153"/>
      <c r="D40" s="159"/>
      <c r="E40" s="159"/>
      <c r="F40" s="159"/>
      <c r="G40" s="159"/>
      <c r="H40" s="159"/>
      <c r="I40" s="159"/>
      <c r="J40" s="159"/>
      <c r="K40" s="160" t="n">
        <f aca="false">K39/J39-1</f>
        <v>0.204229823228049</v>
      </c>
      <c r="L40" s="160" t="n">
        <f aca="false">L39/K39-1</f>
        <v>0.251128146756355</v>
      </c>
      <c r="M40" s="160" t="n">
        <f aca="false">M39/L39-1</f>
        <v>0.176467170207382</v>
      </c>
      <c r="N40" s="160" t="n">
        <f aca="false">N39/M39-1</f>
        <v>0.0529360404241068</v>
      </c>
      <c r="O40" s="160" t="n">
        <f aca="false">O39/N39-1</f>
        <v>-0.111342527789523</v>
      </c>
      <c r="P40" s="160" t="n">
        <f aca="false">P39/O39-1</f>
        <v>0.149614710238145</v>
      </c>
      <c r="Q40" s="160" t="n">
        <f aca="false">Q39/P39-1</f>
        <v>-0.166813743995794</v>
      </c>
      <c r="R40" s="160" t="n">
        <f aca="false">R39/Q39-1</f>
        <v>0.153679591029416</v>
      </c>
      <c r="S40" s="160" t="n">
        <f aca="false">S39/R39-1</f>
        <v>-0.24925957994596</v>
      </c>
      <c r="T40" s="161" t="n">
        <f aca="false">T39/S39-1</f>
        <v>-0.155854311848159</v>
      </c>
      <c r="U40" s="160" t="n">
        <f aca="false">U39/T39-1</f>
        <v>-0.0590394836658388</v>
      </c>
      <c r="V40" s="160" t="n">
        <f aca="false">V39/U39-1</f>
        <v>-0.00338977138523411</v>
      </c>
      <c r="W40" s="160" t="n">
        <f aca="false">W39/V39-1</f>
        <v>0.0256165911064281</v>
      </c>
      <c r="X40" s="160" t="n">
        <f aca="false">X39/W39-1</f>
        <v>0.0200933278478788</v>
      </c>
      <c r="Y40" s="160" t="n">
        <f aca="false">Y39/X39-1</f>
        <v>0.0264042025815043</v>
      </c>
      <c r="Z40" s="162" t="n">
        <f aca="false">Z39/Y39-1</f>
        <v>0.0244954110733298</v>
      </c>
    </row>
    <row r="41" customFormat="false" ht="8" hidden="false" customHeight="true" outlineLevel="0" collapsed="false">
      <c r="K41" s="154"/>
      <c r="L41" s="154"/>
      <c r="M41" s="154"/>
      <c r="N41" s="154"/>
      <c r="O41" s="154"/>
      <c r="P41" s="154"/>
      <c r="Q41" s="154"/>
      <c r="R41" s="154"/>
      <c r="S41" s="154"/>
      <c r="T41" s="155"/>
      <c r="U41" s="154"/>
      <c r="V41" s="154"/>
      <c r="W41" s="154"/>
      <c r="X41" s="154"/>
      <c r="Y41" s="154"/>
      <c r="Z41" s="154"/>
    </row>
    <row r="42" customFormat="false" ht="15" hidden="true" customHeight="true" outlineLevel="0" collapsed="false">
      <c r="B42" s="121" t="s">
        <v>71</v>
      </c>
      <c r="C42" s="163" t="s">
        <v>72</v>
      </c>
      <c r="D42" s="123"/>
      <c r="E42" s="123"/>
      <c r="F42" s="123"/>
      <c r="G42" s="123"/>
      <c r="H42" s="123"/>
      <c r="I42" s="123"/>
      <c r="J42" s="123" t="n">
        <v>47967.4775462902</v>
      </c>
      <c r="K42" s="124" t="n">
        <v>52189.8299713265</v>
      </c>
      <c r="L42" s="124" t="n">
        <v>46375.9225692508</v>
      </c>
      <c r="M42" s="124" t="n">
        <v>43290.1997030891</v>
      </c>
      <c r="N42" s="124" t="n">
        <v>30600.4433420006</v>
      </c>
      <c r="O42" s="124" t="n">
        <v>31407.5471234799</v>
      </c>
      <c r="P42" s="124" t="n">
        <v>25563.4818915802</v>
      </c>
      <c r="Q42" s="124" t="n">
        <v>38771.6299478871</v>
      </c>
      <c r="R42" s="124" t="n">
        <v>55055.0806958486</v>
      </c>
      <c r="S42" s="124" t="n">
        <v>66323.9978938135</v>
      </c>
      <c r="T42" s="125" t="n">
        <v>44848.3434176476</v>
      </c>
      <c r="U42" s="124" t="n">
        <v>0</v>
      </c>
      <c r="V42" s="124" t="n">
        <v>0</v>
      </c>
      <c r="W42" s="124" t="n">
        <v>0</v>
      </c>
      <c r="X42" s="124" t="n">
        <v>0</v>
      </c>
      <c r="Y42" s="124" t="n">
        <v>0</v>
      </c>
      <c r="Z42" s="126" t="n">
        <v>0</v>
      </c>
    </row>
    <row r="43" customFormat="false" ht="16" hidden="true" customHeight="false" outlineLevel="0" collapsed="false">
      <c r="B43" s="121"/>
      <c r="C43" s="163"/>
      <c r="D43" s="164"/>
      <c r="E43" s="164"/>
      <c r="F43" s="164"/>
      <c r="G43" s="164"/>
      <c r="H43" s="164"/>
      <c r="I43" s="164"/>
      <c r="J43" s="164"/>
      <c r="K43" s="129" t="n">
        <f aca="false">K42/J42-1</f>
        <v>0.0880253171737375</v>
      </c>
      <c r="L43" s="129" t="n">
        <f aca="false">L42/K42-1</f>
        <v>-0.111399240144487</v>
      </c>
      <c r="M43" s="129" t="n">
        <f aca="false">M42/L42-1</f>
        <v>-0.0665371747926726</v>
      </c>
      <c r="N43" s="129" t="n">
        <f aca="false">N42/M42-1</f>
        <v>-0.293132312812661</v>
      </c>
      <c r="O43" s="129" t="n">
        <f aca="false">O42/N42-1</f>
        <v>0.0263755584341971</v>
      </c>
      <c r="P43" s="129" t="n">
        <f aca="false">P42/O42-1</f>
        <v>-0.186072003933436</v>
      </c>
      <c r="Q43" s="129" t="n">
        <f aca="false">Q42/P42-1</f>
        <v>0.516680322043974</v>
      </c>
      <c r="R43" s="129" t="n">
        <f aca="false">R42/Q42-1</f>
        <v>0.419983652218079</v>
      </c>
      <c r="S43" s="129"/>
      <c r="T43" s="130"/>
      <c r="U43" s="129"/>
      <c r="V43" s="129"/>
      <c r="W43" s="129"/>
      <c r="X43" s="129"/>
      <c r="Y43" s="129"/>
      <c r="Z43" s="131"/>
    </row>
    <row r="44" customFormat="false" ht="16" hidden="true" customHeight="true" outlineLevel="0" collapsed="false">
      <c r="B44" s="121"/>
      <c r="C44" s="165" t="s">
        <v>73</v>
      </c>
      <c r="D44" s="166"/>
      <c r="E44" s="166"/>
      <c r="F44" s="166"/>
      <c r="G44" s="166"/>
      <c r="H44" s="166"/>
      <c r="I44" s="166"/>
      <c r="J44" s="166" t="n">
        <v>122350.171</v>
      </c>
      <c r="K44" s="167" t="n">
        <v>160407.987</v>
      </c>
      <c r="L44" s="167" t="n">
        <v>222921.853</v>
      </c>
      <c r="M44" s="167" t="n">
        <v>307351.516</v>
      </c>
      <c r="N44" s="167" t="n">
        <v>377196.52374309</v>
      </c>
      <c r="O44" s="167" t="n">
        <v>462564.475</v>
      </c>
      <c r="P44" s="167" t="n">
        <v>623889.517</v>
      </c>
      <c r="Q44" s="167" t="n">
        <v>821664.245</v>
      </c>
      <c r="R44" s="167" t="n">
        <v>1001112.808</v>
      </c>
      <c r="S44" s="167" t="n">
        <v>1396183.175</v>
      </c>
      <c r="T44" s="168" t="n">
        <v>1895380.875</v>
      </c>
      <c r="U44" s="167" t="n">
        <v>2589518.19995336</v>
      </c>
      <c r="V44" s="167" t="n">
        <v>3830610.16262929</v>
      </c>
      <c r="W44" s="167" t="n">
        <v>5467744.88169742</v>
      </c>
      <c r="X44" s="167" t="n">
        <v>7476735.66466116</v>
      </c>
      <c r="Y44" s="167" t="n">
        <v>9895361.86180508</v>
      </c>
      <c r="Z44" s="169" t="n">
        <v>12799695.8417635</v>
      </c>
    </row>
    <row r="45" customFormat="false" ht="16" hidden="true" customHeight="false" outlineLevel="0" collapsed="false">
      <c r="B45" s="121"/>
      <c r="C45" s="165"/>
      <c r="D45" s="164"/>
      <c r="E45" s="164"/>
      <c r="F45" s="164"/>
      <c r="G45" s="164"/>
      <c r="H45" s="164"/>
      <c r="I45" s="164"/>
      <c r="J45" s="164"/>
      <c r="K45" s="129" t="n">
        <f aca="false">K44/J44-1</f>
        <v>0.311056500280658</v>
      </c>
      <c r="L45" s="129" t="n">
        <f aca="false">L44/K44-1</f>
        <v>0.389717913485193</v>
      </c>
      <c r="M45" s="129" t="n">
        <f aca="false">M44/L44-1</f>
        <v>0.3787410783814</v>
      </c>
      <c r="N45" s="129" t="n">
        <f aca="false">N44/M44-1</f>
        <v>0.227247968879679</v>
      </c>
      <c r="O45" s="129" t="n">
        <f aca="false">O44/N44-1</f>
        <v>0.226322211057953</v>
      </c>
      <c r="P45" s="129" t="n">
        <f aca="false">P44/O44-1</f>
        <v>0.348762282274271</v>
      </c>
      <c r="Q45" s="129" t="n">
        <f aca="false">Q44/P44-1</f>
        <v>0.317002806764583</v>
      </c>
      <c r="R45" s="129" t="n">
        <f aca="false">R44/Q44-1</f>
        <v>0.218396460710055</v>
      </c>
      <c r="S45" s="129" t="n">
        <f aca="false">S44/R44-1</f>
        <v>0.394631218223311</v>
      </c>
      <c r="T45" s="130" t="n">
        <f aca="false">T44/S44-1</f>
        <v>0.357544560727141</v>
      </c>
      <c r="U45" s="129" t="n">
        <f aca="false">U44/T44-1</f>
        <v>0.366225772407543</v>
      </c>
      <c r="V45" s="129" t="n">
        <f aca="false">V44/U44-1</f>
        <v>0.479275242281859</v>
      </c>
      <c r="W45" s="129" t="n">
        <f aca="false">W44/V44-1</f>
        <v>0.427382231436576</v>
      </c>
      <c r="X45" s="129" t="n">
        <f aca="false">X44/W44-1</f>
        <v>0.367425844919828</v>
      </c>
      <c r="Y45" s="129" t="n">
        <f aca="false">Y44/X44-1</f>
        <v>0.323486920712681</v>
      </c>
      <c r="Z45" s="131" t="n">
        <f aca="false">Z44/Y44-1</f>
        <v>0.293504575226174</v>
      </c>
    </row>
    <row r="46" customFormat="false" ht="33" hidden="true" customHeight="false" outlineLevel="0" collapsed="false">
      <c r="B46" s="121"/>
      <c r="C46" s="137" t="s">
        <v>74</v>
      </c>
      <c r="D46" s="170"/>
      <c r="E46" s="170"/>
      <c r="F46" s="170"/>
      <c r="G46" s="170"/>
      <c r="H46" s="170"/>
      <c r="I46" s="170"/>
      <c r="J46" s="170" t="n">
        <v>0.444604339784699</v>
      </c>
      <c r="K46" s="171" t="n">
        <v>0.552191431714681</v>
      </c>
      <c r="L46" s="171" t="n">
        <v>0.377629572278856</v>
      </c>
      <c r="M46" s="171" t="n">
        <v>0.324888529263021</v>
      </c>
      <c r="N46" s="171" t="n">
        <v>0.293074398961226</v>
      </c>
      <c r="O46" s="171" t="n">
        <v>0.609937116333891</v>
      </c>
      <c r="P46" s="171" t="n">
        <v>0.668213768047653</v>
      </c>
      <c r="Q46" s="171" t="n">
        <v>0.850012172551089</v>
      </c>
      <c r="R46" s="171" t="n">
        <v>1.15904189990145</v>
      </c>
      <c r="S46" s="171"/>
      <c r="T46" s="172"/>
      <c r="U46" s="171"/>
      <c r="V46" s="171"/>
      <c r="W46" s="171"/>
      <c r="X46" s="171"/>
      <c r="Y46" s="171"/>
      <c r="Z46" s="173"/>
    </row>
    <row r="47" customFormat="false" ht="8" hidden="true" customHeight="true" outlineLevel="0" collapsed="false">
      <c r="K47" s="154"/>
      <c r="L47" s="154"/>
      <c r="M47" s="154"/>
      <c r="N47" s="154"/>
      <c r="O47" s="154"/>
      <c r="P47" s="154"/>
      <c r="Q47" s="154"/>
      <c r="R47" s="154"/>
      <c r="S47" s="154"/>
      <c r="T47" s="155"/>
      <c r="U47" s="154"/>
      <c r="V47" s="154"/>
      <c r="W47" s="154"/>
      <c r="X47" s="154"/>
      <c r="Y47" s="154"/>
      <c r="Z47" s="154"/>
    </row>
    <row r="48" customFormat="false" ht="15" hidden="false" customHeight="true" outlineLevel="0" collapsed="false">
      <c r="B48" s="174" t="s">
        <v>75</v>
      </c>
      <c r="C48" s="156" t="s">
        <v>76</v>
      </c>
      <c r="D48" s="123"/>
      <c r="E48" s="123"/>
      <c r="F48" s="123"/>
      <c r="G48" s="123"/>
      <c r="H48" s="123"/>
      <c r="I48" s="123"/>
      <c r="J48" s="123" t="n">
        <v>55672.09663613</v>
      </c>
      <c r="K48" s="124" t="n">
        <v>68174.44704942</v>
      </c>
      <c r="L48" s="124" t="n">
        <v>82981.09128192</v>
      </c>
      <c r="M48" s="124" t="n">
        <v>79982.38788821</v>
      </c>
      <c r="N48" s="124" t="n">
        <v>75962.98136107</v>
      </c>
      <c r="O48" s="124" t="n">
        <v>68407.38182459</v>
      </c>
      <c r="P48" s="124" t="n">
        <v>56787.98227166</v>
      </c>
      <c r="Q48" s="124" t="n">
        <v>57818.6136221641</v>
      </c>
      <c r="R48" s="124" t="n">
        <v>58622</v>
      </c>
      <c r="S48" s="124" t="n">
        <v>61784</v>
      </c>
      <c r="T48" s="125" t="n">
        <v>65078</v>
      </c>
      <c r="U48" s="124" t="n">
        <v>56853.113031735</v>
      </c>
      <c r="V48" s="124" t="n">
        <v>62628.9054473068</v>
      </c>
      <c r="W48" s="124" t="n">
        <v>66722.1856448769</v>
      </c>
      <c r="X48" s="124" t="n">
        <v>70237.6635744378</v>
      </c>
      <c r="Y48" s="124" t="n">
        <v>73724.432854732</v>
      </c>
      <c r="Z48" s="126" t="n">
        <v>77392.3981888197</v>
      </c>
    </row>
    <row r="49" customFormat="false" ht="15" hidden="false" customHeight="false" outlineLevel="0" collapsed="false">
      <c r="B49" s="174"/>
      <c r="C49" s="156"/>
      <c r="D49" s="128"/>
      <c r="E49" s="128"/>
      <c r="F49" s="128"/>
      <c r="G49" s="128"/>
      <c r="H49" s="128"/>
      <c r="I49" s="128"/>
      <c r="J49" s="128"/>
      <c r="K49" s="129" t="n">
        <f aca="false">K48/J48-1</f>
        <v>0.224571215540969</v>
      </c>
      <c r="L49" s="129" t="n">
        <f aca="false">L48/K48-1</f>
        <v>0.217187595548323</v>
      </c>
      <c r="M49" s="129" t="n">
        <f aca="false">M48/L48-1</f>
        <v>-0.0361371891762932</v>
      </c>
      <c r="N49" s="129" t="n">
        <f aca="false">N48/M48-1</f>
        <v>-0.0502536449994196</v>
      </c>
      <c r="O49" s="129" t="n">
        <f aca="false">O48/N48-1</f>
        <v>-0.0994642311439364</v>
      </c>
      <c r="P49" s="129" t="n">
        <f aca="false">P48/O48-1</f>
        <v>-0.169855931377763</v>
      </c>
      <c r="Q49" s="129" t="n">
        <f aca="false">Q48/P48-1</f>
        <v>0.0181487580519022</v>
      </c>
      <c r="R49" s="129" t="n">
        <f aca="false">R48/Q48-1</f>
        <v>0.0138949436436844</v>
      </c>
      <c r="S49" s="129" t="n">
        <f aca="false">S48/R48-1</f>
        <v>0.0539387943093037</v>
      </c>
      <c r="T49" s="130" t="n">
        <f aca="false">T48/S48-1</f>
        <v>0.0533147740515343</v>
      </c>
      <c r="U49" s="129" t="n">
        <f aca="false">U48/T48-1</f>
        <v>-0.126385060516073</v>
      </c>
      <c r="V49" s="129" t="n">
        <f aca="false">V48/U48-1</f>
        <v>0.101591489147617</v>
      </c>
      <c r="W49" s="129" t="n">
        <f aca="false">W48/V48-1</f>
        <v>0.0653576837777261</v>
      </c>
      <c r="X49" s="129" t="n">
        <f aca="false">X48/W48-1</f>
        <v>0.0526882909422608</v>
      </c>
      <c r="Y49" s="129" t="n">
        <f aca="false">Y48/X48-1</f>
        <v>0.049642443994439</v>
      </c>
      <c r="Z49" s="131" t="n">
        <f aca="false">Z48/Y48-1</f>
        <v>0.0497523709855467</v>
      </c>
    </row>
    <row r="50" customFormat="false" ht="15" hidden="false" customHeight="true" outlineLevel="0" collapsed="false">
      <c r="B50" s="174"/>
      <c r="C50" s="158" t="s">
        <v>77</v>
      </c>
      <c r="D50" s="133"/>
      <c r="E50" s="133"/>
      <c r="F50" s="133"/>
      <c r="G50" s="133"/>
      <c r="H50" s="133"/>
      <c r="I50" s="133"/>
      <c r="J50" s="133" t="n">
        <v>38786</v>
      </c>
      <c r="K50" s="134" t="n">
        <v>56793</v>
      </c>
      <c r="L50" s="134" t="n">
        <v>73962</v>
      </c>
      <c r="M50" s="134" t="n">
        <v>67976</v>
      </c>
      <c r="N50" s="134" t="n">
        <v>74442</v>
      </c>
      <c r="O50" s="134" t="n">
        <v>65735</v>
      </c>
      <c r="P50" s="134" t="n">
        <v>60205</v>
      </c>
      <c r="Q50" s="134" t="n">
        <v>55852</v>
      </c>
      <c r="R50" s="134" t="n">
        <v>66937</v>
      </c>
      <c r="S50" s="134" t="n">
        <v>65482</v>
      </c>
      <c r="T50" s="135" t="n">
        <v>49124</v>
      </c>
      <c r="U50" s="134" t="n">
        <v>39476.6319283383</v>
      </c>
      <c r="V50" s="134" t="n">
        <v>46311.6412458315</v>
      </c>
      <c r="W50" s="134" t="n">
        <v>50952.575015106</v>
      </c>
      <c r="X50" s="134" t="n">
        <v>54868.7027830181</v>
      </c>
      <c r="Y50" s="134" t="n">
        <v>58502.8295739881</v>
      </c>
      <c r="Z50" s="136" t="n">
        <v>61861.043752689</v>
      </c>
    </row>
    <row r="51" customFormat="false" ht="15" hidden="false" customHeight="false" outlineLevel="0" collapsed="false">
      <c r="B51" s="174"/>
      <c r="C51" s="158"/>
      <c r="D51" s="128"/>
      <c r="E51" s="128"/>
      <c r="F51" s="128"/>
      <c r="G51" s="128"/>
      <c r="H51" s="128"/>
      <c r="I51" s="128"/>
      <c r="J51" s="128"/>
      <c r="K51" s="129" t="n">
        <f aca="false">K50/J50-1</f>
        <v>0.464265456608054</v>
      </c>
      <c r="L51" s="129" t="n">
        <f aca="false">L50/K50-1</f>
        <v>0.302308383075379</v>
      </c>
      <c r="M51" s="129" t="n">
        <f aca="false">M50/L50-1</f>
        <v>-0.0809334523133501</v>
      </c>
      <c r="N51" s="129" t="n">
        <f aca="false">N50/M50-1</f>
        <v>0.0951218076968341</v>
      </c>
      <c r="O51" s="129" t="n">
        <f aca="false">O50/N50-1</f>
        <v>-0.116963542086457</v>
      </c>
      <c r="P51" s="129" t="n">
        <f aca="false">P50/O50-1</f>
        <v>-0.0841256560432038</v>
      </c>
      <c r="Q51" s="129" t="n">
        <f aca="false">Q50/P50-1</f>
        <v>-0.0723029648700274</v>
      </c>
      <c r="R51" s="129" t="n">
        <f aca="false">R50/Q50-1</f>
        <v>0.198470958962974</v>
      </c>
      <c r="S51" s="129" t="n">
        <f aca="false">S50/R50-1</f>
        <v>-0.0217368570446838</v>
      </c>
      <c r="T51" s="130" t="n">
        <f aca="false">T50/S50-1</f>
        <v>-0.249809107846431</v>
      </c>
      <c r="U51" s="129" t="n">
        <f aca="false">U50/T50-1</f>
        <v>-0.196388080605442</v>
      </c>
      <c r="V51" s="129" t="n">
        <f aca="false">V50/U50-1</f>
        <v>0.173140640009533</v>
      </c>
      <c r="W51" s="129" t="n">
        <f aca="false">W50/V50-1</f>
        <v>0.100210954404303</v>
      </c>
      <c r="X51" s="129" t="n">
        <f aca="false">X50/W50-1</f>
        <v>0.0768582896301338</v>
      </c>
      <c r="Y51" s="129" t="n">
        <f aca="false">Y50/X50-1</f>
        <v>0.0662331457942689</v>
      </c>
      <c r="Z51" s="131" t="n">
        <f aca="false">Z50/Y50-1</f>
        <v>0.0574025940822862</v>
      </c>
    </row>
    <row r="52" customFormat="false" ht="31" hidden="false" customHeight="true" outlineLevel="0" collapsed="false">
      <c r="B52" s="174"/>
      <c r="C52" s="132" t="s">
        <v>78</v>
      </c>
      <c r="D52" s="175"/>
      <c r="E52" s="176"/>
      <c r="F52" s="176"/>
      <c r="G52" s="176"/>
      <c r="H52" s="176"/>
      <c r="I52" s="176"/>
      <c r="J52" s="177" t="n">
        <f aca="false">J48-J50</f>
        <v>16886.09663613</v>
      </c>
      <c r="K52" s="177" t="n">
        <f aca="false">K48-K50</f>
        <v>11381.44704942</v>
      </c>
      <c r="L52" s="177" t="n">
        <f aca="false">L48-L50</f>
        <v>9019.09128191999</v>
      </c>
      <c r="M52" s="177" t="n">
        <f aca="false">M48-M50</f>
        <v>12006.38788821</v>
      </c>
      <c r="N52" s="177" t="n">
        <f aca="false">N48-N50</f>
        <v>1520.98136107001</v>
      </c>
      <c r="O52" s="177" t="n">
        <f aca="false">O48-O50</f>
        <v>2672.38182459</v>
      </c>
      <c r="P52" s="177" t="n">
        <f aca="false">P48-P50</f>
        <v>-3417.01772834</v>
      </c>
      <c r="Q52" s="177" t="n">
        <f aca="false">Q48-Q50</f>
        <v>1966.61362216407</v>
      </c>
      <c r="R52" s="177" t="n">
        <f aca="false">R48-R50</f>
        <v>-8315</v>
      </c>
      <c r="S52" s="177" t="n">
        <f aca="false">S48-S50</f>
        <v>-3698</v>
      </c>
      <c r="T52" s="178" t="n">
        <f aca="false">T48-T50</f>
        <v>15954</v>
      </c>
      <c r="U52" s="177" t="n">
        <f aca="false">U48-U50</f>
        <v>17376.4811033967</v>
      </c>
      <c r="V52" s="177" t="n">
        <f aca="false">V48-V50</f>
        <v>16317.2642014752</v>
      </c>
      <c r="W52" s="177" t="n">
        <f aca="false">W48-W50</f>
        <v>15769.610629771</v>
      </c>
      <c r="X52" s="177" t="n">
        <f aca="false">X48-X50</f>
        <v>15368.9607914197</v>
      </c>
      <c r="Y52" s="177" t="n">
        <f aca="false">Y48-Y50</f>
        <v>15221.6032807439</v>
      </c>
      <c r="Z52" s="179" t="n">
        <f aca="false">Z48-Z50</f>
        <v>15531.3544361307</v>
      </c>
    </row>
    <row r="53" customFormat="false" ht="33" hidden="false" customHeight="false" outlineLevel="0" collapsed="false">
      <c r="B53" s="174"/>
      <c r="C53" s="153" t="s">
        <v>79</v>
      </c>
      <c r="D53" s="171"/>
      <c r="E53" s="171"/>
      <c r="F53" s="171"/>
      <c r="G53" s="171"/>
      <c r="H53" s="171"/>
      <c r="I53" s="171"/>
      <c r="J53" s="171" t="n">
        <f aca="false">(J48+J50)*J19/J8</f>
        <v>0.282273896166989</v>
      </c>
      <c r="K53" s="180" t="n">
        <f aca="false">(K48+K50)*K19/K8</f>
        <v>0.294229192028616</v>
      </c>
      <c r="L53" s="180" t="n">
        <f aca="false">(L48+L50)*L19/L8</f>
        <v>0.297441320894194</v>
      </c>
      <c r="M53" s="180" t="n">
        <f aca="false">(M48+M50)*M19/M8</f>
        <v>0.255247772453884</v>
      </c>
      <c r="N53" s="180" t="n">
        <f aca="false">(N48+N50)*N19/N8</f>
        <v>0.245972739170274</v>
      </c>
      <c r="O53" s="180" t="n">
        <f aca="false">(O48+O50)*O19/O8</f>
        <v>0.238004002924984</v>
      </c>
      <c r="P53" s="180" t="n">
        <f aca="false">(P48+P50)*P19/P8</f>
        <v>0.182100470045696</v>
      </c>
      <c r="Q53" s="180" t="n">
        <f aca="false">(Q48+Q50)*Q19/Q8</f>
        <v>0.204147885622916</v>
      </c>
      <c r="R53" s="180" t="n">
        <f aca="false">(R48+R50)*R19/R8</f>
        <v>0.195009402374668</v>
      </c>
      <c r="S53" s="180" t="n">
        <f aca="false">(S48+S50)*S19/S8</f>
        <v>0.246016978380513</v>
      </c>
      <c r="T53" s="181" t="n">
        <f aca="false">(T48+T50)*T19/T8</f>
        <v>0.256946758554481</v>
      </c>
      <c r="U53" s="180" t="n">
        <f aca="false">(U48+U50)*U19/U8</f>
        <v>0.25388664531759</v>
      </c>
      <c r="V53" s="180" t="n">
        <f aca="false">(V48+V50)*V19/V8</f>
        <v>0.266718349727499</v>
      </c>
      <c r="W53" s="180" t="n">
        <f aca="false">(W48+W50)*W19/W8</f>
        <v>0.275243984004861</v>
      </c>
      <c r="X53" s="180" t="n">
        <f aca="false">(X48+X50)*X19/X8</f>
        <v>0.281223469176697</v>
      </c>
      <c r="Y53" s="180" t="n">
        <f aca="false">(Y48+Y50)*Y19/Y8</f>
        <v>0.28398464412641</v>
      </c>
      <c r="Z53" s="182" t="n">
        <f aca="false">(Z48+Z50)*Z19/Z8</f>
        <v>0.287169265775646</v>
      </c>
    </row>
    <row r="54" customFormat="false" ht="16" hidden="false" customHeight="false" outlineLevel="0" collapsed="false"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</row>
    <row r="55" customFormat="false" ht="13.8" hidden="false" customHeight="false" outlineLevel="0" collapsed="false">
      <c r="K55" s="184" t="n">
        <f aca="false">K31*K35*12/1000000</f>
        <v>279662.895772633</v>
      </c>
      <c r="L55" s="184" t="n">
        <f aca="false">L31*L35*12/1000000</f>
        <v>386374.288066347</v>
      </c>
      <c r="M55" s="184" t="n">
        <f aca="false">M31*M35*12/1000000</f>
        <v>507619.811049132</v>
      </c>
      <c r="N55" s="184" t="n">
        <f aca="false">N31*N35*12/1000000</f>
        <v>647966.378455205</v>
      </c>
      <c r="O55" s="184" t="n">
        <f aca="false">O31*O35*12/1000000</f>
        <v>854737.751680976</v>
      </c>
      <c r="P55" s="184" t="n">
        <f aca="false">P31*P35*12/1000000</f>
        <v>1141973.80647417</v>
      </c>
      <c r="Q55" s="184" t="n">
        <f aca="false">Q31*Q35*12/1000000</f>
        <v>1506242.00873622</v>
      </c>
      <c r="R55" s="184" t="n">
        <f aca="false">R31*R35*12/1000000</f>
        <v>1960674.25064443</v>
      </c>
      <c r="S55" s="184" t="n">
        <f aca="false">S31*S35*12/1000000</f>
        <v>2502644.64240257</v>
      </c>
      <c r="T55" s="184" t="n">
        <f aca="false">T31*T35*12/1000000</f>
        <v>3542887.45147231</v>
      </c>
      <c r="U55" s="184" t="n">
        <f aca="false">U31*U35*12/1000000</f>
        <v>4651260.45755448</v>
      </c>
      <c r="V55" s="184" t="n">
        <f aca="false">V31*V35*12/1000000</f>
        <v>5984338.88193237</v>
      </c>
      <c r="W55" s="184" t="n">
        <f aca="false">W31*W35*12/1000000</f>
        <v>7793252.79931098</v>
      </c>
      <c r="X55" s="184" t="n">
        <f aca="false">X31*X35*12/1000000</f>
        <v>9679055.27987452</v>
      </c>
      <c r="Y55" s="184" t="n">
        <f aca="false">Y31*Y35*12/1000000</f>
        <v>11601853.7299316</v>
      </c>
      <c r="Z55" s="184" t="n">
        <f aca="false">Z31*Z35*12/1000000</f>
        <v>13567379.993604</v>
      </c>
    </row>
    <row r="56" customFormat="false" ht="13.8" hidden="false" customHeight="false" outlineLevel="0" collapsed="false">
      <c r="K56" s="185" t="n">
        <f aca="false">K55/K8</f>
        <v>0.168297149904195</v>
      </c>
      <c r="L56" s="185" t="n">
        <f aca="false">L55/L8</f>
        <v>0.177315288721476</v>
      </c>
      <c r="M56" s="185" t="n">
        <f aca="false">M55/M8</f>
        <v>0.192432293189756</v>
      </c>
      <c r="N56" s="185" t="n">
        <f aca="false">N55/N8</f>
        <v>0.193520513636507</v>
      </c>
      <c r="O56" s="185" t="n">
        <f aca="false">O55/O8</f>
        <v>0.186661196639114</v>
      </c>
      <c r="P56" s="185" t="n">
        <f aca="false">P55/P8</f>
        <v>0.191782973694834</v>
      </c>
      <c r="Q56" s="185" t="n">
        <f aca="false">Q55/Q8</f>
        <v>0.183059406953244</v>
      </c>
      <c r="R56" s="185" t="n">
        <f aca="false">R55/R8</f>
        <v>0.18392422372553</v>
      </c>
      <c r="S56" s="185" t="n">
        <f aca="false">S55/S8</f>
        <v>0.172089146510328</v>
      </c>
      <c r="T56" s="185" t="n">
        <f aca="false">T55/T8</f>
        <v>0.165190757539184</v>
      </c>
      <c r="U56" s="185" t="n">
        <f aca="false">U55/U8</f>
        <v>0.173499650404168</v>
      </c>
      <c r="V56" s="185" t="n">
        <f aca="false">V55/V8</f>
        <v>0.1620429557646</v>
      </c>
      <c r="W56" s="185" t="n">
        <f aca="false">W55/W8</f>
        <v>0.161245247312665</v>
      </c>
      <c r="X56" s="185" t="n">
        <f aca="false">X55/X8</f>
        <v>0.159940503124458</v>
      </c>
      <c r="Y56" s="185" t="n">
        <f aca="false">Y55/Y8</f>
        <v>0.158373275942829</v>
      </c>
      <c r="Z56" s="185" t="n">
        <f aca="false">Z55/Z8</f>
        <v>0.157041223260696</v>
      </c>
    </row>
    <row r="57" customFormat="false" ht="15" hidden="false" customHeight="false" outlineLevel="0" collapsed="false">
      <c r="U57" s="186"/>
    </row>
    <row r="58" customFormat="false" ht="15" hidden="false" customHeight="false" outlineLevel="0" collapsed="false">
      <c r="U58" s="187"/>
    </row>
  </sheetData>
  <mergeCells count="15">
    <mergeCell ref="B6:C6"/>
    <mergeCell ref="B8:B17"/>
    <mergeCell ref="B19:B29"/>
    <mergeCell ref="C28:C29"/>
    <mergeCell ref="B31:B40"/>
    <mergeCell ref="C31:C32"/>
    <mergeCell ref="C35:C36"/>
    <mergeCell ref="C37:C38"/>
    <mergeCell ref="C39:C40"/>
    <mergeCell ref="B42:B46"/>
    <mergeCell ref="C42:C43"/>
    <mergeCell ref="C44:C45"/>
    <mergeCell ref="B48:B53"/>
    <mergeCell ref="C48:C49"/>
    <mergeCell ref="C50:C51"/>
  </mergeCells>
  <conditionalFormatting sqref="K9">
    <cfRule type="cellIs" priority="2" operator="lessThan" aboveAverage="0" equalAverage="0" bottom="0" percent="0" rank="0" text="" dxfId="0">
      <formula>0</formula>
    </cfRule>
  </conditionalFormatting>
  <conditionalFormatting sqref="K15">
    <cfRule type="cellIs" priority="3" operator="lessThan" aboveAverage="0" equalAverage="0" bottom="0" percent="0" rank="0" text="" dxfId="0">
      <formula>0</formula>
    </cfRule>
  </conditionalFormatting>
  <conditionalFormatting sqref="K11">
    <cfRule type="cellIs" priority="4" operator="lessThan" aboveAverage="0" equalAverage="0" bottom="0" percent="0" rank="0" text="" dxfId="0">
      <formula>0</formula>
    </cfRule>
  </conditionalFormatting>
  <conditionalFormatting sqref="L11:Z11">
    <cfRule type="cellIs" priority="5" operator="lessThan" aboveAverage="0" equalAverage="0" bottom="0" percent="0" rank="0" text="" dxfId="0">
      <formula>0</formula>
    </cfRule>
  </conditionalFormatting>
  <conditionalFormatting sqref="K11:Z11">
    <cfRule type="cellIs" priority="6" operator="lessThan" aboveAverage="0" equalAverage="0" bottom="0" percent="0" rank="0" text="" dxfId="0">
      <formula>0</formula>
    </cfRule>
    <cfRule type="cellIs" priority="7" operator="lessThan" aboveAverage="0" equalAverage="0" bottom="0" percent="0" rank="0" text="" dxfId="0">
      <formula>0</formula>
    </cfRule>
  </conditionalFormatting>
  <conditionalFormatting sqref="K29">
    <cfRule type="cellIs" priority="8" operator="lessThan" aboveAverage="0" equalAverage="0" bottom="0" percent="0" rank="0" text="" dxfId="0">
      <formula>0</formula>
    </cfRule>
  </conditionalFormatting>
  <conditionalFormatting sqref="L29:Z29">
    <cfRule type="cellIs" priority="9" operator="lessThan" aboveAverage="0" equalAverage="0" bottom="0" percent="0" rank="0" text="" dxfId="0">
      <formula>0</formula>
    </cfRule>
  </conditionalFormatting>
  <conditionalFormatting sqref="K53:Q53 T53:Z53">
    <cfRule type="cellIs" priority="10" operator="lessThan" aboveAverage="0" equalAverage="0" bottom="0" percent="0" rank="0" text="" dxfId="0">
      <formula>0</formula>
    </cfRule>
  </conditionalFormatting>
  <conditionalFormatting sqref="L15:Z15">
    <cfRule type="cellIs" priority="11" operator="lessThan" aboveAverage="0" equalAverage="0" bottom="0" percent="0" rank="0" text="" dxfId="0">
      <formula>0</formula>
    </cfRule>
  </conditionalFormatting>
  <conditionalFormatting sqref="K17">
    <cfRule type="cellIs" priority="12" operator="lessThan" aboveAverage="0" equalAverage="0" bottom="0" percent="0" rank="0" text="" dxfId="0">
      <formula>0</formula>
    </cfRule>
  </conditionalFormatting>
  <conditionalFormatting sqref="L13:Z13">
    <cfRule type="cellIs" priority="13" operator="lessThan" aboveAverage="0" equalAverage="0" bottom="0" percent="0" rank="0" text="" dxfId="0">
      <formula>0</formula>
    </cfRule>
  </conditionalFormatting>
  <conditionalFormatting sqref="K13">
    <cfRule type="cellIs" priority="14" operator="lessThan" aboveAverage="0" equalAverage="0" bottom="0" percent="0" rank="0" text="" dxfId="0">
      <formula>0</formula>
    </cfRule>
  </conditionalFormatting>
  <conditionalFormatting sqref="L17:Z17">
    <cfRule type="cellIs" priority="15" operator="lessThan" aboveAverage="0" equalAverage="0" bottom="0" percent="0" rank="0" text="" dxfId="0">
      <formula>0</formula>
    </cfRule>
  </conditionalFormatting>
  <conditionalFormatting sqref="L9:Z9">
    <cfRule type="cellIs" priority="16" operator="lessThan" aboveAverage="0" equalAverage="0" bottom="0" percent="0" rank="0" text="" dxfId="0">
      <formula>0</formula>
    </cfRule>
  </conditionalFormatting>
  <conditionalFormatting sqref="K9:Z9">
    <cfRule type="cellIs" priority="17" operator="lessThan" aboveAverage="0" equalAverage="0" bottom="0" percent="0" rank="0" text="" dxfId="0">
      <formula>0</formula>
    </cfRule>
    <cfRule type="cellIs" priority="18" operator="lessThan" aboveAverage="0" equalAverage="0" bottom="0" percent="0" rank="0" text="" dxfId="0">
      <formula>0</formula>
    </cfRule>
  </conditionalFormatting>
  <conditionalFormatting sqref="K13:Z13">
    <cfRule type="cellIs" priority="19" operator="lessThan" aboveAverage="0" equalAverage="0" bottom="0" percent="0" rank="0" text="" dxfId="0">
      <formula>0</formula>
    </cfRule>
    <cfRule type="cellIs" priority="20" operator="lessThan" aboveAverage="0" equalAverage="0" bottom="0" percent="0" rank="0" text="" dxfId="0">
      <formula>0</formula>
    </cfRule>
  </conditionalFormatting>
  <conditionalFormatting sqref="K26:K27">
    <cfRule type="cellIs" priority="21" operator="lessThan" aboveAverage="0" equalAverage="0" bottom="0" percent="0" rank="0" text="" dxfId="0">
      <formula>0</formula>
    </cfRule>
  </conditionalFormatting>
  <conditionalFormatting sqref="L27:Z27 L26:W26 Z26">
    <cfRule type="cellIs" priority="22" operator="lessThan" aboveAverage="0" equalAverage="0" bottom="0" percent="0" rank="0" text="" dxfId="0">
      <formula>0</formula>
    </cfRule>
  </conditionalFormatting>
  <conditionalFormatting sqref="K15:Z15">
    <cfRule type="cellIs" priority="23" operator="lessThan" aboveAverage="0" equalAverage="0" bottom="0" percent="0" rank="0" text="" dxfId="0">
      <formula>0</formula>
    </cfRule>
    <cfRule type="cellIs" priority="24" operator="lessThan" aboveAverage="0" equalAverage="0" bottom="0" percent="0" rank="0" text="" dxfId="0">
      <formula>0</formula>
    </cfRule>
  </conditionalFormatting>
  <conditionalFormatting sqref="K17:Z17">
    <cfRule type="cellIs" priority="25" operator="lessThan" aboveAverage="0" equalAverage="0" bottom="0" percent="0" rank="0" text="" dxfId="0">
      <formula>0</formula>
    </cfRule>
    <cfRule type="cellIs" priority="26" operator="lessThan" aboveAverage="0" equalAverage="0" bottom="0" percent="0" rank="0" text="" dxfId="0">
      <formula>0</formula>
    </cfRule>
  </conditionalFormatting>
  <conditionalFormatting sqref="K24">
    <cfRule type="cellIs" priority="27" operator="lessThan" aboveAverage="0" equalAverage="0" bottom="0" percent="0" rank="0" text="" dxfId="0">
      <formula>0</formula>
    </cfRule>
  </conditionalFormatting>
  <conditionalFormatting sqref="L24:W24 Z24">
    <cfRule type="cellIs" priority="28" operator="lessThan" aboveAverage="0" equalAverage="0" bottom="0" percent="0" rank="0" text="" dxfId="0">
      <formula>0</formula>
    </cfRule>
  </conditionalFormatting>
  <conditionalFormatting sqref="K29:Z29">
    <cfRule type="cellIs" priority="29" operator="lessThan" aboveAverage="0" equalAverage="0" bottom="0" percent="0" rank="0" text="" dxfId="0">
      <formula>0</formula>
    </cfRule>
    <cfRule type="cellIs" priority="30" operator="lessThan" aboveAverage="0" equalAverage="0" bottom="0" percent="0" rank="0" text="" dxfId="0">
      <formula>0</formula>
    </cfRule>
  </conditionalFormatting>
  <conditionalFormatting sqref="K27:Z27 K26:W26 Z26">
    <cfRule type="cellIs" priority="31" operator="lessThan" aboveAverage="0" equalAverage="0" bottom="0" percent="0" rank="0" text="" dxfId="0">
      <formula>0</formula>
    </cfRule>
    <cfRule type="cellIs" priority="32" operator="lessThan" aboveAverage="0" equalAverage="0" bottom="0" percent="0" rank="0" text="" dxfId="0">
      <formula>0</formula>
    </cfRule>
  </conditionalFormatting>
  <conditionalFormatting sqref="K22">
    <cfRule type="cellIs" priority="33" operator="lessThan" aboveAverage="0" equalAverage="0" bottom="0" percent="0" rank="0" text="" dxfId="0">
      <formula>0</formula>
    </cfRule>
  </conditionalFormatting>
  <conditionalFormatting sqref="L22:Z22">
    <cfRule type="cellIs" priority="34" operator="lessThan" aboveAverage="0" equalAverage="0" bottom="0" percent="0" rank="0" text="" dxfId="0">
      <formula>0</formula>
    </cfRule>
  </conditionalFormatting>
  <conditionalFormatting sqref="K24:W24 Z24">
    <cfRule type="cellIs" priority="35" operator="lessThan" aboveAverage="0" equalAverage="0" bottom="0" percent="0" rank="0" text="" dxfId="0">
      <formula>0</formula>
    </cfRule>
    <cfRule type="cellIs" priority="36" operator="lessThan" aboveAverage="0" equalAverage="0" bottom="0" percent="0" rank="0" text="" dxfId="0">
      <formula>0</formula>
    </cfRule>
  </conditionalFormatting>
  <conditionalFormatting sqref="K22:Z22">
    <cfRule type="cellIs" priority="37" operator="lessThan" aboveAverage="0" equalAverage="0" bottom="0" percent="0" rank="0" text="" dxfId="0">
      <formula>0</formula>
    </cfRule>
    <cfRule type="cellIs" priority="38" operator="lessThan" aboveAverage="0" equalAverage="0" bottom="0" percent="0" rank="0" text="" dxfId="0">
      <formula>0</formula>
    </cfRule>
  </conditionalFormatting>
  <conditionalFormatting sqref="K20">
    <cfRule type="cellIs" priority="39" operator="lessThan" aboveAverage="0" equalAverage="0" bottom="0" percent="0" rank="0" text="" dxfId="0">
      <formula>0</formula>
    </cfRule>
  </conditionalFormatting>
  <conditionalFormatting sqref="L20:Z20">
    <cfRule type="cellIs" priority="40" operator="lessThan" aboveAverage="0" equalAverage="0" bottom="0" percent="0" rank="0" text="" dxfId="0">
      <formula>0</formula>
    </cfRule>
  </conditionalFormatting>
  <conditionalFormatting sqref="K20:Z20">
    <cfRule type="cellIs" priority="41" operator="lessThan" aboveAverage="0" equalAverage="0" bottom="0" percent="0" rank="0" text="" dxfId="0">
      <formula>0</formula>
    </cfRule>
    <cfRule type="cellIs" priority="42" operator="lessThan" aboveAverage="0" equalAverage="0" bottom="0" percent="0" rank="0" text="" dxfId="0">
      <formula>0</formula>
    </cfRule>
  </conditionalFormatting>
  <conditionalFormatting sqref="K32">
    <cfRule type="cellIs" priority="43" operator="lessThan" aboveAverage="0" equalAverage="0" bottom="0" percent="0" rank="0" text="" dxfId="0">
      <formula>0</formula>
    </cfRule>
  </conditionalFormatting>
  <conditionalFormatting sqref="L32:Z32">
    <cfRule type="cellIs" priority="44" operator="lessThan" aboveAverage="0" equalAverage="0" bottom="0" percent="0" rank="0" text="" dxfId="0">
      <formula>0</formula>
    </cfRule>
  </conditionalFormatting>
  <conditionalFormatting sqref="K32:Z32">
    <cfRule type="cellIs" priority="45" operator="lessThan" aboveAverage="0" equalAverage="0" bottom="0" percent="0" rank="0" text="" dxfId="0">
      <formula>0</formula>
    </cfRule>
    <cfRule type="cellIs" priority="46" operator="lessThan" aboveAverage="0" equalAverage="0" bottom="0" percent="0" rank="0" text="" dxfId="0">
      <formula>0</formula>
    </cfRule>
  </conditionalFormatting>
  <conditionalFormatting sqref="K34">
    <cfRule type="cellIs" priority="47" operator="lessThan" aboveAverage="0" equalAverage="0" bottom="0" percent="0" rank="0" text="" dxfId="0">
      <formula>0</formula>
    </cfRule>
  </conditionalFormatting>
  <conditionalFormatting sqref="L34:Z34">
    <cfRule type="cellIs" priority="48" operator="lessThan" aboveAverage="0" equalAverage="0" bottom="0" percent="0" rank="0" text="" dxfId="0">
      <formula>0</formula>
    </cfRule>
  </conditionalFormatting>
  <conditionalFormatting sqref="K34:Z34">
    <cfRule type="cellIs" priority="49" operator="lessThan" aboveAverage="0" equalAverage="0" bottom="0" percent="0" rank="0" text="" dxfId="0">
      <formula>0</formula>
    </cfRule>
    <cfRule type="cellIs" priority="50" operator="lessThan" aboveAverage="0" equalAverage="0" bottom="0" percent="0" rank="0" text="" dxfId="0">
      <formula>0</formula>
    </cfRule>
  </conditionalFormatting>
  <conditionalFormatting sqref="K36">
    <cfRule type="cellIs" priority="51" operator="lessThan" aboveAverage="0" equalAverage="0" bottom="0" percent="0" rank="0" text="" dxfId="0">
      <formula>0</formula>
    </cfRule>
  </conditionalFormatting>
  <conditionalFormatting sqref="L36:Z36">
    <cfRule type="cellIs" priority="52" operator="lessThan" aboveAverage="0" equalAverage="0" bottom="0" percent="0" rank="0" text="" dxfId="0">
      <formula>0</formula>
    </cfRule>
  </conditionalFormatting>
  <conditionalFormatting sqref="K36:Z36">
    <cfRule type="cellIs" priority="53" operator="lessThan" aboveAverage="0" equalAverage="0" bottom="0" percent="0" rank="0" text="" dxfId="0">
      <formula>0</formula>
    </cfRule>
    <cfRule type="cellIs" priority="54" operator="lessThan" aboveAverage="0" equalAverage="0" bottom="0" percent="0" rank="0" text="" dxfId="0">
      <formula>0</formula>
    </cfRule>
  </conditionalFormatting>
  <conditionalFormatting sqref="K52">
    <cfRule type="cellIs" priority="55" operator="lessThan" aboveAverage="0" equalAverage="0" bottom="0" percent="0" rank="0" text="" dxfId="0">
      <formula>0</formula>
    </cfRule>
  </conditionalFormatting>
  <conditionalFormatting sqref="L52:Z52">
    <cfRule type="cellIs" priority="56" operator="lessThan" aboveAverage="0" equalAverage="0" bottom="0" percent="0" rank="0" text="" dxfId="0">
      <formula>0</formula>
    </cfRule>
  </conditionalFormatting>
  <conditionalFormatting sqref="K52:Z52">
    <cfRule type="cellIs" priority="57" operator="lessThan" aboveAverage="0" equalAverage="0" bottom="0" percent="0" rank="0" text="" dxfId="0">
      <formula>0</formula>
    </cfRule>
    <cfRule type="cellIs" priority="58" operator="lessThan" aboveAverage="0" equalAverage="0" bottom="0" percent="0" rank="0" text="" dxfId="0">
      <formula>0</formula>
    </cfRule>
  </conditionalFormatting>
  <conditionalFormatting sqref="K38">
    <cfRule type="cellIs" priority="59" operator="lessThan" aboveAverage="0" equalAverage="0" bottom="0" percent="0" rank="0" text="" dxfId="0">
      <formula>0</formula>
    </cfRule>
  </conditionalFormatting>
  <conditionalFormatting sqref="L38:Z38">
    <cfRule type="cellIs" priority="60" operator="lessThan" aboveAverage="0" equalAverage="0" bottom="0" percent="0" rank="0" text="" dxfId="0">
      <formula>0</formula>
    </cfRule>
  </conditionalFormatting>
  <conditionalFormatting sqref="K38:Z38">
    <cfRule type="cellIs" priority="61" operator="lessThan" aboveAverage="0" equalAverage="0" bottom="0" percent="0" rank="0" text="" dxfId="0">
      <formula>0</formula>
    </cfRule>
    <cfRule type="cellIs" priority="62" operator="lessThan" aboveAverage="0" equalAverage="0" bottom="0" percent="0" rank="0" text="" dxfId="0">
      <formula>0</formula>
    </cfRule>
  </conditionalFormatting>
  <conditionalFormatting sqref="K40">
    <cfRule type="cellIs" priority="63" operator="lessThan" aboveAverage="0" equalAverage="0" bottom="0" percent="0" rank="0" text="" dxfId="0">
      <formula>0</formula>
    </cfRule>
  </conditionalFormatting>
  <conditionalFormatting sqref="L40:Z40">
    <cfRule type="cellIs" priority="64" operator="lessThan" aboveAverage="0" equalAverage="0" bottom="0" percent="0" rank="0" text="" dxfId="0">
      <formula>0</formula>
    </cfRule>
  </conditionalFormatting>
  <conditionalFormatting sqref="K40:Z40">
    <cfRule type="cellIs" priority="65" operator="lessThan" aboveAverage="0" equalAverage="0" bottom="0" percent="0" rank="0" text="" dxfId="0">
      <formula>0</formula>
    </cfRule>
    <cfRule type="cellIs" priority="66" operator="lessThan" aboveAverage="0" equalAverage="0" bottom="0" percent="0" rank="0" text="" dxfId="0">
      <formula>0</formula>
    </cfRule>
  </conditionalFormatting>
  <conditionalFormatting sqref="K43">
    <cfRule type="cellIs" priority="67" operator="lessThan" aboveAverage="0" equalAverage="0" bottom="0" percent="0" rank="0" text="" dxfId="0">
      <formula>0</formula>
    </cfRule>
  </conditionalFormatting>
  <conditionalFormatting sqref="L43:Z43">
    <cfRule type="cellIs" priority="68" operator="lessThan" aboveAverage="0" equalAverage="0" bottom="0" percent="0" rank="0" text="" dxfId="0">
      <formula>0</formula>
    </cfRule>
  </conditionalFormatting>
  <conditionalFormatting sqref="K43:Z43">
    <cfRule type="cellIs" priority="69" operator="lessThan" aboveAverage="0" equalAverage="0" bottom="0" percent="0" rank="0" text="" dxfId="0">
      <formula>0</formula>
    </cfRule>
    <cfRule type="cellIs" priority="70" operator="lessThan" aboveAverage="0" equalAverage="0" bottom="0" percent="0" rank="0" text="" dxfId="0">
      <formula>0</formula>
    </cfRule>
  </conditionalFormatting>
  <conditionalFormatting sqref="K46">
    <cfRule type="cellIs" priority="71" operator="lessThan" aboveAverage="0" equalAverage="0" bottom="0" percent="0" rank="0" text="" dxfId="0">
      <formula>0</formula>
    </cfRule>
  </conditionalFormatting>
  <conditionalFormatting sqref="L46:Z46">
    <cfRule type="cellIs" priority="72" operator="lessThan" aboveAverage="0" equalAverage="0" bottom="0" percent="0" rank="0" text="" dxfId="0">
      <formula>0</formula>
    </cfRule>
  </conditionalFormatting>
  <conditionalFormatting sqref="K46:Z46">
    <cfRule type="cellIs" priority="73" operator="lessThan" aboveAverage="0" equalAverage="0" bottom="0" percent="0" rank="0" text="" dxfId="0">
      <formula>0</formula>
    </cfRule>
    <cfRule type="cellIs" priority="74" operator="lessThan" aboveAverage="0" equalAverage="0" bottom="0" percent="0" rank="0" text="" dxfId="0">
      <formula>0</formula>
    </cfRule>
  </conditionalFormatting>
  <conditionalFormatting sqref="K45">
    <cfRule type="cellIs" priority="75" operator="lessThan" aboveAverage="0" equalAverage="0" bottom="0" percent="0" rank="0" text="" dxfId="0">
      <formula>0</formula>
    </cfRule>
  </conditionalFormatting>
  <conditionalFormatting sqref="L45:Z45">
    <cfRule type="cellIs" priority="76" operator="lessThan" aboveAverage="0" equalAverage="0" bottom="0" percent="0" rank="0" text="" dxfId="0">
      <formula>0</formula>
    </cfRule>
  </conditionalFormatting>
  <conditionalFormatting sqref="K45:Z45">
    <cfRule type="cellIs" priority="77" operator="lessThan" aboveAverage="0" equalAverage="0" bottom="0" percent="0" rank="0" text="" dxfId="0">
      <formula>0</formula>
    </cfRule>
    <cfRule type="cellIs" priority="78" operator="lessThan" aboveAverage="0" equalAverage="0" bottom="0" percent="0" rank="0" text="" dxfId="0">
      <formula>0</formula>
    </cfRule>
  </conditionalFormatting>
  <conditionalFormatting sqref="R53">
    <cfRule type="cellIs" priority="79" operator="lessThan" aboveAverage="0" equalAverage="0" bottom="0" percent="0" rank="0" text="" dxfId="0">
      <formula>0</formula>
    </cfRule>
  </conditionalFormatting>
  <conditionalFormatting sqref="S53">
    <cfRule type="cellIs" priority="80" operator="lessThan" aboveAverage="0" equalAverage="0" bottom="0" percent="0" rank="0" text="" dxfId="0">
      <formula>0</formula>
    </cfRule>
  </conditionalFormatting>
  <conditionalFormatting sqref="X26">
    <cfRule type="cellIs" priority="81" operator="lessThan" aboveAverage="0" equalAverage="0" bottom="0" percent="0" rank="0" text="" dxfId="0">
      <formula>0</formula>
    </cfRule>
  </conditionalFormatting>
  <conditionalFormatting sqref="X24">
    <cfRule type="cellIs" priority="82" operator="lessThan" aboveAverage="0" equalAverage="0" bottom="0" percent="0" rank="0" text="" dxfId="0">
      <formula>0</formula>
    </cfRule>
  </conditionalFormatting>
  <conditionalFormatting sqref="X26">
    <cfRule type="cellIs" priority="83" operator="lessThan" aboveAverage="0" equalAverage="0" bottom="0" percent="0" rank="0" text="" dxfId="0">
      <formula>0</formula>
    </cfRule>
    <cfRule type="cellIs" priority="84" operator="lessThan" aboveAverage="0" equalAverage="0" bottom="0" percent="0" rank="0" text="" dxfId="0">
      <formula>0</formula>
    </cfRule>
  </conditionalFormatting>
  <conditionalFormatting sqref="X24">
    <cfRule type="cellIs" priority="85" operator="lessThan" aboveAverage="0" equalAverage="0" bottom="0" percent="0" rank="0" text="" dxfId="0">
      <formula>0</formula>
    </cfRule>
    <cfRule type="cellIs" priority="86" operator="lessThan" aboveAverage="0" equalAverage="0" bottom="0" percent="0" rank="0" text="" dxfId="0">
      <formula>0</formula>
    </cfRule>
  </conditionalFormatting>
  <conditionalFormatting sqref="Y26">
    <cfRule type="cellIs" priority="87" operator="lessThan" aboveAverage="0" equalAverage="0" bottom="0" percent="0" rank="0" text="" dxfId="0">
      <formula>0</formula>
    </cfRule>
  </conditionalFormatting>
  <conditionalFormatting sqref="Y24">
    <cfRule type="cellIs" priority="88" operator="lessThan" aboveAverage="0" equalAverage="0" bottom="0" percent="0" rank="0" text="" dxfId="0">
      <formula>0</formula>
    </cfRule>
  </conditionalFormatting>
  <conditionalFormatting sqref="Y26">
    <cfRule type="cellIs" priority="89" operator="lessThan" aboveAverage="0" equalAverage="0" bottom="0" percent="0" rank="0" text="" dxfId="0">
      <formula>0</formula>
    </cfRule>
    <cfRule type="cellIs" priority="90" operator="lessThan" aboveAverage="0" equalAverage="0" bottom="0" percent="0" rank="0" text="" dxfId="0">
      <formula>0</formula>
    </cfRule>
  </conditionalFormatting>
  <conditionalFormatting sqref="Y24">
    <cfRule type="cellIs" priority="91" operator="lessThan" aboveAverage="0" equalAverage="0" bottom="0" percent="0" rank="0" text="" dxfId="0">
      <formula>0</formula>
    </cfRule>
    <cfRule type="cellIs" priority="92" operator="lessThan" aboveAverage="0" equalAverage="0" bottom="0" percent="0" rank="0" text="" dxfId="0">
      <formula>0</formula>
    </cfRule>
  </conditionalFormatting>
  <conditionalFormatting sqref="O49:Z49">
    <cfRule type="cellIs" priority="93" operator="lessThan" aboveAverage="0" equalAverage="0" bottom="0" percent="0" rank="0" text="" dxfId="0">
      <formula>0</formula>
    </cfRule>
  </conditionalFormatting>
  <conditionalFormatting sqref="O49:Z49">
    <cfRule type="cellIs" priority="94" operator="lessThan" aboveAverage="0" equalAverage="0" bottom="0" percent="0" rank="0" text="" dxfId="0">
      <formula>0</formula>
    </cfRule>
    <cfRule type="cellIs" priority="95" operator="lessThan" aboveAverage="0" equalAverage="0" bottom="0" percent="0" rank="0" text="" dxfId="0">
      <formula>0</formula>
    </cfRule>
  </conditionalFormatting>
  <conditionalFormatting sqref="O51:Z51">
    <cfRule type="cellIs" priority="96" operator="lessThan" aboveAverage="0" equalAverage="0" bottom="0" percent="0" rank="0" text="" dxfId="0">
      <formula>0</formula>
    </cfRule>
  </conditionalFormatting>
  <conditionalFormatting sqref="O51:Z51">
    <cfRule type="cellIs" priority="97" operator="lessThan" aboveAverage="0" equalAverage="0" bottom="0" percent="0" rank="0" text="" dxfId="0">
      <formula>0</formula>
    </cfRule>
    <cfRule type="cellIs" priority="98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2020-08-24T20:24:22Z</dcterms:created>
  <dc:creator>Luciano Di Gresia</dc:creator>
  <dc:description/>
  <dc:language>en-US</dc:language>
  <cp:lastModifiedBy>Leonardo Calcagno</cp:lastModifiedBy>
  <dcterms:modified xsi:type="dcterms:W3CDTF">2020-11-13T16:59:40Z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